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L " sheetId="1" r:id="rId5"/>
    <sheet state="visible" name="INDICES" sheetId="2" r:id="rId6"/>
    <sheet state="visible" name="NIFTY-BANKNIFTY" sheetId="3" r:id="rId7"/>
    <sheet state="visible" name="ICICIBANK-HDFCBANK" sheetId="4" r:id="rId8"/>
    <sheet state="visible" name="AXISBANK-ICICIBANK" sheetId="5" r:id="rId9"/>
    <sheet state="visible" name="BOB-CANARA" sheetId="6" r:id="rId10"/>
    <sheet state="visible" name="CIPLA-SUNPHARMA" sheetId="7" r:id="rId11"/>
    <sheet state="visible" name="BPCL-HINDPETRO" sheetId="8" r:id="rId12"/>
    <sheet state="visible" name="ACC-AMBUJA" sheetId="9" r:id="rId13"/>
    <sheet state="visible" name="TCS-HCLTECH" sheetId="10" r:id="rId14"/>
    <sheet state="visible" name="TATASTEEL-JSWSTEEL1" sheetId="11" r:id="rId15"/>
    <sheet state="visible" name="NESTLE-HINDUNILVR" sheetId="12" r:id="rId16"/>
    <sheet state="visible" name="BAJFINANCE-BAJFINSV" sheetId="13" r:id="rId17"/>
    <sheet state="visible" name="REC-PFC" sheetId="14" r:id="rId18"/>
    <sheet state="visible" name="HDFC-BANKNIFTY" sheetId="15" r:id="rId19"/>
    <sheet state="visible" name="IGL-GAIL" sheetId="16" r:id="rId20"/>
    <sheet state="visible" name="BERGER-ASIAN" sheetId="17" r:id="rId21"/>
    <sheet state="visible" name="ALKEM-AURO" sheetId="18" r:id="rId22"/>
    <sheet state="visible" name="AARTI-UPL" sheetId="19" r:id="rId23"/>
    <sheet state="visible" name="BRITANIA-UNILEVER" sheetId="20" r:id="rId24"/>
    <sheet state="visible" name="COAL-GAIL" sheetId="21" r:id="rId25"/>
    <sheet state="visible" name="Natural Gas -Crude" sheetId="22" r:id="rId26"/>
  </sheets>
  <definedNames/>
  <calcPr/>
</workbook>
</file>

<file path=xl/sharedStrings.xml><?xml version="1.0" encoding="utf-8"?>
<sst xmlns="http://schemas.openxmlformats.org/spreadsheetml/2006/main" count="1570" uniqueCount="298">
  <si>
    <t>SMA 20</t>
  </si>
  <si>
    <t>AVERAGE</t>
  </si>
  <si>
    <t>MAX</t>
  </si>
  <si>
    <t>MIN</t>
  </si>
  <si>
    <t>INDICES</t>
  </si>
  <si>
    <t xml:space="preserve">Row </t>
  </si>
  <si>
    <t>AUTOMATED PAIR TRADING SIGNAL - BUY ONLY WHEN ONE SIGNALS "BUY" AND OTHER SIGNALS "SELL" SIMULTANEOUSLY</t>
  </si>
  <si>
    <t>ICICI</t>
  </si>
  <si>
    <t>CODE</t>
  </si>
  <si>
    <t>CURRENT PRICE</t>
  </si>
  <si>
    <t>HDFC</t>
  </si>
  <si>
    <t>RATIO</t>
  </si>
  <si>
    <t>120 DAYS DATA</t>
  </si>
  <si>
    <t>CHANGE</t>
  </si>
  <si>
    <t>UNILEVER</t>
  </si>
  <si>
    <t>CHANGE%</t>
  </si>
  <si>
    <t xml:space="preserve">OPEN </t>
  </si>
  <si>
    <t>HIGH</t>
  </si>
  <si>
    <t>LOW</t>
  </si>
  <si>
    <t>@</t>
  </si>
  <si>
    <t>SMA 30</t>
  </si>
  <si>
    <t>sell</t>
  </si>
  <si>
    <t>SIGNAL</t>
  </si>
  <si>
    <t>CORELATION-30D</t>
  </si>
  <si>
    <t>CORELATION %</t>
  </si>
  <si>
    <t>RATIO SPREAD-30D</t>
  </si>
  <si>
    <t>MAX RATIO</t>
  </si>
  <si>
    <t xml:space="preserve">NIFTY 50 </t>
  </si>
  <si>
    <t>INDEXNSE:NIFTY_50</t>
  </si>
  <si>
    <t>NIFTY</t>
  </si>
  <si>
    <t>MIN RATIO</t>
  </si>
  <si>
    <t>BNF</t>
  </si>
  <si>
    <t>z score</t>
  </si>
  <si>
    <t>RATIO SPREAD</t>
  </si>
  <si>
    <t>PRICE</t>
  </si>
  <si>
    <t>STANDARD DEVIATION</t>
  </si>
  <si>
    <t>DIVERGENCE</t>
  </si>
  <si>
    <t>LOT SIZE</t>
  </si>
  <si>
    <t>PAIR</t>
  </si>
  <si>
    <t>SELL</t>
  </si>
  <si>
    <t>BUY</t>
  </si>
  <si>
    <t>30D</t>
  </si>
  <si>
    <t>60 D</t>
  </si>
  <si>
    <t>90D</t>
  </si>
  <si>
    <t>CORELEATION</t>
  </si>
  <si>
    <t>AVERAGE RATIO</t>
  </si>
  <si>
    <t>60 Days</t>
  </si>
  <si>
    <t>30 Days</t>
  </si>
  <si>
    <t>CURRENT</t>
  </si>
  <si>
    <t>buy</t>
  </si>
  <si>
    <t>2 SD</t>
  </si>
  <si>
    <t>MEAN</t>
  </si>
  <si>
    <t>-2SD</t>
  </si>
  <si>
    <t>CASH NEUTALITY RATIO</t>
  </si>
  <si>
    <t>Price Diffrence</t>
  </si>
  <si>
    <t>BANKNIFTY</t>
  </si>
  <si>
    <t>INDEXNSE:NIFTY_BANK</t>
  </si>
  <si>
    <t>STOCK Number to BUY</t>
  </si>
  <si>
    <t>Stock 1 Price</t>
  </si>
  <si>
    <t>Stock 2 Value</t>
  </si>
  <si>
    <t>BUY / sELL</t>
  </si>
  <si>
    <t>Max Price in 20 D</t>
  </si>
  <si>
    <t>RELIANCE</t>
  </si>
  <si>
    <t>NSE:RELIANCE</t>
  </si>
  <si>
    <t>CORELATION-60D</t>
  </si>
  <si>
    <t>NSE:ICICIBANK</t>
  </si>
  <si>
    <t>HDFCBANK</t>
  </si>
  <si>
    <t>RATIO SPREAD-60D</t>
  </si>
  <si>
    <t>NSE:HDFCBANK</t>
  </si>
  <si>
    <t xml:space="preserve">CURRENT </t>
  </si>
  <si>
    <t xml:space="preserve">NIFTY </t>
  </si>
  <si>
    <t>30 DAYS</t>
  </si>
  <si>
    <t>-1SD</t>
  </si>
  <si>
    <t>MIN Price in 20 D</t>
  </si>
  <si>
    <t>1SD</t>
  </si>
  <si>
    <t>2SD</t>
  </si>
  <si>
    <t>SBIN</t>
  </si>
  <si>
    <t>CORELATION-90D</t>
  </si>
  <si>
    <t xml:space="preserve">SMA 20 </t>
  </si>
  <si>
    <t>RATIO SPREAD-90D</t>
  </si>
  <si>
    <t>SD</t>
  </si>
  <si>
    <t>Max Price in 10 D</t>
  </si>
  <si>
    <t>CORELATION-120D</t>
  </si>
  <si>
    <t>RATIO SPREAD-120D</t>
  </si>
  <si>
    <t>Neutrality</t>
  </si>
  <si>
    <t xml:space="preserve">SMA 10 </t>
  </si>
  <si>
    <t xml:space="preserve">SD </t>
  </si>
  <si>
    <t>MIN Price in 10 D</t>
  </si>
  <si>
    <t>Max Price in 30D</t>
  </si>
  <si>
    <t>BANK NIFTY</t>
  </si>
  <si>
    <t>Mean 20D</t>
  </si>
  <si>
    <t>60 DAYS</t>
  </si>
  <si>
    <t>Ratio Spread</t>
  </si>
  <si>
    <t>Spread of Price</t>
  </si>
  <si>
    <t>Z score</t>
  </si>
  <si>
    <t>ICICI BANK MEAN</t>
  </si>
  <si>
    <t>ICICI DIVERGENCE</t>
  </si>
  <si>
    <t>HDFC BANKMEAN</t>
  </si>
  <si>
    <t>HDFCBANK DIVERGENCE</t>
  </si>
  <si>
    <t>DIVERGENCE GAP</t>
  </si>
  <si>
    <t>60 days</t>
  </si>
  <si>
    <t>30 DAy</t>
  </si>
  <si>
    <t>NSE:AXISBANK</t>
  </si>
  <si>
    <t>INPUT VALUE</t>
  </si>
  <si>
    <t>60 DAys</t>
  </si>
  <si>
    <t>90 Days</t>
  </si>
  <si>
    <t>NIFTY MEAN</t>
  </si>
  <si>
    <t>NIFTY DIVERGENCE</t>
  </si>
  <si>
    <t>BANKNIFTY MEAN</t>
  </si>
  <si>
    <t>BANKNIFTY DIVERGENCE</t>
  </si>
  <si>
    <t>BANK</t>
  </si>
  <si>
    <t>NSE:CIPLA</t>
  </si>
  <si>
    <t>Average Ratio 30D</t>
  </si>
  <si>
    <t>Max Ratio Spread in 30 D</t>
  </si>
  <si>
    <t>NSE:SUNPHARMA</t>
  </si>
  <si>
    <t>NSE:BPCL</t>
  </si>
  <si>
    <t>NSE:HINDPETRO</t>
  </si>
  <si>
    <t>NSE:ACC</t>
  </si>
  <si>
    <t>NSE:AMBUJACEM</t>
  </si>
  <si>
    <t>NSE:TCS</t>
  </si>
  <si>
    <t>NSE:HCLTECH</t>
  </si>
  <si>
    <t>NSE:TATASTEEL</t>
  </si>
  <si>
    <t>15 days</t>
  </si>
  <si>
    <t>10 days</t>
  </si>
  <si>
    <t>5 days</t>
  </si>
  <si>
    <t>NSE:JSWSTEEL</t>
  </si>
  <si>
    <t>NSE:NESTLEIND</t>
  </si>
  <si>
    <t>NSE:HINDUNILVR</t>
  </si>
  <si>
    <t>NSE:BRITANNIA</t>
  </si>
  <si>
    <t>NSE:BAJFINANCE</t>
  </si>
  <si>
    <t>NSE:BAJAJFINSV</t>
  </si>
  <si>
    <t>NSE:RECLTD</t>
  </si>
  <si>
    <t>NSE:PFC</t>
  </si>
  <si>
    <t>NSE:IGL</t>
  </si>
  <si>
    <t>NSE:GAIL</t>
  </si>
  <si>
    <t>NSE:ALKEM</t>
  </si>
  <si>
    <t>NSE:AUROPHARMA</t>
  </si>
  <si>
    <t>NSE:BERGEPAINT</t>
  </si>
  <si>
    <t>AVG</t>
  </si>
  <si>
    <t>STD DEV</t>
  </si>
  <si>
    <t>NSE:ASIANPAINT</t>
  </si>
  <si>
    <t>MCX:NAURALGAS1</t>
  </si>
  <si>
    <t>MCX:CRUDE</t>
  </si>
  <si>
    <t>LOT SIze</t>
  </si>
  <si>
    <t>Lots</t>
  </si>
  <si>
    <t>Cash Neutrality</t>
  </si>
  <si>
    <t>NSE:BANKBARODA</t>
  </si>
  <si>
    <t>5:7</t>
  </si>
  <si>
    <t>NSE:CANBK</t>
  </si>
  <si>
    <t>NSE:COALINDIA</t>
  </si>
  <si>
    <t>AXIS</t>
  </si>
  <si>
    <t>AXIS BANK MEAN</t>
  </si>
  <si>
    <t>AXIS DIVERGENCE</t>
  </si>
  <si>
    <t>ICICI BANKMEAN</t>
  </si>
  <si>
    <t>ICICI BANK DIVERGENCE</t>
  </si>
  <si>
    <t>BOB</t>
  </si>
  <si>
    <t>CANBK</t>
  </si>
  <si>
    <t>BPCL MEAN</t>
  </si>
  <si>
    <t>BPCL DIVERGENCE</t>
  </si>
  <si>
    <t>HIND PETRO MEAN</t>
  </si>
  <si>
    <t>HPCL DIVERGENCE</t>
  </si>
  <si>
    <t>BPCL</t>
  </si>
  <si>
    <t>HPCL</t>
  </si>
  <si>
    <t>CIPLA</t>
  </si>
  <si>
    <t>SUNPHARMA</t>
  </si>
  <si>
    <t>CIPLA  MEAN</t>
  </si>
  <si>
    <t>CIPLA DIVERGENCE</t>
  </si>
  <si>
    <t>SUNPHARMA MEAN</t>
  </si>
  <si>
    <t>SUNPHARMA DIVERGENCE</t>
  </si>
  <si>
    <t>3:5</t>
  </si>
  <si>
    <t>ACC</t>
  </si>
  <si>
    <t>AMBUJA</t>
  </si>
  <si>
    <t>ACC MEAN</t>
  </si>
  <si>
    <t>ACC DIVERGENCE</t>
  </si>
  <si>
    <t>AMBUJA MEAN</t>
  </si>
  <si>
    <t>AMBUJA DIVERGENCE</t>
  </si>
  <si>
    <t>TCS</t>
  </si>
  <si>
    <t>HCL</t>
  </si>
  <si>
    <t>TAT</t>
  </si>
  <si>
    <t>JSW</t>
  </si>
  <si>
    <t>TATA</t>
  </si>
  <si>
    <t>TATA  MEAN</t>
  </si>
  <si>
    <t>TATA  DIVERGENCE</t>
  </si>
  <si>
    <t>JSW MEAN</t>
  </si>
  <si>
    <t>TCS  MEAN</t>
  </si>
  <si>
    <t>JSW DIVERGENCE</t>
  </si>
  <si>
    <t>TCS DIVERGENCE</t>
  </si>
  <si>
    <t>HCLTECH  MEAN</t>
  </si>
  <si>
    <t>HCL TECHDIVERGENCE</t>
  </si>
  <si>
    <t>NESTLE</t>
  </si>
  <si>
    <t xml:space="preserve">NSE:NESTLEIND
</t>
  </si>
  <si>
    <t>NESTLE  MEAN</t>
  </si>
  <si>
    <t>NESTLE DIVERGENCE</t>
  </si>
  <si>
    <t>UNILVR MEAN</t>
  </si>
  <si>
    <t>UNILVR DIVERGENCE</t>
  </si>
  <si>
    <t>Nestle</t>
  </si>
  <si>
    <t>Unilever</t>
  </si>
  <si>
    <t>REC</t>
  </si>
  <si>
    <t>PFC</t>
  </si>
  <si>
    <t>HDFC BANK</t>
  </si>
  <si>
    <t>IGL</t>
  </si>
  <si>
    <t>GAIL</t>
  </si>
  <si>
    <t>BERGER</t>
  </si>
  <si>
    <t>ASIAN</t>
  </si>
  <si>
    <t>ALKEM</t>
  </si>
  <si>
    <t>AUROPHARMA</t>
  </si>
  <si>
    <t>AARTI</t>
  </si>
  <si>
    <t>UPL</t>
  </si>
  <si>
    <t>NSE:AARTIIND</t>
  </si>
  <si>
    <t>NSE:UPL</t>
  </si>
  <si>
    <t>Mean-1</t>
  </si>
  <si>
    <t>Divergence-1</t>
  </si>
  <si>
    <t xml:space="preserve"> MEAN- 2nd</t>
  </si>
  <si>
    <t xml:space="preserve"> DIVERGENCE- 2nd</t>
  </si>
  <si>
    <t xml:space="preserve">NSE:BRITANNIA
</t>
  </si>
  <si>
    <t>NATGAS</t>
  </si>
  <si>
    <t>CRUDE</t>
  </si>
  <si>
    <t xml:space="preserve">NSE:COALINDIA
</t>
  </si>
  <si>
    <t>MIN RATIO SPREAD - 30D</t>
  </si>
  <si>
    <t>MIN RATIO SPREAD - 60D</t>
  </si>
  <si>
    <t>MIN RATIO SPREAD - 90D</t>
  </si>
  <si>
    <t>Natural GAs</t>
  </si>
  <si>
    <t>NG</t>
  </si>
  <si>
    <t>Crude</t>
  </si>
  <si>
    <t>MCX:NATURALGAS1</t>
  </si>
  <si>
    <t>Date</t>
  </si>
  <si>
    <t>Price</t>
  </si>
  <si>
    <t>maX</t>
  </si>
  <si>
    <t>DOWN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</si>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</sst>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dd&quot;, &quot;mmmm&quot; &quot;d&quot;, &quot;yyyy&quot; at &quot;h&quot;:&quot;mm&quot;:&quot;ss&quot; &quot;am/pm"/>
    <numFmt numFmtId="165" formatCode="hh:mm"/>
    <numFmt numFmtId="166" formatCode="0.0000"/>
    <numFmt numFmtId="167" formatCode="0.000"/>
    <numFmt numFmtId="168" formatCode="m/d/yyyy h:mm:ss"/>
    <numFmt numFmtId="169" formatCode="0.0"/>
    <numFmt numFmtId="170" formatCode="0.00000"/>
    <numFmt numFmtId="171" formatCode="#,##0.000"/>
    <numFmt numFmtId="172" formatCode="#,##0.0000"/>
    <numFmt numFmtId="173" formatCode="dd-mm-yyyy"/>
    <numFmt numFmtId="174" formatCode="dd/MM/yyyy"/>
  </numFmts>
  <fonts count="50">
    <font>
      <sz val="10.0"/>
      <color rgb="FF000000"/>
      <name val="Arial"/>
      <scheme val="minor"/>
    </font>
    <font>
      <color theme="1"/>
      <name val="Arial"/>
      <scheme val="minor"/>
    </font>
    <font>
      <b/>
      <color theme="5"/>
      <name val="Arial"/>
      <scheme val="minor"/>
    </font>
    <font>
      <b/>
      <sz val="8.0"/>
      <color rgb="FFFF0000"/>
      <name val="Arial"/>
      <scheme val="minor"/>
    </font>
    <font>
      <sz val="8.0"/>
      <color theme="1"/>
      <name val="Arial"/>
      <scheme val="minor"/>
    </font>
    <font>
      <b/>
      <sz val="7.0"/>
      <color theme="1"/>
      <name val="Arial"/>
      <scheme val="minor"/>
    </font>
    <font>
      <color theme="1"/>
      <name val="Arial"/>
    </font>
    <font>
      <b/>
      <sz val="8.0"/>
      <color theme="1"/>
      <name val="Arial"/>
      <scheme val="minor"/>
    </font>
    <font>
      <b/>
      <sz val="10.0"/>
      <color rgb="FFFF0000"/>
      <name val="Arial"/>
      <scheme val="minor"/>
    </font>
    <font>
      <b/>
      <color theme="1"/>
      <name val="Arial"/>
      <scheme val="minor"/>
    </font>
    <font>
      <b/>
      <color rgb="FFFF9900"/>
      <name val="Arial"/>
      <scheme val="minor"/>
    </font>
    <font>
      <b/>
      <sz val="9.0"/>
      <color theme="1"/>
      <name val="Arial"/>
      <scheme val="minor"/>
    </font>
    <font/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Calibri"/>
    </font>
    <font>
      <sz val="11.0"/>
      <color rgb="FF000000"/>
      <name val="Calibri"/>
    </font>
    <font>
      <sz val="9.0"/>
      <color rgb="FF000000"/>
      <name val="Calibri"/>
    </font>
    <font>
      <b/>
      <color rgb="FFFF0000"/>
      <name val="Arial"/>
      <scheme val="minor"/>
    </font>
    <font>
      <sz val="9.0"/>
      <color rgb="FF000000"/>
      <name val="Inconsolata"/>
    </font>
    <font>
      <sz val="8.0"/>
      <color rgb="FF000000"/>
      <name val="Inconsolata"/>
    </font>
    <font>
      <b/>
      <sz val="9.0"/>
      <color rgb="FF000000"/>
      <name val="Calibri"/>
    </font>
    <font>
      <b/>
      <sz val="11.0"/>
      <color rgb="FF000000"/>
      <name val="Calibri"/>
    </font>
    <font>
      <b/>
      <sz val="13.0"/>
      <color rgb="FFFF0000"/>
      <name val="Calibri"/>
    </font>
    <font>
      <b/>
      <sz val="11.0"/>
      <color rgb="FFFF0000"/>
      <name val="Calibri"/>
    </font>
    <font>
      <sz val="9.0"/>
      <color theme="1"/>
      <name val="Arial"/>
    </font>
    <font>
      <sz val="11.0"/>
      <color rgb="FF000000"/>
      <name val="Inconsolata"/>
    </font>
    <font>
      <b/>
      <sz val="9.0"/>
      <color rgb="FFFF0000"/>
      <name val="Calibri"/>
    </font>
    <font>
      <b/>
      <color rgb="FFFFFF00"/>
      <name val="Arial"/>
    </font>
    <font>
      <b/>
      <color rgb="FF000000"/>
      <name val="Arial"/>
      <scheme val="minor"/>
    </font>
    <font>
      <sz val="9.0"/>
      <color theme="1"/>
      <name val="Arial"/>
      <scheme val="minor"/>
    </font>
    <font>
      <b/>
      <sz val="14.0"/>
      <color rgb="FFFF0000"/>
      <name val="Arial"/>
      <scheme val="minor"/>
    </font>
    <font>
      <b/>
      <sz val="12.0"/>
      <color theme="1"/>
      <name val="Arial"/>
      <scheme val="minor"/>
    </font>
    <font>
      <sz val="13.0"/>
      <color rgb="FF000000"/>
      <name val="Calibri"/>
    </font>
    <font>
      <sz val="11.0"/>
      <color rgb="FF000000"/>
      <name val="Arial"/>
      <scheme val="minor"/>
    </font>
    <font>
      <sz val="13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FF0000"/>
      <name val="Arial"/>
      <scheme val="minor"/>
    </font>
    <font>
      <sz val="10.0"/>
      <color theme="1"/>
      <name val="Arial"/>
      <scheme val="minor"/>
    </font>
    <font>
      <b/>
      <color rgb="FFEA4335"/>
      <name val="Arial"/>
    </font>
    <font>
      <b/>
      <color rgb="FFFF9900"/>
      <name val="Arial"/>
    </font>
    <font>
      <b/>
      <color rgb="FFFF0000"/>
      <name val="Arial"/>
    </font>
    <font>
      <b/>
      <color theme="1"/>
      <name val="Arial"/>
    </font>
    <font>
      <b/>
      <color rgb="FF434343"/>
      <name val="Arial"/>
      <scheme val="minor"/>
    </font>
    <font>
      <b/>
      <sz val="9.0"/>
      <color rgb="FFEA4335"/>
      <name val="Arial"/>
    </font>
    <font>
      <b/>
      <sz val="9.0"/>
      <color rgb="FFFF9900"/>
      <name val="Arial"/>
    </font>
    <font>
      <b/>
      <sz val="9.0"/>
      <color rgb="FFFF0000"/>
      <name val="Arial"/>
    </font>
    <font>
      <b/>
      <sz val="9.0"/>
      <color theme="1"/>
      <name val="Arial"/>
    </font>
    <font>
      <b/>
      <color rgb="FFFFFF00"/>
      <name val="Arial"/>
      <scheme val="minor"/>
    </font>
    <font>
      <sz val="9.0"/>
      <color rgb="FF000000"/>
      <name val="&quot;Google Sans Mono&quot;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1" fillId="0" fontId="3" numFmtId="164" xfId="0" applyAlignment="1" applyBorder="1" applyFont="1" applyNumberFormat="1">
      <alignment horizontal="center" shrinkToFit="0" wrapText="1"/>
    </xf>
    <xf borderId="0" fillId="2" fontId="2" numFmtId="2" xfId="0" applyAlignment="1" applyFill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vertical="bottom"/>
    </xf>
    <xf borderId="1" fillId="0" fontId="7" numFmtId="0" xfId="0" applyAlignment="1" applyBorder="1" applyFont="1">
      <alignment horizontal="center" readingOrder="0"/>
    </xf>
    <xf borderId="0" fillId="2" fontId="8" numFmtId="0" xfId="0" applyAlignment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0" fillId="2" fontId="9" numFmtId="0" xfId="0" applyAlignment="1" applyFill="1" applyFont="1">
      <alignment horizontal="center" readingOrder="0"/>
    </xf>
    <xf borderId="0" fillId="0" fontId="6" numFmtId="0" xfId="0" applyAlignment="1" applyFont="1">
      <alignment readingOrder="0" vertical="bottom"/>
    </xf>
    <xf borderId="0" fillId="0" fontId="5" numFmtId="1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2" fontId="10" numFmtId="0" xfId="0" applyAlignment="1" applyFill="1" applyFont="1">
      <alignment horizontal="center" readingOrder="0"/>
    </xf>
    <xf borderId="0" fillId="0" fontId="11" numFmtId="0" xfId="0" applyAlignment="1" applyFont="1">
      <alignment horizontal="center" shrinkToFit="0" wrapText="1"/>
    </xf>
    <xf borderId="0" fillId="2" fontId="10" numFmtId="2" xfId="0" applyAlignment="1" applyFill="1" applyFont="1" applyNumberFormat="1">
      <alignment horizontal="center"/>
    </xf>
    <xf borderId="0" fillId="0" fontId="4" numFmtId="0" xfId="0" applyAlignment="1" applyFont="1">
      <alignment horizontal="center" readingOrder="0"/>
    </xf>
    <xf borderId="2" fillId="4" fontId="11" numFmtId="0" xfId="0" applyAlignment="1" applyBorder="1" applyFill="1" applyFont="1">
      <alignment horizontal="center" readingOrder="0" shrinkToFit="0" wrapText="1"/>
    </xf>
    <xf borderId="3" fillId="0" fontId="12" numFmtId="0" xfId="0" applyBorder="1" applyFont="1"/>
    <xf borderId="4" fillId="0" fontId="11" numFmtId="0" xfId="0" applyAlignment="1" applyBorder="1" applyFont="1">
      <alignment horizontal="center" readingOrder="0" shrinkToFit="0" wrapText="1"/>
    </xf>
    <xf borderId="4" fillId="0" fontId="12" numFmtId="0" xfId="0" applyBorder="1" applyFont="1"/>
    <xf borderId="0" fillId="0" fontId="1" numFmtId="10" xfId="0" applyAlignment="1" applyFont="1" applyNumberFormat="1">
      <alignment horizontal="center"/>
    </xf>
    <xf borderId="5" fillId="0" fontId="12" numFmtId="0" xfId="0" applyBorder="1" applyFont="1"/>
    <xf borderId="5" fillId="5" fontId="11" numFmtId="0" xfId="0" applyAlignment="1" applyBorder="1" applyFill="1" applyFont="1">
      <alignment horizontal="center" readingOrder="0" shrinkToFit="0" wrapText="1"/>
    </xf>
    <xf borderId="1" fillId="5" fontId="11" numFmtId="0" xfId="0" applyAlignment="1" applyBorder="1" applyFill="1" applyFont="1">
      <alignment horizontal="center" readingOrder="0" shrinkToFit="0" wrapText="1"/>
    </xf>
    <xf borderId="0" fillId="0" fontId="1" numFmtId="166" xfId="0" applyAlignment="1" applyFont="1" applyNumberFormat="1">
      <alignment horizontal="center"/>
    </xf>
    <xf borderId="2" fillId="5" fontId="11" numFmtId="0" xfId="0" applyAlignment="1" applyBorder="1" applyFill="1" applyFont="1">
      <alignment horizontal="center" readingOrder="0" shrinkToFit="0" wrapText="1"/>
    </xf>
    <xf borderId="1" fillId="2" fontId="7" numFmtId="0" xfId="0" applyAlignment="1" applyBorder="1" applyFill="1" applyFont="1">
      <alignment horizontal="center" readingOrder="0"/>
    </xf>
    <xf borderId="6" fillId="2" fontId="11" numFmtId="0" xfId="0" applyAlignment="1" applyBorder="1" applyFill="1" applyFont="1">
      <alignment horizontal="center" readingOrder="0" shrinkToFit="0" wrapText="1"/>
    </xf>
    <xf borderId="6" fillId="2" fontId="13" numFmtId="0" xfId="0" applyAlignment="1" applyBorder="1" applyFill="1" applyFont="1">
      <alignment horizontal="center" readingOrder="0" shrinkToFit="0" wrapText="1"/>
    </xf>
    <xf borderId="3" fillId="0" fontId="11" numFmtId="0" xfId="0" applyAlignment="1" applyBorder="1" applyFont="1">
      <alignment horizontal="center" readingOrder="0" shrinkToFit="0" wrapText="1"/>
    </xf>
    <xf borderId="1" fillId="2" fontId="7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 readingOrder="0" shrinkToFit="0" wrapText="1"/>
    </xf>
    <xf borderId="2" fillId="0" fontId="11" numFmtId="0" xfId="0" applyAlignment="1" applyBorder="1" applyFont="1">
      <alignment horizontal="center" readingOrder="0" shrinkToFit="0" wrapText="1"/>
    </xf>
    <xf borderId="7" fillId="0" fontId="12" numFmtId="0" xfId="0" applyBorder="1" applyFont="1"/>
    <xf borderId="0" fillId="0" fontId="11" numFmtId="1" xfId="0" applyAlignment="1" applyFont="1" applyNumberFormat="1">
      <alignment horizontal="center" shrinkToFit="0" wrapText="1"/>
    </xf>
    <xf borderId="0" fillId="0" fontId="6" numFmtId="166" xfId="0" applyAlignment="1" applyFont="1" applyNumberFormat="1">
      <alignment vertical="bottom"/>
    </xf>
    <xf borderId="0" fillId="0" fontId="14" numFmtId="0" xfId="0" applyAlignment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 shrinkToFit="0" vertical="bottom" wrapText="1"/>
    </xf>
    <xf borderId="1" fillId="5" fontId="15" numFmtId="0" xfId="0" applyAlignment="1" applyBorder="1" applyFill="1" applyFont="1">
      <alignment horizontal="center" readingOrder="0" shrinkToFit="0" vertical="bottom" wrapText="1"/>
    </xf>
    <xf borderId="2" fillId="5" fontId="15" numFmtId="0" xfId="0" applyAlignment="1" applyBorder="1" applyFill="1" applyFont="1">
      <alignment horizontal="center" readingOrder="0" shrinkToFit="0" vertical="bottom" wrapText="1"/>
    </xf>
    <xf borderId="6" fillId="4" fontId="15" numFmtId="0" xfId="0" applyAlignment="1" applyBorder="1" applyFill="1" applyFont="1">
      <alignment horizontal="center" readingOrder="0" shrinkToFit="0" vertical="bottom" wrapText="1"/>
    </xf>
    <xf borderId="3" fillId="4" fontId="15" numFmtId="0" xfId="0" applyAlignment="1" applyBorder="1" applyFill="1" applyFont="1">
      <alignment horizontal="center" readingOrder="0" shrinkToFit="0" vertical="bottom" wrapText="1"/>
    </xf>
    <xf borderId="1" fillId="4" fontId="15" numFmtId="0" xfId="0" applyAlignment="1" applyBorder="1" applyFill="1" applyFont="1">
      <alignment horizontal="center" readingOrder="0" shrinkToFit="0" vertical="bottom" wrapText="1"/>
    </xf>
    <xf borderId="1" fillId="0" fontId="14" numFmtId="0" xfId="0" applyAlignment="1" applyBorder="1" applyFont="1">
      <alignment horizontal="center" readingOrder="0" shrinkToFit="0" wrapText="1"/>
    </xf>
    <xf borderId="1" fillId="3" fontId="15" numFmtId="0" xfId="0" applyAlignment="1" applyBorder="1" applyFill="1" applyFont="1">
      <alignment horizontal="center" readingOrder="0" shrinkToFit="0" vertical="bottom" wrapText="1"/>
    </xf>
    <xf borderId="1" fillId="4" fontId="15" numFmtId="1" xfId="0" applyAlignment="1" applyBorder="1" applyFill="1" applyFont="1" applyNumberFormat="1">
      <alignment horizontal="center" readingOrder="0" shrinkToFit="0" vertical="bottom" wrapText="1"/>
    </xf>
    <xf borderId="1" fillId="3" fontId="15" numFmtId="1" xfId="0" applyAlignment="1" applyBorder="1" applyFill="1" applyFont="1" applyNumberFormat="1">
      <alignment horizontal="center" readingOrder="0" shrinkToFit="0" vertical="bottom" wrapText="1"/>
    </xf>
    <xf borderId="0" fillId="0" fontId="14" numFmtId="0" xfId="0" applyAlignment="1" applyFont="1">
      <alignment horizontal="center" shrinkToFit="0" wrapText="1"/>
    </xf>
    <xf borderId="0" fillId="0" fontId="16" numFmtId="0" xfId="0" applyAlignment="1" applyFont="1">
      <alignment horizontal="center" shrinkToFit="0" vertical="bottom" wrapText="0"/>
    </xf>
    <xf borderId="0" fillId="0" fontId="1" numFmtId="167" xfId="0" applyAlignment="1" applyFont="1" applyNumberFormat="1">
      <alignment horizontal="center"/>
    </xf>
    <xf borderId="1" fillId="0" fontId="17" numFmtId="0" xfId="0" applyAlignment="1" applyBorder="1" applyFont="1">
      <alignment horizontal="center" shrinkToFit="0" vertical="bottom" wrapText="0"/>
    </xf>
    <xf borderId="1" fillId="6" fontId="17" numFmtId="0" xfId="0" applyAlignment="1" applyBorder="1" applyFill="1" applyFont="1">
      <alignment horizontal="center" shrinkToFit="0" vertical="bottom" wrapText="0"/>
    </xf>
    <xf borderId="1" fillId="5" fontId="17" numFmtId="0" xfId="0" applyAlignment="1" applyBorder="1" applyFill="1" applyFont="1">
      <alignment horizontal="center" shrinkToFit="0" vertical="bottom" wrapText="0"/>
    </xf>
    <xf borderId="0" fillId="2" fontId="18" numFmtId="0" xfId="0" applyAlignment="1" applyFill="1" applyFont="1">
      <alignment horizontal="center" readingOrder="0"/>
    </xf>
    <xf borderId="2" fillId="5" fontId="17" numFmtId="0" xfId="0" applyAlignment="1" applyBorder="1" applyFill="1" applyFont="1">
      <alignment horizontal="center" shrinkToFit="0" vertical="bottom" wrapText="0"/>
    </xf>
    <xf borderId="6" fillId="5" fontId="17" numFmtId="0" xfId="0" applyAlignment="1" applyBorder="1" applyFill="1" applyFont="1">
      <alignment horizontal="center" shrinkToFit="0" vertical="bottom" wrapText="0"/>
    </xf>
    <xf borderId="0" fillId="2" fontId="18" numFmtId="0" xfId="0" applyAlignment="1" applyFill="1" applyFont="1">
      <alignment horizontal="center"/>
    </xf>
    <xf borderId="3" fillId="7" fontId="17" numFmtId="0" xfId="0" applyAlignment="1" applyBorder="1" applyFill="1" applyFont="1">
      <alignment horizontal="center" shrinkToFit="0" vertical="bottom" wrapText="0"/>
    </xf>
    <xf borderId="1" fillId="2" fontId="17" numFmtId="0" xfId="0" applyAlignment="1" applyBorder="1" applyFill="1" applyFont="1">
      <alignment horizontal="center" shrinkToFit="0" vertical="bottom" wrapText="0"/>
    </xf>
    <xf borderId="1" fillId="2" fontId="16" numFmtId="0" xfId="0" applyAlignment="1" applyBorder="1" applyFill="1" applyFont="1">
      <alignment horizontal="center" shrinkToFit="0" vertical="bottom" wrapText="0"/>
    </xf>
    <xf borderId="0" fillId="0" fontId="1" numFmtId="2" xfId="0" applyAlignment="1" applyFont="1" applyNumberFormat="1">
      <alignment horizontal="center"/>
    </xf>
    <xf borderId="1" fillId="0" fontId="16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/>
    </xf>
    <xf borderId="0" fillId="0" fontId="16" numFmtId="0" xfId="0" applyAlignment="1" applyFont="1">
      <alignment horizontal="center" readingOrder="0" shrinkToFit="0" vertical="bottom" wrapText="0"/>
    </xf>
    <xf borderId="1" fillId="3" fontId="17" numFmtId="0" xfId="0" applyAlignment="1" applyBorder="1" applyFill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1" fillId="6" fontId="19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3" fontId="7" numFmtId="0" xfId="0" applyAlignment="1" applyBorder="1" applyFill="1" applyFont="1">
      <alignment horizontal="center"/>
    </xf>
    <xf borderId="1" fillId="5" fontId="17" numFmtId="10" xfId="0" applyAlignment="1" applyBorder="1" applyFill="1" applyFont="1" applyNumberFormat="1">
      <alignment horizontal="center" shrinkToFit="0" vertical="bottom" wrapText="0"/>
    </xf>
    <xf borderId="0" fillId="6" fontId="20" numFmtId="0" xfId="0" applyAlignment="1" applyFill="1" applyFont="1">
      <alignment horizontal="center"/>
    </xf>
    <xf borderId="1" fillId="5" fontId="17" numFmtId="166" xfId="0" applyAlignment="1" applyBorder="1" applyFill="1" applyFont="1" applyNumberFormat="1">
      <alignment horizontal="center" readingOrder="0" shrinkToFit="0" vertical="bottom" wrapText="0"/>
    </xf>
    <xf borderId="1" fillId="8" fontId="7" numFmtId="0" xfId="0" applyAlignment="1" applyBorder="1" applyFill="1" applyFont="1">
      <alignment horizontal="center" readingOrder="0"/>
    </xf>
    <xf borderId="1" fillId="9" fontId="7" numFmtId="0" xfId="0" applyAlignment="1" applyBorder="1" applyFill="1" applyFont="1">
      <alignment horizontal="center" readingOrder="0"/>
    </xf>
    <xf borderId="1" fillId="5" fontId="17" numFmtId="166" xfId="0" applyAlignment="1" applyBorder="1" applyFill="1" applyFont="1" applyNumberFormat="1">
      <alignment horizontal="center" shrinkToFit="0" vertical="bottom" wrapText="0"/>
    </xf>
    <xf borderId="1" fillId="4" fontId="7" numFmtId="0" xfId="0" applyAlignment="1" applyBorder="1" applyFill="1" applyFont="1">
      <alignment horizontal="center" readingOrder="0"/>
    </xf>
    <xf borderId="1" fillId="10" fontId="7" numFmtId="0" xfId="0" applyAlignment="1" applyBorder="1" applyFill="1" applyFont="1">
      <alignment horizontal="center" readingOrder="0"/>
    </xf>
    <xf borderId="2" fillId="5" fontId="21" numFmtId="166" xfId="0" applyAlignment="1" applyBorder="1" applyFill="1" applyFont="1" applyNumberFormat="1">
      <alignment horizontal="center" readingOrder="0" shrinkToFit="0" vertical="bottom" wrapText="0"/>
    </xf>
    <xf borderId="6" fillId="5" fontId="22" numFmtId="166" xfId="0" applyAlignment="1" applyBorder="1" applyFill="1" applyFont="1" applyNumberFormat="1">
      <alignment horizontal="center" readingOrder="0" shrinkToFit="0" vertical="bottom" wrapText="0"/>
    </xf>
    <xf borderId="0" fillId="0" fontId="4" numFmtId="168" xfId="0" applyAlignment="1" applyFont="1" applyNumberFormat="1">
      <alignment horizontal="center"/>
    </xf>
    <xf borderId="6" fillId="5" fontId="22" numFmtId="166" xfId="0" applyAlignment="1" applyBorder="1" applyFill="1" applyFont="1" applyNumberFormat="1">
      <alignment horizontal="center" shrinkToFit="0" vertical="bottom" wrapText="0"/>
    </xf>
    <xf borderId="0" fillId="0" fontId="4" numFmtId="1" xfId="0" applyAlignment="1" applyFont="1" applyNumberFormat="1">
      <alignment horizontal="center"/>
    </xf>
    <xf borderId="0" fillId="0" fontId="4" numFmtId="169" xfId="0" applyAlignment="1" applyFont="1" applyNumberFormat="1">
      <alignment horizontal="center"/>
    </xf>
    <xf borderId="3" fillId="7" fontId="23" numFmtId="166" xfId="0" applyAlignment="1" applyBorder="1" applyFill="1" applyFont="1" applyNumberFormat="1">
      <alignment horizontal="center" shrinkToFit="0" vertical="bottom" wrapText="0"/>
    </xf>
    <xf borderId="1" fillId="0" fontId="4" numFmtId="1" xfId="0" applyAlignment="1" applyBorder="1" applyFont="1" applyNumberFormat="1">
      <alignment horizontal="center"/>
    </xf>
    <xf borderId="1" fillId="2" fontId="24" numFmtId="0" xfId="0" applyAlignment="1" applyBorder="1" applyFill="1" applyFont="1">
      <alignment horizontal="center" shrinkToFit="0" vertical="bottom" wrapText="0"/>
    </xf>
    <xf borderId="1" fillId="0" fontId="25" numFmtId="169" xfId="0" applyAlignment="1" applyBorder="1" applyFont="1" applyNumberFormat="1">
      <alignment horizontal="center" vertical="bottom"/>
    </xf>
    <xf borderId="1" fillId="0" fontId="17" numFmtId="2" xfId="0" applyAlignment="1" applyBorder="1" applyFont="1" applyNumberFormat="1">
      <alignment horizontal="center" shrinkToFit="0" vertical="bottom" wrapText="0"/>
    </xf>
    <xf borderId="1" fillId="2" fontId="24" numFmtId="10" xfId="0" applyAlignment="1" applyBorder="1" applyFill="1" applyFont="1" applyNumberFormat="1">
      <alignment horizontal="center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4" fontId="25" numFmtId="0" xfId="0" applyAlignment="1" applyFill="1" applyFont="1">
      <alignment horizontal="center" vertical="bottom"/>
    </xf>
    <xf borderId="1" fillId="0" fontId="17" numFmtId="10" xfId="0" applyAlignment="1" applyBorder="1" applyFont="1" applyNumberFormat="1">
      <alignment horizontal="center" shrinkToFit="0" vertical="bottom" wrapText="0"/>
    </xf>
    <xf borderId="0" fillId="0" fontId="9" numFmtId="0" xfId="0" applyAlignment="1" applyFont="1">
      <alignment horizontal="center"/>
    </xf>
    <xf borderId="1" fillId="0" fontId="16" numFmtId="10" xfId="0" applyAlignment="1" applyBorder="1" applyFont="1" applyNumberFormat="1">
      <alignment horizontal="center" shrinkToFit="0" vertical="bottom" wrapText="0"/>
    </xf>
    <xf borderId="0" fillId="0" fontId="9" numFmtId="167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0" fillId="11" fontId="25" numFmtId="0" xfId="0" applyAlignment="1" applyFill="1" applyFont="1">
      <alignment horizontal="center" vertical="bottom"/>
    </xf>
    <xf borderId="1" fillId="0" fontId="1" numFmtId="169" xfId="0" applyAlignment="1" applyBorder="1" applyFont="1" applyNumberFormat="1">
      <alignment horizontal="center"/>
    </xf>
    <xf borderId="1" fillId="6" fontId="26" numFmtId="2" xfId="0" applyAlignment="1" applyBorder="1" applyFill="1" applyFont="1" applyNumberFormat="1">
      <alignment horizontal="center" readingOrder="0"/>
    </xf>
    <xf borderId="1" fillId="2" fontId="17" numFmtId="0" xfId="0" applyAlignment="1" applyBorder="1" applyFill="1" applyFont="1">
      <alignment horizontal="center" readingOrder="0" shrinkToFit="0" vertical="bottom" wrapText="0"/>
    </xf>
    <xf borderId="0" fillId="2" fontId="18" numFmtId="2" xfId="0" applyAlignment="1" applyFill="1" applyFont="1" applyNumberFormat="1">
      <alignment horizontal="center"/>
    </xf>
    <xf borderId="3" fillId="7" fontId="23" numFmtId="166" xfId="0" applyAlignment="1" applyBorder="1" applyFill="1" applyFont="1" applyNumberFormat="1">
      <alignment horizontal="center" readingOrder="0" shrinkToFit="0" vertical="bottom" wrapText="0"/>
    </xf>
    <xf borderId="0" fillId="0" fontId="9" numFmtId="1" xfId="0" applyAlignment="1" applyFont="1" applyNumberFormat="1">
      <alignment horizontal="center"/>
    </xf>
    <xf borderId="0" fillId="0" fontId="6" numFmtId="0" xfId="0" applyAlignment="1" applyFont="1">
      <alignment horizontal="center" readingOrder="0" vertical="bottom"/>
    </xf>
    <xf borderId="0" fillId="5" fontId="6" numFmtId="0" xfId="0" applyAlignment="1" applyFill="1" applyFont="1">
      <alignment horizontal="center" readingOrder="0" vertical="bottom"/>
    </xf>
    <xf borderId="0" fillId="0" fontId="1" numFmtId="168" xfId="0" applyAlignment="1" applyFont="1" applyNumberFormat="1">
      <alignment horizontal="center"/>
    </xf>
    <xf borderId="0" fillId="0" fontId="1" numFmtId="2" xfId="0" applyAlignment="1" applyFont="1" applyNumberFormat="1">
      <alignment horizontal="center" readingOrder="0"/>
    </xf>
    <xf borderId="2" fillId="5" fontId="27" numFmtId="166" xfId="0" applyAlignment="1" applyBorder="1" applyFill="1" applyFont="1" applyNumberFormat="1">
      <alignment horizontal="center" shrinkToFit="0" vertical="bottom" wrapText="0"/>
    </xf>
    <xf borderId="0" fillId="5" fontId="6" numFmtId="1" xfId="0" applyAlignment="1" applyFill="1" applyFont="1" applyNumberFormat="1">
      <alignment horizontal="center" vertical="bottom"/>
    </xf>
    <xf borderId="1" fillId="2" fontId="9" numFmtId="170" xfId="0" applyAlignment="1" applyBorder="1" applyFill="1" applyFont="1" applyNumberForma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8" fontId="28" numFmtId="1" xfId="0" applyAlignment="1" applyFill="1" applyFont="1" applyNumberFormat="1">
      <alignment horizontal="center" vertical="bottom"/>
    </xf>
    <xf borderId="0" fillId="12" fontId="29" numFmtId="169" xfId="0" applyAlignment="1" applyFill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" fillId="0" fontId="30" numFmtId="0" xfId="0" applyAlignment="1" applyBorder="1" applyFont="1">
      <alignment horizontal="center"/>
    </xf>
    <xf borderId="2" fillId="5" fontId="17" numFmtId="166" xfId="0" applyAlignment="1" applyBorder="1" applyFill="1" applyFont="1" applyNumberFormat="1">
      <alignment horizontal="center" shrinkToFit="0" vertical="bottom" wrapText="0"/>
    </xf>
    <xf borderId="0" fillId="5" fontId="1" numFmtId="0" xfId="0" applyAlignment="1" applyFill="1" applyFont="1">
      <alignment horizontal="center"/>
    </xf>
    <xf borderId="0" fillId="2" fontId="18" numFmtId="166" xfId="0" applyAlignment="1" applyFill="1" applyFont="1" applyNumberFormat="1">
      <alignment horizontal="center"/>
    </xf>
    <xf borderId="0" fillId="5" fontId="31" numFmtId="0" xfId="0" applyAlignment="1" applyFill="1" applyFont="1">
      <alignment horizontal="center" readingOrder="0"/>
    </xf>
    <xf borderId="0" fillId="5" fontId="32" numFmtId="2" xfId="0" applyAlignment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6" fillId="5" fontId="16" numFmtId="0" xfId="0" applyAlignment="1" applyBorder="1" applyFill="1" applyFont="1">
      <alignment horizontal="center" shrinkToFit="0" vertical="bottom" wrapText="0"/>
    </xf>
    <xf borderId="3" fillId="0" fontId="33" numFmtId="0" xfId="0" applyAlignment="1" applyBorder="1" applyFont="1">
      <alignment horizontal="center" shrinkToFit="0" vertical="bottom" wrapText="0"/>
    </xf>
    <xf borderId="1" fillId="0" fontId="16" numFmtId="0" xfId="0" applyAlignment="1" applyBorder="1" applyFont="1">
      <alignment horizontal="center" readingOrder="0" vertical="bottom"/>
    </xf>
    <xf borderId="1" fillId="3" fontId="17" numFmtId="0" xfId="0" applyAlignment="1" applyBorder="1" applyFill="1" applyFont="1">
      <alignment horizontal="center" readingOrder="0" vertical="bottom"/>
    </xf>
    <xf borderId="1" fillId="6" fontId="19" numFmtId="0" xfId="0" applyAlignment="1" applyBorder="1" applyFill="1" applyFont="1">
      <alignment horizontal="center" vertical="bottom"/>
    </xf>
    <xf borderId="1" fillId="5" fontId="17" numFmtId="10" xfId="0" applyAlignment="1" applyBorder="1" applyFill="1" applyFont="1" applyNumberFormat="1">
      <alignment horizontal="center" vertical="bottom"/>
    </xf>
    <xf borderId="1" fillId="5" fontId="17" numFmtId="166" xfId="0" applyAlignment="1" applyBorder="1" applyFill="1" applyFont="1" applyNumberFormat="1">
      <alignment horizontal="center" vertical="bottom"/>
    </xf>
    <xf borderId="2" fillId="5" fontId="17" numFmtId="166" xfId="0" applyAlignment="1" applyBorder="1" applyFill="1" applyFont="1" applyNumberFormat="1">
      <alignment horizontal="center" vertical="bottom"/>
    </xf>
    <xf borderId="6" fillId="5" fontId="22" numFmtId="166" xfId="0" applyAlignment="1" applyBorder="1" applyFill="1" applyFont="1" applyNumberFormat="1">
      <alignment horizontal="center" vertical="bottom"/>
    </xf>
    <xf borderId="3" fillId="7" fontId="23" numFmtId="166" xfId="0" applyAlignment="1" applyBorder="1" applyFill="1" applyFont="1" applyNumberFormat="1">
      <alignment horizontal="center" vertical="bottom"/>
    </xf>
    <xf borderId="1" fillId="2" fontId="24" numFmtId="0" xfId="0" applyAlignment="1" applyBorder="1" applyFill="1" applyFont="1">
      <alignment horizontal="center" vertical="bottom"/>
    </xf>
    <xf borderId="1" fillId="0" fontId="17" numFmtId="0" xfId="0" applyAlignment="1" applyBorder="1" applyFont="1">
      <alignment horizontal="center" vertical="bottom"/>
    </xf>
    <xf borderId="1" fillId="0" fontId="17" numFmtId="2" xfId="0" applyAlignment="1" applyBorder="1" applyFont="1" applyNumberFormat="1">
      <alignment horizontal="center" vertical="bottom"/>
    </xf>
    <xf borderId="1" fillId="2" fontId="24" numFmtId="10" xfId="0" applyAlignment="1" applyBorder="1" applyFill="1" applyFont="1" applyNumberFormat="1">
      <alignment horizontal="center" vertical="bottom"/>
    </xf>
    <xf borderId="1" fillId="0" fontId="17" numFmtId="10" xfId="0" applyAlignment="1" applyBorder="1" applyFont="1" applyNumberFormat="1">
      <alignment horizontal="center" vertical="bottom"/>
    </xf>
    <xf borderId="1" fillId="4" fontId="16" numFmtId="10" xfId="0" applyAlignment="1" applyBorder="1" applyFill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13" fontId="6" numFmtId="169" xfId="0" applyAlignment="1" applyBorder="1" applyFill="1" applyFont="1" applyNumberFormat="1">
      <alignment horizontal="center" vertical="bottom"/>
    </xf>
    <xf borderId="1" fillId="0" fontId="6" numFmtId="1" xfId="0" applyAlignment="1" applyBorder="1" applyFont="1" applyNumberFormat="1">
      <alignment horizontal="center" vertical="bottom"/>
    </xf>
    <xf borderId="1" fillId="4" fontId="26" numFmtId="2" xfId="0" applyAlignment="1" applyBorder="1" applyFill="1" applyFont="1" applyNumberFormat="1">
      <alignment horizontal="center" vertical="bottom"/>
    </xf>
    <xf borderId="1" fillId="2" fontId="17" numFmtId="0" xfId="0" applyAlignment="1" applyBorder="1" applyFill="1" applyFont="1">
      <alignment horizontal="center" readingOrder="0" vertical="bottom"/>
    </xf>
    <xf borderId="1" fillId="5" fontId="6" numFmtId="0" xfId="0" applyAlignment="1" applyBorder="1" applyFill="1" applyFont="1">
      <alignment horizontal="center" vertical="bottom"/>
    </xf>
    <xf borderId="1" fillId="5" fontId="6" numFmtId="10" xfId="0" applyAlignment="1" applyBorder="1" applyFill="1" applyFont="1" applyNumberFormat="1">
      <alignment horizontal="center" vertical="bottom"/>
    </xf>
    <xf borderId="1" fillId="0" fontId="6" numFmtId="169" xfId="0" applyAlignment="1" applyBorder="1" applyFont="1" applyNumberFormat="1">
      <alignment horizontal="center" vertical="bottom"/>
    </xf>
    <xf borderId="1" fillId="6" fontId="26" numFmtId="2" xfId="0" applyAlignment="1" applyBorder="1" applyFill="1" applyFont="1" applyNumberFormat="1">
      <alignment horizontal="center" vertical="bottom"/>
    </xf>
    <xf borderId="1" fillId="5" fontId="30" numFmtId="0" xfId="0" applyAlignment="1" applyBorder="1" applyFill="1" applyFont="1">
      <alignment horizontal="center"/>
    </xf>
    <xf borderId="2" fillId="5" fontId="30" numFmtId="0" xfId="0" applyAlignment="1" applyBorder="1" applyFill="1" applyFont="1">
      <alignment horizontal="center"/>
    </xf>
    <xf borderId="6" fillId="5" fontId="34" numFmtId="0" xfId="0" applyAlignment="1" applyBorder="1" applyFill="1" applyFont="1">
      <alignment horizontal="center"/>
    </xf>
    <xf borderId="3" fillId="0" fontId="35" numFmtId="0" xfId="0" applyAlignment="1" applyBorder="1" applyFont="1">
      <alignment horizontal="center"/>
    </xf>
    <xf borderId="1" fillId="0" fontId="36" numFmtId="0" xfId="0" applyAlignment="1" applyBorder="1" applyFont="1">
      <alignment horizontal="center"/>
    </xf>
    <xf borderId="2" fillId="0" fontId="30" numFmtId="0" xfId="0" applyAlignment="1" applyBorder="1" applyFont="1">
      <alignment horizontal="center"/>
    </xf>
    <xf borderId="3" fillId="0" fontId="30" numFmtId="0" xfId="0" applyAlignment="1" applyBorder="1" applyFont="1">
      <alignment horizontal="center"/>
    </xf>
    <xf borderId="1" fillId="0" fontId="37" numFmtId="10" xfId="0" applyAlignment="1" applyBorder="1" applyFont="1" applyNumberFormat="1">
      <alignment horizontal="center"/>
    </xf>
    <xf borderId="0" fillId="0" fontId="1" numFmtId="168" xfId="0" applyFont="1" applyNumberFormat="1"/>
    <xf borderId="1" fillId="5" fontId="17" numFmtId="171" xfId="0" applyAlignment="1" applyBorder="1" applyFill="1" applyFont="1" applyNumberFormat="1">
      <alignment horizontal="center" vertical="bottom"/>
    </xf>
    <xf borderId="2" fillId="5" fontId="17" numFmtId="171" xfId="0" applyAlignment="1" applyBorder="1" applyFill="1" applyFont="1" applyNumberFormat="1">
      <alignment horizontal="center" vertical="bottom"/>
    </xf>
    <xf borderId="1" fillId="5" fontId="17" numFmtId="4" xfId="0" applyAlignment="1" applyBorder="1" applyFill="1" applyFont="1" applyNumberFormat="1">
      <alignment horizontal="center" vertical="bottom"/>
    </xf>
    <xf borderId="2" fillId="5" fontId="17" numFmtId="4" xfId="0" applyAlignment="1" applyBorder="1" applyFill="1" applyFont="1" applyNumberFormat="1">
      <alignment horizontal="center" vertical="bottom"/>
    </xf>
    <xf borderId="0" fillId="0" fontId="30" numFmtId="0" xfId="0" applyAlignment="1" applyFont="1">
      <alignment horizontal="center"/>
    </xf>
    <xf borderId="0" fillId="0" fontId="36" numFmtId="0" xfId="0" applyAlignment="1" applyFont="1">
      <alignment horizontal="center"/>
    </xf>
    <xf borderId="0" fillId="14" fontId="9" numFmtId="0" xfId="0" applyAlignment="1" applyFill="1" applyFont="1">
      <alignment horizontal="center" readingOrder="0"/>
    </xf>
    <xf borderId="0" fillId="14" fontId="9" numFmtId="168" xfId="0" applyAlignment="1" applyFill="1" applyFont="1" applyNumberFormat="1">
      <alignment horizontal="center"/>
    </xf>
    <xf borderId="0" fillId="14" fontId="9" numFmtId="0" xfId="0" applyAlignment="1" applyFill="1" applyFont="1">
      <alignment horizontal="center"/>
    </xf>
    <xf borderId="0" fillId="14" fontId="9" numFmtId="2" xfId="0" applyAlignment="1" applyFill="1" applyFont="1" applyNumberFormat="1">
      <alignment horizontal="center" readingOrder="0"/>
    </xf>
    <xf borderId="0" fillId="14" fontId="9" numFmtId="2" xfId="0" applyAlignment="1" applyFill="1" applyFont="1" applyNumberFormat="1">
      <alignment horizontal="center"/>
    </xf>
    <xf borderId="0" fillId="14" fontId="9" numFmtId="10" xfId="0" applyAlignment="1" applyFill="1" applyFont="1" applyNumberFormat="1">
      <alignment horizontal="center"/>
    </xf>
    <xf borderId="0" fillId="14" fontId="9" numFmtId="166" xfId="0" applyAlignment="1" applyFill="1" applyFont="1" applyNumberFormat="1">
      <alignment horizontal="center"/>
    </xf>
    <xf borderId="1" fillId="6" fontId="17" numFmtId="4" xfId="0" applyAlignment="1" applyBorder="1" applyFill="1" applyFont="1" applyNumberFormat="1">
      <alignment horizontal="center" vertical="bottom"/>
    </xf>
    <xf borderId="0" fillId="14" fontId="1" numFmtId="0" xfId="0" applyAlignment="1" applyFill="1" applyFont="1">
      <alignment horizontal="center" readingOrder="0"/>
    </xf>
    <xf borderId="0" fillId="14" fontId="1" numFmtId="168" xfId="0" applyAlignment="1" applyFill="1" applyFont="1" applyNumberFormat="1">
      <alignment horizontal="center"/>
    </xf>
    <xf borderId="0" fillId="14" fontId="1" numFmtId="0" xfId="0" applyAlignment="1" applyFill="1" applyFont="1">
      <alignment horizontal="center"/>
    </xf>
    <xf borderId="0" fillId="14" fontId="1" numFmtId="166" xfId="0" applyAlignment="1" applyFill="1" applyFont="1" applyNumberFormat="1">
      <alignment horizontal="center"/>
    </xf>
    <xf borderId="0" fillId="14" fontId="1" numFmtId="2" xfId="0" applyAlignment="1" applyFill="1" applyFont="1" applyNumberFormat="1">
      <alignment horizontal="center"/>
    </xf>
    <xf borderId="0" fillId="14" fontId="1" numFmtId="10" xfId="0" applyAlignment="1" applyFill="1" applyFont="1" applyNumberFormat="1">
      <alignment horizontal="center"/>
    </xf>
    <xf borderId="1" fillId="5" fontId="17" numFmtId="172" xfId="0" applyAlignment="1" applyBorder="1" applyFill="1" applyFont="1" applyNumberFormat="1">
      <alignment horizontal="center" vertical="bottom"/>
    </xf>
    <xf borderId="2" fillId="5" fontId="17" numFmtId="172" xfId="0" applyAlignment="1" applyBorder="1" applyFill="1" applyFont="1" applyNumberFormat="1">
      <alignment horizontal="center" vertical="bottom"/>
    </xf>
    <xf borderId="0" fillId="0" fontId="9" numFmtId="2" xfId="0" applyAlignment="1" applyFont="1" applyNumberFormat="1">
      <alignment horizontal="center"/>
    </xf>
    <xf borderId="0" fillId="0" fontId="6" numFmtId="1" xfId="0" applyAlignment="1" applyFont="1" applyNumberFormat="1">
      <alignment vertical="bottom"/>
    </xf>
    <xf borderId="0" fillId="0" fontId="6" numFmtId="167" xfId="0" applyAlignment="1" applyFont="1" applyNumberFormat="1">
      <alignment vertical="bottom"/>
    </xf>
    <xf borderId="1" fillId="2" fontId="24" numFmtId="4" xfId="0" applyAlignment="1" applyBorder="1" applyFill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0" fontId="6" numFmtId="167" xfId="0" applyAlignment="1" applyFont="1" applyNumberFormat="1">
      <alignment horizontal="center" vertical="bottom"/>
    </xf>
    <xf borderId="1" fillId="2" fontId="24" numFmtId="3" xfId="0" applyAlignment="1" applyBorder="1" applyFill="1" applyFont="1" applyNumberFormat="1">
      <alignment horizontal="center" vertical="bottom"/>
    </xf>
    <xf borderId="1" fillId="5" fontId="22" numFmtId="171" xfId="0" applyAlignment="1" applyBorder="1" applyFill="1" applyFont="1" applyNumberFormat="1">
      <alignment horizontal="center" vertical="bottom"/>
    </xf>
    <xf borderId="0" fillId="0" fontId="38" numFmtId="0" xfId="0" applyAlignment="1" applyFont="1">
      <alignment horizontal="center"/>
    </xf>
    <xf borderId="0" fillId="0" fontId="6" numFmtId="166" xfId="0" applyAlignment="1" applyFont="1" applyNumberFormat="1">
      <alignment horizontal="center" vertical="bottom"/>
    </xf>
    <xf borderId="0" fillId="0" fontId="6" numFmtId="0" xfId="0" applyAlignment="1" applyFont="1">
      <alignment horizontal="right" vertical="bottom"/>
    </xf>
    <xf borderId="0" fillId="0" fontId="6" numFmtId="1" xfId="0" applyAlignment="1" applyFont="1" applyNumberFormat="1">
      <alignment horizontal="right" vertical="bottom"/>
    </xf>
    <xf borderId="0" fillId="0" fontId="6" numFmtId="167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2" fontId="39" numFmtId="0" xfId="0" applyAlignment="1" applyFill="1" applyFont="1">
      <alignment horizontal="center" vertical="bottom"/>
    </xf>
    <xf borderId="0" fillId="2" fontId="39" numFmtId="2" xfId="0" applyAlignment="1" applyFill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2" fontId="40" numFmtId="0" xfId="0" applyAlignment="1" applyFill="1" applyFont="1">
      <alignment horizontal="center" vertical="bottom"/>
    </xf>
    <xf borderId="0" fillId="2" fontId="40" numFmtId="2" xfId="0" applyAlignment="1" applyFill="1" applyFont="1" applyNumberFormat="1">
      <alignment horizontal="center" vertical="bottom"/>
    </xf>
    <xf borderId="0" fillId="0" fontId="6" numFmtId="10" xfId="0" applyAlignment="1" applyFont="1" applyNumberFormat="1">
      <alignment vertical="bottom"/>
    </xf>
    <xf borderId="0" fillId="0" fontId="6" numFmtId="10" xfId="0" applyAlignment="1" applyFont="1" applyNumberFormat="1">
      <alignment horizontal="center" vertical="bottom"/>
    </xf>
    <xf borderId="0" fillId="2" fontId="41" numFmtId="0" xfId="0" applyAlignment="1" applyFill="1" applyFont="1">
      <alignment horizontal="center" vertical="bottom"/>
    </xf>
    <xf borderId="0" fillId="2" fontId="41" numFmtId="0" xfId="0" applyAlignment="1" applyFill="1" applyFont="1">
      <alignment horizontal="center" vertical="bottom"/>
    </xf>
    <xf borderId="0" fillId="0" fontId="6" numFmtId="2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2" fontId="41" numFmtId="2" xfId="0" applyAlignment="1" applyFill="1" applyFont="1" applyNumberFormat="1">
      <alignment horizontal="center" vertical="bottom"/>
    </xf>
    <xf borderId="0" fillId="2" fontId="42" numFmtId="0" xfId="0" applyAlignment="1" applyFill="1" applyFont="1">
      <alignment horizontal="center" readingOrder="0" vertical="bottom"/>
    </xf>
    <xf borderId="0" fillId="0" fontId="6" numFmtId="168" xfId="0" applyAlignment="1" applyFont="1" applyNumberFormat="1">
      <alignment horizontal="center" vertical="bottom"/>
    </xf>
    <xf borderId="0" fillId="2" fontId="1" numFmtId="166" xfId="0" applyAlignment="1" applyFill="1" applyFont="1" applyNumberFormat="1">
      <alignment horizontal="center"/>
    </xf>
    <xf borderId="0" fillId="15" fontId="6" numFmtId="0" xfId="0" applyAlignment="1" applyFill="1" applyFont="1">
      <alignment horizontal="center" vertical="bottom"/>
    </xf>
    <xf borderId="0" fillId="15" fontId="6" numFmtId="168" xfId="0" applyAlignment="1" applyFill="1" applyFont="1" applyNumberFormat="1">
      <alignment horizontal="center" vertical="bottom"/>
    </xf>
    <xf borderId="0" fillId="15" fontId="6" numFmtId="167" xfId="0" applyAlignment="1" applyFill="1" applyFont="1" applyNumberFormat="1">
      <alignment horizontal="center" vertical="bottom"/>
    </xf>
    <xf borderId="0" fillId="15" fontId="9" numFmtId="0" xfId="0" applyAlignment="1" applyFill="1" applyFont="1">
      <alignment horizontal="center"/>
    </xf>
    <xf borderId="0" fillId="15" fontId="9" numFmtId="2" xfId="0" applyAlignment="1" applyFill="1" applyFont="1" applyNumberFormat="1">
      <alignment horizontal="center" readingOrder="0"/>
    </xf>
    <xf borderId="0" fillId="15" fontId="6" numFmtId="166" xfId="0" applyAlignment="1" applyFill="1" applyFont="1" applyNumberFormat="1">
      <alignment horizontal="center" vertical="bottom"/>
    </xf>
    <xf borderId="0" fillId="15" fontId="6" numFmtId="2" xfId="0" applyAlignment="1" applyFill="1" applyFont="1" applyNumberFormat="1">
      <alignment horizontal="center" vertical="bottom"/>
    </xf>
    <xf borderId="0" fillId="15" fontId="6" numFmtId="10" xfId="0" applyAlignment="1" applyFill="1" applyFont="1" applyNumberFormat="1">
      <alignment horizontal="center" vertical="bottom"/>
    </xf>
    <xf borderId="0" fillId="15" fontId="1" numFmtId="0" xfId="0" applyAlignment="1" applyFill="1" applyFont="1">
      <alignment horizontal="center"/>
    </xf>
    <xf borderId="0" fillId="15" fontId="9" numFmtId="166" xfId="0" applyAlignment="1" applyFill="1" applyFont="1" applyNumberFormat="1">
      <alignment horizontal="center"/>
    </xf>
    <xf borderId="0" fillId="2" fontId="41" numFmtId="166" xfId="0" applyAlignment="1" applyFill="1" applyFont="1" applyNumberFormat="1">
      <alignment horizontal="center" vertical="bottom"/>
    </xf>
    <xf borderId="0" fillId="0" fontId="1" numFmtId="0" xfId="0" applyFont="1"/>
    <xf borderId="0" fillId="3" fontId="43" numFmtId="0" xfId="0" applyAlignment="1" applyFill="1" applyFont="1">
      <alignment horizontal="center"/>
    </xf>
    <xf borderId="0" fillId="0" fontId="6" numFmtId="168" xfId="0" applyAlignment="1" applyFont="1" applyNumberFormat="1">
      <alignment horizontal="right" vertical="bottom"/>
    </xf>
    <xf borderId="0" fillId="2" fontId="6" numFmtId="166" xfId="0" applyAlignment="1" applyFill="1" applyFont="1" applyNumberFormat="1">
      <alignment horizontal="center" vertical="bottom"/>
    </xf>
    <xf borderId="0" fillId="0" fontId="6" numFmtId="168" xfId="0" applyAlignment="1" applyFont="1" applyNumberFormat="1">
      <alignment vertical="bottom"/>
    </xf>
    <xf borderId="0" fillId="14" fontId="6" numFmtId="0" xfId="0" applyAlignment="1" applyFill="1" applyFont="1">
      <alignment horizontal="center" vertical="bottom"/>
    </xf>
    <xf borderId="0" fillId="14" fontId="6" numFmtId="168" xfId="0" applyAlignment="1" applyFill="1" applyFont="1" applyNumberFormat="1">
      <alignment horizontal="center" vertical="bottom"/>
    </xf>
    <xf borderId="0" fillId="14" fontId="6" numFmtId="0" xfId="0" applyAlignment="1" applyFill="1" applyFont="1">
      <alignment vertical="bottom"/>
    </xf>
    <xf borderId="0" fillId="14" fontId="6" numFmtId="167" xfId="0" applyAlignment="1" applyFill="1" applyFont="1" applyNumberFormat="1">
      <alignment vertical="bottom"/>
    </xf>
    <xf borderId="0" fillId="14" fontId="6" numFmtId="166" xfId="0" applyAlignment="1" applyFill="1" applyFont="1" applyNumberFormat="1">
      <alignment horizontal="center" vertical="bottom"/>
    </xf>
    <xf borderId="0" fillId="14" fontId="6" numFmtId="2" xfId="0" applyAlignment="1" applyFill="1" applyFont="1" applyNumberFormat="1">
      <alignment horizontal="center" vertical="bottom"/>
    </xf>
    <xf borderId="0" fillId="14" fontId="6" numFmtId="10" xfId="0" applyAlignment="1" applyFill="1" applyFont="1" applyNumberFormat="1">
      <alignment horizontal="center" vertical="bottom"/>
    </xf>
    <xf borderId="0" fillId="0" fontId="6" numFmtId="168" xfId="0" applyAlignment="1" applyFont="1" applyNumberFormat="1">
      <alignment horizontal="center" readingOrder="0" vertical="bottom"/>
    </xf>
    <xf borderId="0" fillId="2" fontId="1" numFmtId="0" xfId="0" applyAlignment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2" fontId="1" numFmtId="2" xfId="0" applyAlignment="1" applyFill="1" applyFont="1" applyNumberFormat="1">
      <alignment horizontal="center" readingOrder="0"/>
    </xf>
    <xf borderId="0" fillId="16" fontId="1" numFmtId="166" xfId="0" applyAlignment="1" applyFill="1" applyFont="1" applyNumberFormat="1">
      <alignment horizontal="center"/>
    </xf>
    <xf borderId="0" fillId="2" fontId="42" numFmtId="166" xfId="0" applyAlignment="1" applyFill="1" applyFont="1" applyNumberFormat="1">
      <alignment horizontal="center" vertical="bottom"/>
    </xf>
    <xf borderId="0" fillId="14" fontId="42" numFmtId="0" xfId="0" applyAlignment="1" applyFill="1" applyFont="1">
      <alignment horizontal="center" vertical="bottom"/>
    </xf>
    <xf borderId="0" fillId="14" fontId="42" numFmtId="168" xfId="0" applyAlignment="1" applyFill="1" applyFont="1" applyNumberFormat="1">
      <alignment horizontal="center" vertical="bottom"/>
    </xf>
    <xf borderId="0" fillId="14" fontId="42" numFmtId="0" xfId="0" applyAlignment="1" applyFill="1" applyFont="1">
      <alignment vertical="bottom"/>
    </xf>
    <xf borderId="0" fillId="14" fontId="42" numFmtId="167" xfId="0" applyAlignment="1" applyFill="1" applyFont="1" applyNumberFormat="1">
      <alignment vertical="bottom"/>
    </xf>
    <xf borderId="0" fillId="14" fontId="42" numFmtId="166" xfId="0" applyAlignment="1" applyFill="1" applyFont="1" applyNumberFormat="1">
      <alignment horizontal="center" vertical="bottom"/>
    </xf>
    <xf borderId="0" fillId="14" fontId="42" numFmtId="2" xfId="0" applyAlignment="1" applyFill="1" applyFont="1" applyNumberFormat="1">
      <alignment horizontal="center" vertical="bottom"/>
    </xf>
    <xf borderId="0" fillId="14" fontId="42" numFmtId="10" xfId="0" applyAlignment="1" applyFill="1" applyFont="1" applyNumberFormat="1">
      <alignment horizontal="center" vertical="bottom"/>
    </xf>
    <xf borderId="0" fillId="0" fontId="6" numFmtId="166" xfId="0" applyAlignment="1" applyFont="1" applyNumberFormat="1">
      <alignment horizontal="right" vertical="bottom"/>
    </xf>
    <xf borderId="0" fillId="2" fontId="6" numFmtId="0" xfId="0" applyAlignment="1" applyFill="1" applyFont="1">
      <alignment readingOrder="0" vertical="bottom"/>
    </xf>
    <xf borderId="0" fillId="0" fontId="6" numFmtId="169" xfId="0" applyAlignment="1" applyFont="1" applyNumberFormat="1">
      <alignment vertical="bottom"/>
    </xf>
    <xf borderId="0" fillId="2" fontId="39" numFmtId="0" xfId="0" applyAlignment="1" applyFill="1" applyFont="1">
      <alignment horizontal="center" vertical="bottom"/>
    </xf>
    <xf borderId="0" fillId="2" fontId="42" numFmtId="0" xfId="0" applyAlignment="1" applyFill="1" applyFont="1">
      <alignment horizontal="center" vertical="bottom"/>
    </xf>
    <xf borderId="0" fillId="2" fontId="40" numFmtId="0" xfId="0" applyAlignment="1" applyFill="1" applyFont="1">
      <alignment horizontal="center" vertical="bottom"/>
    </xf>
    <xf borderId="0" fillId="0" fontId="42" numFmtId="0" xfId="0" applyAlignment="1" applyFont="1">
      <alignment horizontal="center" vertical="bottom"/>
    </xf>
    <xf borderId="0" fillId="0" fontId="42" numFmtId="167" xfId="0" applyAlignment="1" applyFont="1" applyNumberForma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6" fontId="6" numFmtId="1" xfId="0" applyAlignment="1" applyFill="1" applyFont="1" applyNumberFormat="1">
      <alignment horizontal="center" vertical="bottom"/>
    </xf>
    <xf borderId="1" fillId="2" fontId="42" numFmtId="170" xfId="0" applyAlignment="1" applyBorder="1" applyFill="1" applyFont="1" applyNumberFormat="1">
      <alignment horizontal="center" vertical="bottom"/>
    </xf>
    <xf borderId="0" fillId="6" fontId="6" numFmtId="0" xfId="0" applyAlignment="1" applyFill="1" applyFont="1">
      <alignment vertical="bottom"/>
    </xf>
    <xf borderId="0" fillId="12" fontId="42" numFmtId="169" xfId="0" applyAlignment="1" applyFill="1" applyFont="1" applyNumberFormat="1">
      <alignment horizontal="center" vertical="bottom"/>
    </xf>
    <xf borderId="0" fillId="2" fontId="6" numFmtId="0" xfId="0" applyAlignment="1" applyFill="1" applyFont="1">
      <alignment horizontal="right" vertical="bottom"/>
    </xf>
    <xf borderId="0" fillId="2" fontId="9" numFmtId="166" xfId="0" applyAlignment="1" applyFill="1" applyFont="1" applyNumberFormat="1">
      <alignment horizontal="center"/>
    </xf>
    <xf borderId="0" fillId="0" fontId="6" numFmtId="0" xfId="0" applyAlignment="1" applyFont="1">
      <alignment horizontal="center" vertical="center"/>
    </xf>
    <xf borderId="0" fillId="2" fontId="39" numFmtId="0" xfId="0" applyAlignment="1" applyFill="1" applyFont="1">
      <alignment horizontal="center" vertical="center"/>
    </xf>
    <xf borderId="0" fillId="2" fontId="39" numFmtId="2" xfId="0" applyAlignment="1" applyFill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2" fontId="9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14" fontId="6" numFmtId="167" xfId="0" applyAlignment="1" applyFill="1" applyFont="1" applyNumberFormat="1">
      <alignment horizontal="center" vertical="bottom"/>
    </xf>
    <xf borderId="0" fillId="2" fontId="6" numFmtId="0" xfId="0" applyAlignment="1" applyFill="1" applyFont="1">
      <alignment horizontal="center" readingOrder="0" vertical="bottom"/>
    </xf>
    <xf borderId="0" fillId="0" fontId="6" numFmtId="169" xfId="0" applyAlignment="1" applyFont="1" applyNumberFormat="1">
      <alignment horizontal="center" vertical="bottom"/>
    </xf>
    <xf borderId="0" fillId="0" fontId="6" numFmtId="0" xfId="0" applyFont="1"/>
    <xf borderId="0" fillId="2" fontId="39" numFmtId="0" xfId="0" applyAlignment="1" applyFill="1" applyFont="1">
      <alignment horizontal="center"/>
    </xf>
    <xf borderId="0" fillId="2" fontId="39" numFmtId="2" xfId="0" applyAlignment="1" applyFill="1" applyFont="1" applyNumberFormat="1">
      <alignment horizontal="center"/>
    </xf>
    <xf borderId="0" fillId="0" fontId="6" numFmtId="0" xfId="0" applyAlignment="1" applyFont="1">
      <alignment horizontal="center"/>
    </xf>
    <xf borderId="0" fillId="2" fontId="42" numFmtId="0" xfId="0" applyAlignment="1" applyFill="1" applyFont="1">
      <alignment horizontal="center"/>
    </xf>
    <xf borderId="0" fillId="2" fontId="44" numFmtId="0" xfId="0" applyAlignment="1" applyFill="1" applyFont="1">
      <alignment horizontal="left" vertical="bottom"/>
    </xf>
    <xf borderId="0" fillId="0" fontId="42" numFmtId="1" xfId="0" applyAlignment="1" applyFont="1" applyNumberFormat="1">
      <alignment horizontal="center" vertical="bottom"/>
    </xf>
    <xf borderId="0" fillId="2" fontId="44" numFmtId="2" xfId="0" applyAlignment="1" applyFill="1" applyFont="1" applyNumberFormat="1">
      <alignment horizontal="left" vertical="bottom"/>
    </xf>
    <xf borderId="0" fillId="0" fontId="6" numFmtId="0" xfId="0" applyAlignment="1" applyFont="1">
      <alignment horizontal="left" vertical="bottom"/>
    </xf>
    <xf borderId="0" fillId="0" fontId="6" numFmtId="170" xfId="0" applyAlignment="1" applyFont="1" applyNumberFormat="1">
      <alignment horizontal="left" vertical="bottom"/>
    </xf>
    <xf borderId="0" fillId="0" fontId="6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2" fontId="9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5" fontId="6" numFmtId="0" xfId="0" applyAlignment="1" applyFill="1" applyFont="1">
      <alignment horizontal="left" vertical="bottom"/>
    </xf>
    <xf borderId="0" fillId="2" fontId="45" numFmtId="0" xfId="0" applyAlignment="1" applyFill="1" applyFont="1">
      <alignment horizontal="left" vertical="bottom"/>
    </xf>
    <xf borderId="0" fillId="2" fontId="45" numFmtId="2" xfId="0" applyAlignment="1" applyFill="1" applyFont="1" applyNumberFormat="1">
      <alignment horizontal="left" vertical="bottom"/>
    </xf>
    <xf borderId="0" fillId="0" fontId="25" numFmtId="0" xfId="0" applyAlignment="1" applyFont="1">
      <alignment horizontal="left" vertical="bottom"/>
    </xf>
    <xf borderId="0" fillId="0" fontId="25" numFmtId="170" xfId="0" applyAlignment="1" applyFont="1" applyNumberFormat="1">
      <alignment horizontal="left" vertical="bottom"/>
    </xf>
    <xf borderId="0" fillId="0" fontId="6" numFmtId="10" xfId="0" applyAlignment="1" applyFont="1" applyNumberFormat="1">
      <alignment horizontal="left" vertical="bottom"/>
    </xf>
    <xf borderId="0" fillId="0" fontId="6" numFmtId="166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4" xfId="0" applyAlignment="1" applyFont="1" applyNumberFormat="1">
      <alignment horizontal="left"/>
    </xf>
    <xf borderId="0" fillId="0" fontId="1" numFmtId="3" xfId="0" applyAlignment="1" applyFont="1" applyNumberFormat="1">
      <alignment horizontal="left"/>
    </xf>
    <xf borderId="0" fillId="0" fontId="1" numFmtId="167" xfId="0" applyAlignment="1" applyFont="1" applyNumberFormat="1">
      <alignment horizontal="left"/>
    </xf>
    <xf borderId="0" fillId="2" fontId="46" numFmtId="0" xfId="0" applyAlignment="1" applyFill="1" applyFont="1">
      <alignment horizontal="left" vertical="bottom"/>
    </xf>
    <xf borderId="0" fillId="2" fontId="46" numFmtId="4" xfId="0" applyAlignment="1" applyFill="1" applyFont="1" applyNumberFormat="1">
      <alignment horizontal="left" vertical="bottom"/>
    </xf>
    <xf borderId="0" fillId="2" fontId="46" numFmtId="3" xfId="0" applyAlignment="1" applyFill="1" applyFont="1" applyNumberFormat="1">
      <alignment horizontal="left" vertical="bottom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9" numFmtId="1" xfId="0" applyAlignment="1" applyFont="1" applyNumberFormat="1">
      <alignment horizontal="left"/>
    </xf>
    <xf borderId="0" fillId="0" fontId="6" numFmtId="4" xfId="0" applyAlignment="1" applyFont="1" applyNumberFormat="1">
      <alignment horizontal="left" vertical="bottom"/>
    </xf>
    <xf borderId="0" fillId="0" fontId="6" numFmtId="3" xfId="0" applyAlignment="1" applyFont="1" applyNumberFormat="1">
      <alignment horizontal="left" vertical="bottom"/>
    </xf>
    <xf borderId="0" fillId="2" fontId="46" numFmtId="2" xfId="0" applyAlignment="1" applyFill="1" applyFont="1" applyNumberFormat="1">
      <alignment horizontal="left" vertical="bottom"/>
    </xf>
    <xf borderId="0" fillId="2" fontId="47" numFmtId="0" xfId="0" applyAlignment="1" applyFill="1" applyFont="1">
      <alignment horizontal="left" readingOrder="0" vertical="bottom"/>
    </xf>
    <xf borderId="0" fillId="5" fontId="25" numFmtId="0" xfId="0" applyAlignment="1" applyFill="1" applyFont="1">
      <alignment horizontal="left" vertical="bottom"/>
    </xf>
    <xf borderId="0" fillId="5" fontId="6" numFmtId="166" xfId="0" applyAlignment="1" applyFill="1" applyFont="1" applyNumberFormat="1">
      <alignment horizontal="left" readingOrder="0" vertical="bottom"/>
    </xf>
    <xf borderId="0" fillId="5" fontId="6" numFmtId="0" xfId="0" applyAlignment="1" applyFill="1" applyFont="1">
      <alignment horizontal="left" readingOrder="0" vertical="bottom"/>
    </xf>
    <xf borderId="0" fillId="0" fontId="16" numFmtId="0" xfId="0" applyAlignment="1" applyFont="1">
      <alignment horizontal="left" readingOrder="0" shrinkToFit="0" vertical="bottom" wrapText="0"/>
    </xf>
    <xf borderId="0" fillId="5" fontId="25" numFmtId="0" xfId="0" applyAlignment="1" applyFill="1" applyFont="1">
      <alignment horizontal="left" readingOrder="0" vertical="bottom"/>
    </xf>
    <xf borderId="0" fillId="0" fontId="1" numFmtId="1" xfId="0" applyAlignment="1" applyFont="1" applyNumberFormat="1">
      <alignment horizontal="left"/>
    </xf>
    <xf borderId="0" fillId="5" fontId="6" numFmtId="4" xfId="0" applyAlignment="1" applyFill="1" applyFont="1" applyNumberFormat="1">
      <alignment horizontal="left" vertical="bottom"/>
    </xf>
    <xf borderId="0" fillId="5" fontId="6" numFmtId="3" xfId="0" applyAlignment="1" applyFill="1" applyFont="1" applyNumberFormat="1">
      <alignment horizontal="left" vertical="bottom"/>
    </xf>
    <xf borderId="1" fillId="2" fontId="9" numFmtId="170" xfId="0" applyAlignment="1" applyBorder="1" applyFill="1" applyFont="1" applyNumberFormat="1">
      <alignment horizontal="left" readingOrder="0"/>
    </xf>
    <xf borderId="0" fillId="5" fontId="1" numFmtId="0" xfId="0" applyAlignment="1" applyFill="1" applyFont="1">
      <alignment horizontal="left" readingOrder="0"/>
    </xf>
    <xf borderId="0" fillId="8" fontId="28" numFmtId="1" xfId="0" applyAlignment="1" applyFill="1" applyFont="1" applyNumberFormat="1">
      <alignment horizontal="left" vertical="bottom"/>
    </xf>
    <xf borderId="0" fillId="8" fontId="48" numFmtId="169" xfId="0" applyAlignment="1" applyFill="1" applyFont="1" applyNumberFormat="1">
      <alignment horizontal="left"/>
    </xf>
    <xf borderId="0" fillId="0" fontId="16" numFmtId="4" xfId="0" applyAlignment="1" applyFont="1" applyNumberFormat="1">
      <alignment horizontal="left" readingOrder="0" shrinkToFit="0" vertical="bottom" wrapText="0"/>
    </xf>
    <xf borderId="0" fillId="6" fontId="49" numFmtId="0" xfId="0" applyAlignment="1" applyFill="1" applyFont="1">
      <alignment horizontal="left"/>
    </xf>
    <xf borderId="0" fillId="0" fontId="16" numFmtId="3" xfId="0" applyAlignment="1" applyFont="1" applyNumberFormat="1">
      <alignment horizontal="left" readingOrder="0" shrinkToFit="0" vertical="bottom" wrapText="0"/>
    </xf>
    <xf borderId="0" fillId="4" fontId="25" numFmtId="0" xfId="0" applyAlignment="1" applyFill="1" applyFont="1">
      <alignment horizontal="left" readingOrder="0" vertical="bottom"/>
    </xf>
    <xf borderId="0" fillId="5" fontId="25" numFmtId="170" xfId="0" applyAlignment="1" applyFill="1" applyFont="1" applyNumberFormat="1">
      <alignment horizontal="left" vertical="bottom"/>
    </xf>
    <xf borderId="0" fillId="0" fontId="1" numFmtId="166" xfId="0" applyAlignment="1" applyFont="1" applyNumberFormat="1">
      <alignment horizontal="left"/>
    </xf>
    <xf borderId="0" fillId="14" fontId="9" numFmtId="166" xfId="0" applyAlignment="1" applyFill="1" applyFont="1" applyNumberFormat="1">
      <alignment horizontal="left" readingOrder="0"/>
    </xf>
    <xf borderId="0" fillId="0" fontId="6" numFmtId="2" xfId="0" applyAlignment="1" applyFont="1" applyNumberFormat="1">
      <alignment horizontal="left" vertical="bottom"/>
    </xf>
    <xf borderId="0" fillId="0" fontId="25" numFmtId="10" xfId="0" applyAlignment="1" applyFont="1" applyNumberFormat="1">
      <alignment horizontal="left" vertical="bottom"/>
    </xf>
    <xf borderId="0" fillId="0" fontId="25" numFmtId="2" xfId="0" applyAlignment="1" applyFont="1" applyNumberFormat="1">
      <alignment horizontal="left" vertical="bottom"/>
    </xf>
    <xf borderId="0" fillId="0" fontId="16" numFmtId="4" xfId="0" applyAlignment="1" applyFont="1" applyNumberFormat="1">
      <alignment horizontal="center" readingOrder="0" shrinkToFit="0" vertical="bottom" wrapText="0"/>
    </xf>
    <xf borderId="0" fillId="0" fontId="16" numFmtId="3" xfId="0" applyAlignment="1" applyFont="1" applyNumberFormat="1">
      <alignment horizontal="center" readingOrder="0" shrinkToFit="0" vertical="bottom" wrapText="0"/>
    </xf>
    <xf borderId="0" fillId="0" fontId="16" numFmtId="173" xfId="0" applyAlignment="1" applyFont="1" applyNumberFormat="1">
      <alignment horizontal="center" readingOrder="0" shrinkToFit="0" vertical="bottom" wrapText="0"/>
    </xf>
    <xf borderId="0" fillId="5" fontId="46" numFmtId="166" xfId="0" applyAlignment="1" applyFill="1" applyFont="1" applyNumberFormat="1">
      <alignment horizontal="left" vertical="bottom"/>
    </xf>
    <xf borderId="0" fillId="0" fontId="16" numFmtId="174" xfId="0" applyAlignment="1" applyFont="1" applyNumberFormat="1">
      <alignment horizontal="center" readingOrder="0" shrinkToFit="0" vertical="bottom" wrapText="0"/>
    </xf>
    <xf borderId="0" fillId="14" fontId="6" numFmtId="2" xfId="0" applyAlignment="1" applyFill="1" applyFont="1" applyNumberFormat="1">
      <alignment vertical="bottom"/>
    </xf>
    <xf borderId="0" fillId="14" fontId="6" numFmtId="166" xfId="0" applyAlignment="1" applyFill="1" applyFont="1" applyNumberFormat="1">
      <alignment vertical="bottom"/>
    </xf>
    <xf borderId="0" fillId="14" fontId="6" numFmtId="10" xfId="0" applyAlignment="1" applyFill="1" applyFont="1" applyNumberFormat="1">
      <alignment vertical="bottom"/>
    </xf>
    <xf borderId="0" fillId="0" fontId="42" numFmtId="2" xfId="0" applyAlignment="1" applyFont="1" applyNumberForma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14" fontId="9" numFmtId="166" xfId="0" applyAlignment="1" applyFill="1" applyFont="1" applyNumberFormat="1">
      <alignment horizontal="left"/>
    </xf>
    <xf borderId="0" fillId="14" fontId="9" numFmtId="4" xfId="0" applyAlignment="1" applyFill="1" applyFont="1" applyNumberFormat="1">
      <alignment horizontal="left"/>
    </xf>
    <xf borderId="0" fillId="14" fontId="9" numFmtId="2" xfId="0" applyAlignment="1" applyFill="1" applyFont="1" applyNumberFormat="1">
      <alignment horizontal="left"/>
    </xf>
    <xf borderId="0" fillId="0" fontId="6" numFmtId="167" xfId="0" applyAlignment="1" applyFont="1" applyNumberFormat="1">
      <alignment horizontal="left" vertical="bottom"/>
    </xf>
    <xf borderId="0" fillId="0" fontId="9" numFmtId="2" xfId="0" applyAlignment="1" applyFont="1" applyNumberFormat="1">
      <alignment horizontal="left"/>
    </xf>
    <xf borderId="0" fillId="0" fontId="16" numFmtId="1" xfId="0" applyAlignment="1" applyFont="1" applyNumberFormat="1">
      <alignment horizontal="center" readingOrder="0" shrinkToFit="0" vertical="bottom" wrapText="0"/>
    </xf>
    <xf borderId="0" fillId="0" fontId="6" numFmtId="168" xfId="0" applyAlignment="1" applyFont="1" applyNumberFormat="1">
      <alignment horizontal="left" vertical="bottom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</dxfs>
  <tableStyles count="4">
    <tableStyle count="3" pivot="0" name="SIGNAL -style">
      <tableStyleElement dxfId="2" type="headerRow"/>
      <tableStyleElement dxfId="3" type="firstRowStripe"/>
      <tableStyleElement dxfId="4" type="secondRowStripe"/>
    </tableStyle>
    <tableStyle count="3" pivot="0" name="NIFTY-BANKNIFTY-style">
      <tableStyleElement dxfId="1" type="headerRow"/>
      <tableStyleElement dxfId="3" type="firstRowStripe"/>
      <tableStyleElement dxfId="5" type="secondRowStripe"/>
    </tableStyle>
    <tableStyle count="3" pivot="0" name="SIGNAL -style 2">
      <tableStyleElement dxfId="6" type="headerRow"/>
      <tableStyleElement dxfId="3" type="firstRowStripe"/>
      <tableStyleElement dxfId="7" type="secondRowStripe"/>
    </tableStyle>
    <tableStyle count="3" pivot="0" name="NIFTY-BANKNIFTY-style 2">
      <tableStyleElement dxfId="1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AD3" displayName="Table_1" name="Table_1" id="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SIGNAL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47:K48" displayName="Table_3" name="Table_3" id="3">
  <tableColumns count="3">
    <tableColumn name="Column1" id="1"/>
    <tableColumn name="Column2" id="2"/>
    <tableColumn name="Column3" id="3"/>
  </tableColumns>
  <tableStyleInfo name="SIGNAL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8:AC38" displayName="Table_2" name="Table_2" id="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NIFTY-BANKNIFT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68:AC68" displayName="Table_4" name="Table_4" id="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NIFTY-BANKNIFT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8.0"/>
    <col customWidth="1" min="3" max="3" width="13.75"/>
    <col customWidth="1" min="4" max="4" width="13.0"/>
    <col customWidth="1" min="5" max="5" width="10.0"/>
    <col customWidth="1" min="6" max="6" width="10.75"/>
    <col customWidth="1" min="7" max="7" width="8.13"/>
    <col customWidth="1" min="8" max="8" width="11.0"/>
    <col customWidth="1" min="9" max="9" width="11.63"/>
    <col customWidth="1" min="10" max="10" width="7.25"/>
    <col customWidth="1" min="11" max="11" width="6.75"/>
    <col customWidth="1" min="12" max="12" width="9.5"/>
    <col customWidth="1" min="13" max="14" width="7.75"/>
    <col customWidth="1" min="15" max="15" width="8.25"/>
    <col customWidth="1" min="16" max="16" width="9.38"/>
    <col customWidth="1" min="17" max="17" width="14.0"/>
    <col customWidth="1" min="18" max="20" width="6.75"/>
    <col customWidth="1" min="21" max="21" width="8.75"/>
    <col customWidth="1" min="22" max="23" width="6.75"/>
    <col customWidth="1" min="24" max="24" width="6.63"/>
    <col customWidth="1" min="25" max="25" width="9.5"/>
    <col customWidth="1" min="26" max="26" width="10.0"/>
    <col customWidth="1" min="27" max="27" width="7.88"/>
    <col customWidth="1" min="28" max="28" width="8.0"/>
    <col customWidth="1" min="29" max="29" width="8.88"/>
    <col customWidth="1" min="30" max="30" width="10.13"/>
    <col customWidth="1" min="31" max="31" width="2.13"/>
  </cols>
  <sheetData>
    <row r="1">
      <c r="A1" s="8"/>
      <c r="B1" s="11" t="s">
        <v>6</v>
      </c>
      <c r="Z1" s="8"/>
      <c r="AA1" s="15"/>
      <c r="AB1" s="15"/>
      <c r="AC1" s="8"/>
      <c r="AD1" s="8"/>
      <c r="AE1" s="16" t="s">
        <v>19</v>
      </c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37.5" customHeight="1">
      <c r="A2" s="18"/>
      <c r="B2" s="3">
        <f>IFERROR(__xludf.DUMMYFUNCTION("GOOGLEFINANCE(B5,""TRADETIME"")"),46311.64583333333)</f>
        <v>46311.64583</v>
      </c>
      <c r="C2" s="21" t="s">
        <v>22</v>
      </c>
      <c r="D2" s="22"/>
      <c r="E2" s="23" t="s">
        <v>24</v>
      </c>
      <c r="F2" s="24"/>
      <c r="G2" s="26"/>
      <c r="H2" s="27"/>
      <c r="J2" s="28" t="s">
        <v>26</v>
      </c>
      <c r="K2" s="30" t="s">
        <v>30</v>
      </c>
      <c r="L2" s="32"/>
      <c r="M2" s="33" t="s">
        <v>32</v>
      </c>
      <c r="N2" s="32"/>
      <c r="O2" s="34" t="s">
        <v>33</v>
      </c>
      <c r="P2" s="36" t="s">
        <v>34</v>
      </c>
      <c r="Q2" s="37" t="s">
        <v>35</v>
      </c>
      <c r="R2" s="38"/>
      <c r="S2" s="38"/>
      <c r="T2" s="22"/>
      <c r="U2" s="37" t="s">
        <v>36</v>
      </c>
      <c r="V2" s="38"/>
      <c r="W2" s="38"/>
      <c r="X2" s="22"/>
      <c r="Y2" s="18"/>
      <c r="Z2" s="18"/>
      <c r="AA2" s="39"/>
      <c r="AB2" s="39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</row>
    <row r="3" ht="43.5" customHeight="1">
      <c r="A3" s="41" t="s">
        <v>37</v>
      </c>
      <c r="B3" s="42" t="s">
        <v>38</v>
      </c>
      <c r="C3" s="42" t="s">
        <v>39</v>
      </c>
      <c r="D3" s="42" t="s">
        <v>40</v>
      </c>
      <c r="E3" s="42" t="s">
        <v>41</v>
      </c>
      <c r="F3" s="42" t="s">
        <v>42</v>
      </c>
      <c r="G3" s="42" t="s">
        <v>43</v>
      </c>
      <c r="H3" s="43" t="s">
        <v>44</v>
      </c>
      <c r="I3" s="28" t="s">
        <v>45</v>
      </c>
      <c r="J3" s="43" t="s">
        <v>46</v>
      </c>
      <c r="K3" s="44" t="s">
        <v>47</v>
      </c>
      <c r="L3" s="45" t="s">
        <v>48</v>
      </c>
      <c r="M3" s="45" t="s">
        <v>2</v>
      </c>
      <c r="N3" s="45" t="s">
        <v>3</v>
      </c>
      <c r="O3" s="46" t="s">
        <v>48</v>
      </c>
      <c r="P3" s="47" t="s">
        <v>48</v>
      </c>
      <c r="Q3" s="42" t="s">
        <v>0</v>
      </c>
      <c r="R3" s="42" t="s">
        <v>50</v>
      </c>
      <c r="S3" s="42" t="s">
        <v>51</v>
      </c>
      <c r="T3" s="42" t="s">
        <v>52</v>
      </c>
      <c r="U3" s="42" t="s">
        <v>48</v>
      </c>
      <c r="V3" s="42"/>
      <c r="W3" s="42" t="s">
        <v>2</v>
      </c>
      <c r="X3" s="48" t="s">
        <v>3</v>
      </c>
      <c r="Y3" s="47" t="s">
        <v>53</v>
      </c>
      <c r="Z3" s="49" t="s">
        <v>54</v>
      </c>
      <c r="AA3" s="50" t="s">
        <v>57</v>
      </c>
      <c r="AB3" s="51" t="s">
        <v>58</v>
      </c>
      <c r="AC3" s="49" t="s">
        <v>59</v>
      </c>
      <c r="AD3" s="49" t="s">
        <v>60</v>
      </c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>
      <c r="A4" s="53"/>
      <c r="B4" s="55"/>
      <c r="C4" s="55"/>
      <c r="D4" s="55"/>
      <c r="E4" s="55"/>
      <c r="F4" s="56"/>
      <c r="G4" s="55"/>
      <c r="H4" s="57"/>
      <c r="I4" s="57"/>
      <c r="J4" s="57"/>
      <c r="K4" s="59"/>
      <c r="L4" s="60"/>
      <c r="M4" s="60"/>
      <c r="N4" s="60"/>
      <c r="O4" s="62"/>
      <c r="P4" s="63"/>
      <c r="Q4" s="55"/>
      <c r="R4" s="55"/>
      <c r="S4" s="55"/>
      <c r="T4" s="55"/>
      <c r="U4" s="64"/>
      <c r="V4" s="55"/>
      <c r="W4" s="55"/>
      <c r="X4" s="66"/>
      <c r="Y4" s="66"/>
      <c r="Z4" s="67"/>
      <c r="AA4" s="68"/>
      <c r="AB4" s="68"/>
      <c r="AC4" s="67"/>
      <c r="AD4" s="67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69">
        <v>700.0</v>
      </c>
      <c r="B5" s="70" t="s">
        <v>65</v>
      </c>
      <c r="C5" s="72" t="str">
        <f t="shared" ref="C5:C6" si="1">if(AND(O5&gt;J5,P5&gt;=R5),"SELL Today","Do Not SELL Today")</f>
        <v>Do Not SELL Today</v>
      </c>
      <c r="D5" s="72" t="str">
        <f t="shared" ref="D5:D6" si="2">if(AND(P5&lt;S5,O5&lt;=K5,P5&lt;=0.995*T5),"BUY Today","Do Not BUY Today")</f>
        <v>Do Not BUY Today</v>
      </c>
      <c r="E5" s="75">
        <f>'ICICIBANK-HDFCBANK'!M2</f>
        <v>-0.3146345394</v>
      </c>
      <c r="F5" s="75">
        <f>'ICICIBANK-HDFCBANK'!M3</f>
        <v>0.2589301818</v>
      </c>
      <c r="G5" s="75">
        <f>'ICICIBANK-HDFCBANK'!M4</f>
        <v>0.02126703425</v>
      </c>
      <c r="H5" s="77" t="s">
        <v>71</v>
      </c>
      <c r="I5" s="80">
        <f>'ICICIBANK-HDFCBANK'!O2</f>
        <v>1.923078302</v>
      </c>
      <c r="J5" s="80">
        <f>'ICICIBANK-HDFCBANK'!P2</f>
        <v>2.05077574</v>
      </c>
      <c r="K5" s="83">
        <f>'ICICIBANK-HDFCBANK'!Q2</f>
        <v>1.788017158</v>
      </c>
      <c r="L5" s="84">
        <f>'ICICIBANK-HDFCBANK'!J128</f>
        <v>0.7366853963</v>
      </c>
      <c r="M5" s="86">
        <f>maX('ICICIBANK-HDFCBANK'!J11:J117)</f>
        <v>1.663233807</v>
      </c>
      <c r="N5" s="86">
        <f>MIN('ICICIBANK-HDFCBANK'!J11:J117)</f>
        <v>-1.574561582</v>
      </c>
      <c r="O5" s="89">
        <f>P5/P6</f>
        <v>1.916718118</v>
      </c>
      <c r="P5" s="91">
        <f>IFERROR(__xludf.DUMMYFUNCTION("GOOGLEFINANCE(B5,""PRICE"")"),1397.0)</f>
        <v>1397</v>
      </c>
      <c r="Q5" s="92">
        <f>IFERROR(__xludf.DUMMYFUNCTION("AVERAGE(QUERY(SORT(GOOGLEFINANCE(B5,""price"",TODAY()-320,TODAY()),1,0),""select Col2 limit 20""))"),1340.6399999999999)</f>
        <v>1340.64</v>
      </c>
      <c r="R5" s="55">
        <f>'ICICIBANK-HDFCBANK'!C3</f>
        <v>1427.5</v>
      </c>
      <c r="S5" s="93">
        <f>'ICICIBANK-HDFCBANK'!C8</f>
        <v>1351.709524</v>
      </c>
      <c r="T5" s="93">
        <f>'ICICIBANK-HDFCBANK'!C4</f>
        <v>1292.2</v>
      </c>
      <c r="U5" s="94">
        <f>'ICICIBANK-HDFCBANK'!O116</f>
        <v>-0.04023275772</v>
      </c>
      <c r="V5" s="95" t="s">
        <v>71</v>
      </c>
      <c r="W5" s="98">
        <f>MAX('ICICIBANK-HDFCBANK'!O87:O116)</f>
        <v>0.04304118011</v>
      </c>
      <c r="X5" s="100">
        <f>MIN('ICICIBANK-HDFCBANK'!O87:O116)</f>
        <v>-0.0763540069</v>
      </c>
      <c r="Y5" s="100">
        <f>(P5*A5)/(P6*A6)</f>
        <v>2.439459422</v>
      </c>
      <c r="Z5" s="102">
        <f>(A5*P5)-(A6*P6)</f>
        <v>577032.5</v>
      </c>
      <c r="AA5" s="104" t="b">
        <f>if((AD5="BUY"), -(Z5/P5)) </f>
        <v>0</v>
      </c>
      <c r="AB5" s="68">
        <f>P5*A5</f>
        <v>977900</v>
      </c>
      <c r="AC5" s="67"/>
      <c r="AD5" s="105" t="str">
        <f>if( Z5&lt;0,"Buy","Do Not buy")</f>
        <v>Do Not buy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69">
        <v>550.0</v>
      </c>
      <c r="B6" s="106" t="s">
        <v>68</v>
      </c>
      <c r="C6" s="72" t="str">
        <f t="shared" si="1"/>
        <v>Do Not SELL Today</v>
      </c>
      <c r="D6" s="72" t="str">
        <f t="shared" si="2"/>
        <v>Do Not BUY Today</v>
      </c>
      <c r="E6" s="57"/>
      <c r="F6" s="57"/>
      <c r="G6" s="57"/>
      <c r="H6" s="77" t="s">
        <v>91</v>
      </c>
      <c r="I6" s="80">
        <f>'ICICIBANK-HDFCBANK'!O3</f>
        <v>1.911026548</v>
      </c>
      <c r="J6" s="80">
        <f>'ICICIBANK-HDFCBANK'!P3</f>
        <v>2.05077574</v>
      </c>
      <c r="K6" s="83">
        <f>'ICICIBANK-HDFCBANK'!Q3</f>
        <v>1.698527183</v>
      </c>
      <c r="L6" s="84"/>
      <c r="M6" s="84"/>
      <c r="N6" s="84"/>
      <c r="O6" s="108">
        <f>P5/P6</f>
        <v>1.916718118</v>
      </c>
      <c r="P6" s="91">
        <f>IFERROR(__xludf.DUMMYFUNCTION("GOOGLEFINANCE(B6,""PRICE"")"),728.85)</f>
        <v>728.85</v>
      </c>
      <c r="Q6" s="92">
        <f>IFERROR(__xludf.DUMMYFUNCTION("AVERAGE(QUERY(SORT(GOOGLEFINANCE(B6,""price"",TODAY()-320,TODAY()),1,0),""select Col2 limit 20""))"),719.315)</f>
        <v>719.315</v>
      </c>
      <c r="R6" s="55">
        <f>'ICICIBANK-HDFCBANK'!F3</f>
        <v>739.5</v>
      </c>
      <c r="S6" s="93">
        <f>'ICICIBANK-HDFCBANK'!F8</f>
        <v>717.3595238</v>
      </c>
      <c r="T6" s="93">
        <f>'ICICIBANK-HDFCBANK'!F4</f>
        <v>687.1</v>
      </c>
      <c r="U6" s="91"/>
      <c r="V6" s="95" t="s">
        <v>100</v>
      </c>
      <c r="W6" s="98">
        <f>MAX('ICICIBANK-HDFCBANK'!O57:O116)</f>
        <v>0.09611089779</v>
      </c>
      <c r="X6" s="100">
        <f>MIN('ICICIBANK-HDFCBANK'!O57:O116)</f>
        <v>-0.0763540069</v>
      </c>
      <c r="Y6" s="100"/>
      <c r="Z6" s="67"/>
      <c r="AA6" s="104" t="b">
        <f>if((AD6="BUY"), (Z5/P6)) </f>
        <v>0</v>
      </c>
      <c r="AB6" s="68"/>
      <c r="AC6" s="67">
        <f>P6*A6</f>
        <v>400867.5</v>
      </c>
      <c r="AD6" s="105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53"/>
      <c r="B7" s="55"/>
      <c r="C7" s="55"/>
      <c r="D7" s="55"/>
      <c r="E7" s="57"/>
      <c r="F7" s="57"/>
      <c r="G7" s="57"/>
      <c r="H7" s="57"/>
      <c r="I7" s="57"/>
      <c r="J7" s="57"/>
      <c r="K7" s="114"/>
      <c r="L7" s="86"/>
      <c r="M7" s="86"/>
      <c r="N7" s="86"/>
      <c r="O7" s="89"/>
      <c r="P7" s="91"/>
      <c r="Q7" s="55"/>
      <c r="R7" s="55"/>
      <c r="S7" s="55"/>
      <c r="T7" s="55"/>
      <c r="U7" s="91"/>
      <c r="V7" s="55"/>
      <c r="W7" s="55"/>
      <c r="X7" s="66"/>
      <c r="Y7" s="66"/>
      <c r="Z7" s="67"/>
      <c r="AA7" s="68"/>
      <c r="AB7" s="68"/>
      <c r="AC7" s="67"/>
      <c r="AD7" s="67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69">
        <v>625.0</v>
      </c>
      <c r="B8" s="70" t="s">
        <v>102</v>
      </c>
      <c r="C8" s="72" t="str">
        <f t="shared" ref="C8:C9" si="3">if(AND(O8&gt;J8,P8&gt;=R8),"SELL Today","Do Not SELL Today")</f>
        <v>Do Not SELL Today</v>
      </c>
      <c r="D8" s="72" t="str">
        <f t="shared" ref="D8:D9" si="4">if(AND(P8&lt;S8,O8&lt;=K8,P8&lt;=0.995*T8),"BUY Today","Do Not BUY Today")</f>
        <v>Do Not BUY Today</v>
      </c>
      <c r="E8" s="75">
        <f>'AXISBANK-ICICIBANK'!N2</f>
        <v>0.7444866314</v>
      </c>
      <c r="F8" s="75">
        <f>'AXISBANK-ICICIBANK'!N3</f>
        <v>0.3790516779</v>
      </c>
      <c r="G8" s="75">
        <f>'AXISBANK-ICICIBANK'!N4</f>
        <v>-0.09975294971</v>
      </c>
      <c r="H8" s="77" t="s">
        <v>71</v>
      </c>
      <c r="I8" s="80">
        <f>'AXISBANK-ICICIBANK'!P2</f>
        <v>0.9018061774</v>
      </c>
      <c r="J8" s="80">
        <f>'AXISBANK-ICICIBANK'!Q2</f>
        <v>0.9388303832</v>
      </c>
      <c r="K8" s="83">
        <f>'AXISBANK-ICICIBANK'!R2</f>
        <v>0.8680677585</v>
      </c>
      <c r="L8" s="84">
        <f>'AXISBANK-ICICIBANK'!J128</f>
        <v>-0.2321985784</v>
      </c>
      <c r="M8" s="84">
        <f>MAX('AXISBANK-ICICIBANK'!J11:J117)</f>
        <v>1.473422204</v>
      </c>
      <c r="N8" s="84">
        <f>MIN('AXISBANK-ICICIBANK'!J11:J117)</f>
        <v>-1.516322011</v>
      </c>
      <c r="O8" s="89">
        <f>P8/P9</f>
        <v>0.9234073014</v>
      </c>
      <c r="P8" s="91">
        <f>IFERROR(__xludf.DUMMYFUNCTION("GOOGLEFINANCE(B8,""PRICE"")"),1290.0)</f>
        <v>1290</v>
      </c>
      <c r="Q8" s="92">
        <f>IFERROR(__xludf.DUMMYFUNCTION("AVERAGE(QUERY(SORT(GOOGLEFINANCE(B8,""price"",TODAY()-320,TODAY()),1,0),""select Col2 limit 20""))"),1242.3850000000002)</f>
        <v>1242.385</v>
      </c>
      <c r="R8" s="55">
        <f>'AXISBANK-ICICIBANK'!C3</f>
        <v>1273</v>
      </c>
      <c r="S8" s="93">
        <f>'AXISBANK-ICICIBANK'!C8</f>
        <v>1235.971429</v>
      </c>
      <c r="T8" s="93">
        <f>'AXISBANK-ICICIBANK'!C4</f>
        <v>1186.5</v>
      </c>
      <c r="U8" s="94">
        <f>'AXISBANK-ICICIBANK'!P116</f>
        <v>0.01859406511</v>
      </c>
      <c r="V8" s="95" t="s">
        <v>71</v>
      </c>
      <c r="W8" s="98">
        <f>MAX('AXISBANK-ICICIBANK'!P87:P116)</f>
        <v>0.05309430978</v>
      </c>
      <c r="X8" s="100">
        <f>MIN('AXISBANK-ICICIBANK'!P87:P116)</f>
        <v>-0.0128743402</v>
      </c>
      <c r="Y8" s="100">
        <f>(P8*A8)/(P9*A9)</f>
        <v>0.8244708048</v>
      </c>
      <c r="Z8" s="102">
        <f>(A8*P8)-(A9*P9)</f>
        <v>-171650</v>
      </c>
      <c r="AA8" s="104">
        <f>if((AD8="BUY"), -(Z8/P8)) </f>
        <v>133.0620155</v>
      </c>
      <c r="AB8" s="68">
        <f>P8*A8</f>
        <v>806250</v>
      </c>
      <c r="AC8" s="67"/>
      <c r="AD8" s="105" t="str">
        <f>if( Z8&lt;0,"Buy","Do Not buy")</f>
        <v>Buy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69">
        <v>700.0</v>
      </c>
      <c r="B9" s="106" t="s">
        <v>65</v>
      </c>
      <c r="C9" s="72" t="str">
        <f t="shared" si="3"/>
        <v>Do Not SELL Today</v>
      </c>
      <c r="D9" s="72" t="str">
        <f t="shared" si="4"/>
        <v>Do Not BUY Today</v>
      </c>
      <c r="E9" s="57"/>
      <c r="F9" s="57"/>
      <c r="G9" s="57"/>
      <c r="H9" s="77" t="s">
        <v>91</v>
      </c>
      <c r="I9" s="80">
        <f>'AXISBANK-ICICIBANK'!P3</f>
        <v>0.8893586104</v>
      </c>
      <c r="J9" s="80">
        <f>'ICICIBANK-HDFCBANK'!P3</f>
        <v>2.05077574</v>
      </c>
      <c r="K9" s="83">
        <f>'AXISBANK-ICICIBANK'!R3</f>
        <v>0.8490696548</v>
      </c>
      <c r="L9" s="84"/>
      <c r="M9" s="84"/>
      <c r="N9" s="84"/>
      <c r="O9" s="108">
        <f>P8/P9</f>
        <v>0.9234073014</v>
      </c>
      <c r="P9" s="91">
        <f>IFERROR(__xludf.DUMMYFUNCTION("GOOGLEFINANCE(B9,""PRICE"")"),1397.0)</f>
        <v>1397</v>
      </c>
      <c r="Q9" s="92">
        <f>IFERROR(__xludf.DUMMYFUNCTION("AVERAGE(QUERY(SORT(GOOGLEFINANCE(B9,""price"",TODAY()-320,TODAY()),1,0),""select Col2 limit 20""))"),1340.6399999999999)</f>
        <v>1340.64</v>
      </c>
      <c r="R9" s="55">
        <f>'AXISBANK-ICICIBANK'!F3</f>
        <v>1427.5</v>
      </c>
      <c r="S9" s="93">
        <f>'AXISBANK-ICICIBANK'!F8</f>
        <v>1351.709524</v>
      </c>
      <c r="T9" s="93">
        <f>'AXISBANK-ICICIBANK'!F4</f>
        <v>1292.2</v>
      </c>
      <c r="U9" s="91"/>
      <c r="V9" s="95" t="s">
        <v>100</v>
      </c>
      <c r="W9" s="98">
        <f>MAX('AXISBANK-ICICIBANK'!P57:P116)</f>
        <v>0.05309430978</v>
      </c>
      <c r="X9" s="100">
        <f>MIN('AXISBANK-ICICIBANK'!P57:P116)</f>
        <v>-0.1057871539</v>
      </c>
      <c r="Y9" s="100"/>
      <c r="Z9" s="67"/>
      <c r="AA9" s="104" t="b">
        <f>if((AD9="BUY"), (Z8/P9)) </f>
        <v>0</v>
      </c>
      <c r="AB9" s="68"/>
      <c r="AC9" s="67">
        <f>P9*A9</f>
        <v>977900</v>
      </c>
      <c r="AD9" s="105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53"/>
      <c r="B10" s="121"/>
      <c r="C10" s="55"/>
      <c r="D10" s="55"/>
      <c r="E10" s="57"/>
      <c r="F10" s="57"/>
      <c r="G10" s="57"/>
      <c r="H10" s="57"/>
      <c r="I10" s="57"/>
      <c r="J10" s="57"/>
      <c r="K10" s="114"/>
      <c r="L10" s="86"/>
      <c r="M10" s="86"/>
      <c r="N10" s="86"/>
      <c r="O10" s="89"/>
      <c r="P10" s="91"/>
      <c r="Q10" s="55"/>
      <c r="R10" s="55"/>
      <c r="S10" s="55"/>
      <c r="T10" s="55"/>
      <c r="U10" s="91"/>
      <c r="V10" s="55"/>
      <c r="W10" s="55"/>
      <c r="X10" s="66"/>
      <c r="Y10" s="66"/>
      <c r="Z10" s="67"/>
      <c r="AA10" s="68"/>
      <c r="AB10" s="68"/>
      <c r="AC10" s="67"/>
      <c r="AD10" s="67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69">
        <v>650.0</v>
      </c>
      <c r="B11" s="70" t="s">
        <v>111</v>
      </c>
      <c r="C11" s="72" t="str">
        <f t="shared" ref="C11:C12" si="5">if(AND(O11&gt;J11,P11&gt;=R11),"SELL Today","Do Not SELL Today")</f>
        <v>Do Not SELL Today</v>
      </c>
      <c r="D11" s="72" t="str">
        <f t="shared" ref="D11:D12" si="6">if(AND(P11&lt;S11,O11&gt;J11,P11&lt;=0.995*T11),"BUY Today","Do Not BUY Today")</f>
        <v>Do Not BUY Today</v>
      </c>
      <c r="E11" s="75">
        <f>'CIPLA-SUNPHARMA'!N2</f>
        <v>0.8167781868</v>
      </c>
      <c r="F11" s="75">
        <f>'CIPLA-SUNPHARMA'!N3</f>
        <v>0.8341926085</v>
      </c>
      <c r="G11" s="75">
        <f>'CIPLA-SUNPHARMA'!N4</f>
        <v>0.7144355818</v>
      </c>
      <c r="H11" s="77" t="s">
        <v>71</v>
      </c>
      <c r="I11" s="80">
        <f>'CIPLA-SUNPHARMA'!P2</f>
        <v>0.7404994986</v>
      </c>
      <c r="J11" s="80">
        <f>Max('CIPLA-SUNPHARMA'!Q2)</f>
        <v>0.7589941762</v>
      </c>
      <c r="K11" s="122">
        <f>Max('CIPLA-SUNPHARMA'!R2)</f>
        <v>0.7099959694</v>
      </c>
      <c r="L11" s="86">
        <f>'CIPLA-SUNPHARMA'!J128</f>
        <v>0.9229438655</v>
      </c>
      <c r="M11" s="86">
        <f>MAX('CIPLA-SUNPHARMA'!J11:J117)</f>
        <v>2.177740875</v>
      </c>
      <c r="N11" s="86">
        <f>MIN('CIPLA-SUNPHARMA'!J11:J117)</f>
        <v>-2.449323099</v>
      </c>
      <c r="O11" s="89">
        <f>P11/P12</f>
        <v>0.7534114169</v>
      </c>
      <c r="P11" s="91">
        <f>IFERROR(__xludf.DUMMYFUNCTION("GOOGLEFINANCE(B11,""PRICE"")"),1325.1)</f>
        <v>1325.1</v>
      </c>
      <c r="Q11" s="92">
        <f>IFERROR(__xludf.DUMMYFUNCTION("AVERAGE(QUERY(SORT(GOOGLEFINANCE(B11,""price"",TODAY()-320,TODAY()),1,0),""select Col2 limit 20""))"),1350.935)</f>
        <v>1350.935</v>
      </c>
      <c r="R11" s="55">
        <f>'CIPLA-SUNPHARMA'!C3</f>
        <v>1399.7</v>
      </c>
      <c r="S11" s="93">
        <f>'CIPLA-SUNPHARMA'!C8</f>
        <v>1372.704762</v>
      </c>
      <c r="T11" s="55">
        <f>'CIPLA-SUNPHARMA'!C4</f>
        <v>1335.5</v>
      </c>
      <c r="U11" s="94">
        <f>'CIPLA-SUNPHARMA'!P116</f>
        <v>0.00682143766</v>
      </c>
      <c r="V11" s="95" t="s">
        <v>71</v>
      </c>
      <c r="W11" s="98">
        <f>MAX('CIPLA-SUNPHARMA'!P87:P116)</f>
        <v>0.02929680416</v>
      </c>
      <c r="X11" s="98">
        <f>MIN('CIPLA-SUNPHARMA'!P57:P116)</f>
        <v>-0.05298929185</v>
      </c>
      <c r="Y11" s="100">
        <f>(P11*A11)/(P12*A12)</f>
        <v>1.399192631</v>
      </c>
      <c r="Z11" s="102">
        <f>(A11*P11)-(A12*P12)</f>
        <v>245735</v>
      </c>
      <c r="AA11" s="104" t="b">
        <f>if((AD11="BUY"), -(Z11/P11)) </f>
        <v>0</v>
      </c>
      <c r="AB11" s="68">
        <f>P11*A11</f>
        <v>861315</v>
      </c>
      <c r="AC11" s="67"/>
      <c r="AD11" s="105" t="str">
        <f>if( Z11&lt;0,"Buy","Do Not buy")</f>
        <v>Do Not buy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69">
        <v>350.0</v>
      </c>
      <c r="B12" s="106" t="s">
        <v>114</v>
      </c>
      <c r="C12" s="72" t="str">
        <f t="shared" si="5"/>
        <v>Do Not SELL Today</v>
      </c>
      <c r="D12" s="72" t="str">
        <f t="shared" si="6"/>
        <v>Do Not BUY Today</v>
      </c>
      <c r="E12" s="57"/>
      <c r="F12" s="57"/>
      <c r="G12" s="57"/>
      <c r="H12" s="77" t="s">
        <v>91</v>
      </c>
      <c r="I12" s="80">
        <f>'CIPLA-SUNPHARMA'!P3</f>
        <v>0.741511057</v>
      </c>
      <c r="J12" s="80">
        <f>Max('CIPLA-SUNPHARMA'!Q3)</f>
        <v>0.7632126287</v>
      </c>
      <c r="K12" s="122">
        <f>Max('CIPLA-SUNPHARMA'!R3)</f>
        <v>0.7099959694</v>
      </c>
      <c r="L12" s="86"/>
      <c r="M12" s="86"/>
      <c r="N12" s="86"/>
      <c r="O12" s="89">
        <f>P11/P12</f>
        <v>0.7534114169</v>
      </c>
      <c r="P12" s="91">
        <f>IFERROR(__xludf.DUMMYFUNCTION("GOOGLEFINANCE(B12,""PRICE"")"),1758.8)</f>
        <v>1758.8</v>
      </c>
      <c r="Q12" s="92">
        <f>IFERROR(__xludf.DUMMYFUNCTION("AVERAGE(QUERY(SORT(GOOGLEFINANCE(B12,""price"",TODAY()-320,TODAY()),1,0),""select Col2 limit 20""))"),1806.2400000000002)</f>
        <v>1806.24</v>
      </c>
      <c r="R12" s="55">
        <f>'CIPLA-SUNPHARMA'!F3</f>
        <v>1899</v>
      </c>
      <c r="S12" s="93">
        <f>'CIPLA-SUNPHARMA'!F8</f>
        <v>1848.842857</v>
      </c>
      <c r="T12" s="55">
        <f>'CIPLA-SUNPHARMA'!F4</f>
        <v>1779.7</v>
      </c>
      <c r="U12" s="91"/>
      <c r="V12" s="95" t="s">
        <v>100</v>
      </c>
      <c r="W12" s="98">
        <f>MAX('CIPLA-SUNPHARMA'!P57:P116)</f>
        <v>0.02929680416</v>
      </c>
      <c r="X12" s="98">
        <f>MIN('CIPLA-SUNPHARMA'!P57:P116)</f>
        <v>-0.05298929185</v>
      </c>
      <c r="Y12" s="66"/>
      <c r="Z12" s="67"/>
      <c r="AA12" s="104" t="b">
        <f>if((AD12="BUY"), (Z11/P12)) </f>
        <v>0</v>
      </c>
      <c r="AB12" s="68"/>
      <c r="AC12" s="67">
        <f>P12*A12</f>
        <v>615580</v>
      </c>
      <c r="AD12" s="105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53"/>
      <c r="B13" s="55"/>
      <c r="C13" s="55"/>
      <c r="D13" s="55"/>
      <c r="E13" s="57"/>
      <c r="F13" s="57"/>
      <c r="G13" s="57"/>
      <c r="H13" s="57"/>
      <c r="I13" s="57"/>
      <c r="J13" s="57"/>
      <c r="K13" s="114"/>
      <c r="L13" s="86"/>
      <c r="M13" s="86"/>
      <c r="N13" s="86"/>
      <c r="O13" s="89"/>
      <c r="P13" s="91"/>
      <c r="Q13" s="55"/>
      <c r="R13" s="55"/>
      <c r="S13" s="55"/>
      <c r="T13" s="55"/>
      <c r="U13" s="91"/>
      <c r="V13" s="55"/>
      <c r="W13" s="55"/>
      <c r="X13" s="66"/>
      <c r="Y13" s="66"/>
      <c r="Z13" s="67"/>
      <c r="AA13" s="68"/>
      <c r="AB13" s="68"/>
      <c r="AC13" s="67"/>
      <c r="AD13" s="67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69">
        <v>1975.0</v>
      </c>
      <c r="B14" s="70" t="s">
        <v>115</v>
      </c>
      <c r="C14" s="72" t="str">
        <f t="shared" ref="C14:C15" si="7">if(AND(O14&gt;J14,P14&gt;=R14),"SELL Today","Do Not SELL Today")</f>
        <v>Do Not SELL Today</v>
      </c>
      <c r="D14" s="72" t="str">
        <f t="shared" ref="D14:D15" si="8">if(AND(P14&lt;S14,O14&gt;J14,P14&lt;=0.995*T14),"BUY Today","Do Not BUY Today")</f>
        <v>Do Not BUY Today</v>
      </c>
      <c r="E14" s="75">
        <f>'BPCL-HINDPETRO'!N2</f>
        <v>0.8386400734</v>
      </c>
      <c r="F14" s="75">
        <f>'BPCL-HINDPETRO'!N3</f>
        <v>0.6380547282</v>
      </c>
      <c r="G14" s="75">
        <f>'BPCL-HINDPETRO'!N4</f>
        <v>0.268969883</v>
      </c>
      <c r="H14" s="77" t="s">
        <v>71</v>
      </c>
      <c r="I14" s="80">
        <f>'BPCL-HINDPETRO'!P2</f>
        <v>0.8699767588</v>
      </c>
      <c r="J14" s="80">
        <f>Max('BPCL-HINDPETRO'!Q2)</f>
        <v>0.8902506964</v>
      </c>
      <c r="K14" s="122">
        <f>Max('BPCL-HINDPETRO'!R2)</f>
        <v>0.838553569</v>
      </c>
      <c r="L14" s="86">
        <f>'BPCL-HINDPETRO'!J128</f>
        <v>1.053136082</v>
      </c>
      <c r="M14" s="86">
        <f>MAX('BPCL-HINDPETRO'!J11:J117)</f>
        <v>1.756237292</v>
      </c>
      <c r="N14" s="86">
        <f>MIN('BPCL-HINDPETRO'!J11:J117)</f>
        <v>-1.469440778</v>
      </c>
      <c r="O14" s="89">
        <f>P14/P15</f>
        <v>0.848265896</v>
      </c>
      <c r="P14" s="91">
        <f>IFERROR(__xludf.DUMMYFUNCTION("GOOGLEFINANCE(B14,""PRICE"")"),293.5)</f>
        <v>293.5</v>
      </c>
      <c r="Q14" s="92">
        <f>IFERROR(__xludf.DUMMYFUNCTION("AVERAGE(QUERY(SORT(GOOGLEFINANCE(B14,""price"",TODAY()-320,TODAY()),1,0),""select Col2 limit 20""))"),299.68500000000006)</f>
        <v>299.685</v>
      </c>
      <c r="R14" s="55">
        <f>'BPCL-HINDPETRO'!C3</f>
        <v>315.75</v>
      </c>
      <c r="S14" s="93">
        <f>'BPCL-HINDPETRO'!C8</f>
        <v>306.05</v>
      </c>
      <c r="T14" s="55">
        <f>'BPCL-HINDPETRO'!C4</f>
        <v>296.95</v>
      </c>
      <c r="U14" s="94">
        <f>'BPCL-HINDPETRO'!P117</f>
        <v>-0.00515175793</v>
      </c>
      <c r="V14" s="95" t="s">
        <v>71</v>
      </c>
      <c r="W14" s="98">
        <f>MAX('BPCL-HINDPETRO'!P87:P116)</f>
        <v>0.05522451927</v>
      </c>
      <c r="X14" s="98">
        <f>MIN('BPCL-HINDPETRO'!P87:P116)</f>
        <v>-0.01991065837</v>
      </c>
      <c r="Y14" s="100">
        <f>(P14*A14)/(P15*A15)</f>
        <v>0.827321059</v>
      </c>
      <c r="Z14" s="102">
        <f>(A14*P14)-(A15*P15)</f>
        <v>-120987.5</v>
      </c>
      <c r="AA14" s="104">
        <f>if((AD14="BUY"), -(Z14/P14)) </f>
        <v>412.2231687</v>
      </c>
      <c r="AB14" s="68">
        <f>P14*A14</f>
        <v>579662.5</v>
      </c>
      <c r="AC14" s="67">
        <f>P14*A14</f>
        <v>579662.5</v>
      </c>
      <c r="AD14" s="105" t="str">
        <f>if( Z14&lt;0,"Buy","Do Not buy")</f>
        <v>Buy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69">
        <v>2025.0</v>
      </c>
      <c r="B15" s="106" t="s">
        <v>116</v>
      </c>
      <c r="C15" s="72" t="str">
        <f t="shared" si="7"/>
        <v>Do Not SELL Today</v>
      </c>
      <c r="D15" s="72" t="str">
        <f t="shared" si="8"/>
        <v>Do Not BUY Today</v>
      </c>
      <c r="E15" s="57"/>
      <c r="F15" s="57"/>
      <c r="G15" s="57"/>
      <c r="H15" s="77" t="s">
        <v>91</v>
      </c>
      <c r="I15" s="80">
        <f>'BPCL-HINDPETRO'!P3</f>
        <v>0.8407687815</v>
      </c>
      <c r="J15" s="80">
        <f>Max('BPCL-HINDPETRO'!Q3)</f>
        <v>0.8902506964</v>
      </c>
      <c r="K15" s="122">
        <f>Max('BPCL-HINDPETRO'!R3)</f>
        <v>0.7811717576</v>
      </c>
      <c r="L15" s="86"/>
      <c r="M15" s="86"/>
      <c r="N15" s="86"/>
      <c r="O15" s="89">
        <f>P14/P15</f>
        <v>0.848265896</v>
      </c>
      <c r="P15" s="91">
        <f>IFERROR(__xludf.DUMMYFUNCTION("GOOGLEFINANCE(B15,""PRICE"")"),346.0)</f>
        <v>346</v>
      </c>
      <c r="Q15" s="92">
        <f>IFERROR(__xludf.DUMMYFUNCTION("AVERAGE(QUERY(SORT(GOOGLEFINANCE(B15,""price"",TODAY()-320,TODAY()),1,0),""select Col2 limit 20""))"),345.08)</f>
        <v>345.08</v>
      </c>
      <c r="R15" s="55">
        <f>'BPCL-HINDPETRO'!F3</f>
        <v>360.7</v>
      </c>
      <c r="S15" s="93">
        <f>'BPCL-HINDPETRO'!F8</f>
        <v>351.3785714</v>
      </c>
      <c r="T15" s="55">
        <f>'BPCL-HINDPETRO'!F4</f>
        <v>342.35</v>
      </c>
      <c r="U15" s="91"/>
      <c r="V15" s="95" t="s">
        <v>100</v>
      </c>
      <c r="W15" s="98">
        <f>MAX('BPCL-HINDPETRO'!P57:P116)</f>
        <v>0.05522451927</v>
      </c>
      <c r="X15" s="98">
        <f>MIN('BPCL-HINDPETRO'!P57:P116)</f>
        <v>-0.01991065837</v>
      </c>
      <c r="Y15" s="66"/>
      <c r="Z15" s="67"/>
      <c r="AA15" s="104" t="b">
        <f>if((AD15="BUY"), (Z14/P15)) </f>
        <v>0</v>
      </c>
      <c r="AB15" s="68"/>
      <c r="AC15" s="67"/>
      <c r="AD15" s="105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53"/>
      <c r="B16" s="55"/>
      <c r="C16" s="55"/>
      <c r="D16" s="55"/>
      <c r="E16" s="57"/>
      <c r="F16" s="57"/>
      <c r="G16" s="57"/>
      <c r="H16" s="57"/>
      <c r="I16" s="57"/>
      <c r="J16" s="57"/>
      <c r="K16" s="114"/>
      <c r="L16" s="86"/>
      <c r="M16" s="86"/>
      <c r="N16" s="86"/>
      <c r="O16" s="89"/>
      <c r="P16" s="91"/>
      <c r="Q16" s="55"/>
      <c r="R16" s="55"/>
      <c r="S16" s="55"/>
      <c r="T16" s="55"/>
      <c r="U16" s="91"/>
      <c r="V16" s="55"/>
      <c r="W16" s="55"/>
      <c r="X16" s="66"/>
      <c r="Y16" s="66"/>
      <c r="Z16" s="67"/>
      <c r="AA16" s="68"/>
      <c r="AB16" s="68"/>
      <c r="AC16" s="67"/>
      <c r="AD16" s="67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69">
        <v>300.0</v>
      </c>
      <c r="B17" s="70" t="s">
        <v>117</v>
      </c>
      <c r="C17" s="72" t="str">
        <f t="shared" ref="C17:C18" si="9">if(AND(O17&gt;J17,P17&gt;=R17),"SELL Today","Do Not SELL Today")</f>
        <v>Do Not SELL Today</v>
      </c>
      <c r="D17" s="72" t="str">
        <f t="shared" ref="D17:D18" si="10">if(AND(P17&lt;S17,O17&gt;J17,P17&lt;=0.995*T17),"BUY Today","Do Not BUY Today")</f>
        <v>Do Not BUY Today</v>
      </c>
      <c r="E17" s="75">
        <f>'ACC-AMBUJA'!N2</f>
        <v>0.9843870984</v>
      </c>
      <c r="G17" s="75">
        <f>'ACC-AMBUJA'!N3</f>
        <v>0.9931390412</v>
      </c>
      <c r="H17" s="77" t="s">
        <v>71</v>
      </c>
      <c r="I17" s="80">
        <f>'ACC-AMBUJA'!P2</f>
        <v>3.19490364</v>
      </c>
      <c r="J17" s="80">
        <f>Max('ACC-AMBUJA'!Q2)</f>
        <v>3.288038278</v>
      </c>
      <c r="K17" s="122">
        <f>Max('ACC-AMBUJA'!R2)</f>
        <v>3.140740741</v>
      </c>
      <c r="L17" s="86">
        <f>'ACC-AMBUJA'!J128</f>
        <v>-2.199725693</v>
      </c>
      <c r="M17" s="86">
        <f>MAX('ACC-AMBUJA'!J11:J117)</f>
        <v>1.654779968</v>
      </c>
      <c r="N17" s="86">
        <f>MIN('ACC-AMBUJA'!J11:J117)</f>
        <v>-2.570732483</v>
      </c>
      <c r="O17" s="89">
        <f>P17/P18</f>
        <v>3.308333333</v>
      </c>
      <c r="P17" s="91">
        <f>IFERROR(__xludf.DUMMYFUNCTION("GOOGLEFINANCE(B17,""PRICE"")"),1191.0)</f>
        <v>1191</v>
      </c>
      <c r="Q17" s="92">
        <f>IFERROR(__xludf.DUMMYFUNCTION("AVERAGE(QUERY(SORT(GOOGLEFINANCE(B17,""price"",TODAY()-320,TODAY()),1,0),""select Col2 limit 20""))"),1189.675)</f>
        <v>1189.675</v>
      </c>
      <c r="R17" s="55">
        <f>'ACC-AMBUJA'!C3</f>
        <v>1283.8</v>
      </c>
      <c r="S17" s="93">
        <f>'ACC-AMBUJA'!C8</f>
        <v>1233.361905</v>
      </c>
      <c r="T17" s="55">
        <f>'ACC-AMBUJA'!C4</f>
        <v>1177</v>
      </c>
      <c r="U17" s="94">
        <f>'ACC-AMBUJA'!P116</f>
        <v>0.01953801358</v>
      </c>
      <c r="V17" s="95" t="s">
        <v>71</v>
      </c>
      <c r="W17" s="98">
        <f>MAX('ACC-AMBUJA'!P87:P116)</f>
        <v>0.02964788413</v>
      </c>
      <c r="X17" s="98">
        <f>MIN('ACC-AMBUJA'!P87:P116)</f>
        <v>-0.007315280689</v>
      </c>
      <c r="Y17" s="100">
        <f>(P17*A17)/(P18*A18)</f>
        <v>1.102777778</v>
      </c>
      <c r="Z17" s="102">
        <f>(A17*P17)-(A18*P18)</f>
        <v>33300</v>
      </c>
      <c r="AA17" s="104" t="b">
        <f>if((AD17="BUY"), -(Z17/P17)) </f>
        <v>0</v>
      </c>
      <c r="AB17" s="68">
        <f>P17*A17</f>
        <v>357300</v>
      </c>
      <c r="AC17" s="67"/>
      <c r="AD17" s="105" t="str">
        <f>if( Z17&lt;0,"Buy","Do Not buy")</f>
        <v>Do Not buy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69">
        <v>900.0</v>
      </c>
      <c r="B18" s="106" t="s">
        <v>118</v>
      </c>
      <c r="C18" s="72" t="str">
        <f t="shared" si="9"/>
        <v>Do Not SELL Today</v>
      </c>
      <c r="D18" s="72" t="str">
        <f t="shared" si="10"/>
        <v>Do Not BUY Today</v>
      </c>
      <c r="E18" s="57"/>
      <c r="F18" s="57"/>
      <c r="G18" s="57"/>
      <c r="H18" s="77" t="s">
        <v>91</v>
      </c>
      <c r="I18" s="80">
        <f>'ACC-AMBUJA'!P3</f>
        <v>3.175630027</v>
      </c>
      <c r="J18" s="80">
        <f>Max('ACC-AMBUJA'!Q3)</f>
        <v>3.288038278</v>
      </c>
      <c r="K18" s="122">
        <f>Max('ACC-AMBUJA'!R3)</f>
        <v>3.124136343</v>
      </c>
      <c r="L18" s="86"/>
      <c r="M18" s="86"/>
      <c r="N18" s="86"/>
      <c r="O18" s="89">
        <f>P17/P18</f>
        <v>3.308333333</v>
      </c>
      <c r="P18" s="91">
        <f>IFERROR(__xludf.DUMMYFUNCTION("GOOGLEFINANCE(B18,""PRICE"")"),360.0)</f>
        <v>360</v>
      </c>
      <c r="Q18" s="92">
        <f>IFERROR(__xludf.DUMMYFUNCTION("AVERAGE(QUERY(SORT(GOOGLEFINANCE(B18,""price"",TODAY()-320,TODAY()),1,0),""select Col2 limit 20""))"),366.9150000000001)</f>
        <v>366.915</v>
      </c>
      <c r="R18" s="55">
        <f>'ACC-AMBUJA'!F3</f>
        <v>405</v>
      </c>
      <c r="S18" s="93">
        <f>'ACC-AMBUJA'!F8</f>
        <v>383.9714286</v>
      </c>
      <c r="T18" s="55">
        <f>'ACC-AMBUJA'!F4</f>
        <v>361.55</v>
      </c>
      <c r="U18" s="91"/>
      <c r="V18" s="95" t="s">
        <v>100</v>
      </c>
      <c r="W18" s="98">
        <f>MAX('ACC-AMBUJA'!P57:P116)</f>
        <v>0.02964788413</v>
      </c>
      <c r="X18" s="98">
        <f>MIN('ACC-AMBUJA'!P57:P116)</f>
        <v>-0.01128794808</v>
      </c>
      <c r="Y18" s="66"/>
      <c r="Z18" s="67"/>
      <c r="AA18" s="104" t="b">
        <f>if((AD18="BUY"), (Z17/P18)) </f>
        <v>0</v>
      </c>
      <c r="AB18" s="68"/>
      <c r="AC18" s="67">
        <f>P18*A18</f>
        <v>324000</v>
      </c>
      <c r="AD18" s="105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53"/>
      <c r="B19" s="55"/>
      <c r="C19" s="55"/>
      <c r="D19" s="55"/>
      <c r="E19" s="57"/>
      <c r="F19" s="57"/>
      <c r="G19" s="57"/>
      <c r="H19" s="57"/>
      <c r="I19" s="57"/>
      <c r="J19" s="57"/>
      <c r="K19" s="114"/>
      <c r="L19" s="86"/>
      <c r="M19" s="86"/>
      <c r="N19" s="86"/>
      <c r="O19" s="89"/>
      <c r="P19" s="91"/>
      <c r="Q19" s="55"/>
      <c r="R19" s="55"/>
      <c r="S19" s="55"/>
      <c r="T19" s="55"/>
      <c r="U19" s="91"/>
      <c r="V19" s="55"/>
      <c r="W19" s="55"/>
      <c r="X19" s="66"/>
      <c r="Y19" s="66"/>
      <c r="Z19" s="67"/>
      <c r="AA19" s="68"/>
      <c r="AB19" s="68"/>
      <c r="AC19" s="67"/>
      <c r="AD19" s="67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69">
        <v>175.0</v>
      </c>
      <c r="B20" s="70" t="s">
        <v>119</v>
      </c>
      <c r="C20" s="72" t="str">
        <f t="shared" ref="C20:C21" si="11">if(AND(O20&gt;J20,P20&gt;=R20),"SELL Today","Do Not SELL Today")</f>
        <v>Do Not SELL Today</v>
      </c>
      <c r="D20" s="72" t="str">
        <f t="shared" ref="D20:D21" si="12">if(AND(P20&lt;S20,O20&gt;J20,P20&lt;=0.995*T20),"BUY Today","Do Not BUY Today")</f>
        <v>Do Not BUY Today</v>
      </c>
      <c r="E20" s="75">
        <f>'TCS-HCLTECH'!N2</f>
        <v>0.766710829</v>
      </c>
      <c r="F20" s="75">
        <f>'TCS-HCLTECH'!N3</f>
        <v>0.8062655404</v>
      </c>
      <c r="G20" s="75">
        <f>'TCS-HCLTECH'!N4</f>
        <v>0.7902011899</v>
      </c>
      <c r="H20" s="77" t="s">
        <v>71</v>
      </c>
      <c r="I20" s="80">
        <f>'TCS-HCLTECH'!P2</f>
        <v>1.73531661</v>
      </c>
      <c r="J20" s="80">
        <f>Max('TCS-HCLTECH'!Q2)</f>
        <v>1.828456028</v>
      </c>
      <c r="K20" s="122">
        <f>Max('TCS-HCLTECH'!R2)</f>
        <v>1.653121507</v>
      </c>
      <c r="L20" s="86">
        <f>'TCS-HCLTECH'!J128</f>
        <v>0.7362821422</v>
      </c>
      <c r="M20" s="86">
        <f>MAX('TCS-HCLTECH'!J11:J117)</f>
        <v>2.423668435</v>
      </c>
      <c r="N20" s="86">
        <f>MIN('TCS-HCLTECH'!J11:J117)</f>
        <v>-2.136354411</v>
      </c>
      <c r="O20" s="89">
        <f>P20/P21</f>
        <v>1.786231884</v>
      </c>
      <c r="P20" s="91">
        <f>IFERROR(__xludf.DUMMYFUNCTION("GOOGLEFINANCE(B20,""PRICE"")"),2465.0)</f>
        <v>2465</v>
      </c>
      <c r="Q20" s="92">
        <f>IFERROR(__xludf.DUMMYFUNCTION("AVERAGE(QUERY(SORT(GOOGLEFINANCE(B20,""price"",TODAY()-320,TODAY()),1,0),""select Col2 limit 20""))"),2143.3450000000003)</f>
        <v>2143.345</v>
      </c>
      <c r="R20" s="55">
        <f>'TCS-HCLTECH'!C3</f>
        <v>2270</v>
      </c>
      <c r="S20" s="93">
        <f>'TCS-HCLTECH'!C8</f>
        <v>2137.566667</v>
      </c>
      <c r="T20" s="55">
        <f>'TCS-HCLTECH'!C4</f>
        <v>2032.4</v>
      </c>
      <c r="U20" s="94">
        <f>'TCS-HCLTECH'!P117</f>
        <v>0.01365612121</v>
      </c>
      <c r="V20" s="95" t="s">
        <v>71</v>
      </c>
      <c r="W20" s="98">
        <f>MAX('TCS-HCLTECH'!P87:JP116)</f>
        <v>0.03718877567</v>
      </c>
      <c r="X20" s="98">
        <f>MIN('TCS-HCLTECH'!P87:P116)</f>
        <v>-0.06188005685</v>
      </c>
      <c r="Y20" s="100">
        <f>(P20*A20)/(P21*A21)</f>
        <v>0.893115942</v>
      </c>
      <c r="Z20" s="102">
        <f>(A20*P20)-(A21*P21)</f>
        <v>-51625</v>
      </c>
      <c r="AA20" s="104">
        <f>if((AD20="BUY"), -(Z20/P20)) </f>
        <v>20.94320487</v>
      </c>
      <c r="AB20" s="68">
        <f>P20*A20</f>
        <v>431375</v>
      </c>
      <c r="AC20" s="67"/>
      <c r="AD20" s="105" t="str">
        <f>if( Z20&lt;0,"Buy","Do Not buy")</f>
        <v>Buy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69">
        <v>350.0</v>
      </c>
      <c r="B21" s="106" t="s">
        <v>120</v>
      </c>
      <c r="C21" s="72" t="str">
        <f t="shared" si="11"/>
        <v>Do Not SELL Today</v>
      </c>
      <c r="D21" s="72" t="str">
        <f t="shared" si="12"/>
        <v>Do Not BUY Today</v>
      </c>
      <c r="E21" s="57"/>
      <c r="F21" s="57"/>
      <c r="G21" s="57"/>
      <c r="H21" s="77" t="s">
        <v>91</v>
      </c>
      <c r="I21" s="80">
        <f>'TCS-HCLTECH'!P3</f>
        <v>1.762981766</v>
      </c>
      <c r="J21" s="80">
        <f>Max('TCS-HCLTECH'!Q3)</f>
        <v>1.886174681</v>
      </c>
      <c r="K21" s="122">
        <f>Max('TCS-HCLTECH'!R3)</f>
        <v>1.653121507</v>
      </c>
      <c r="L21" s="86"/>
      <c r="M21" s="86"/>
      <c r="N21" s="86"/>
      <c r="O21" s="89">
        <f>P20/P21</f>
        <v>1.786231884</v>
      </c>
      <c r="P21" s="91">
        <f>IFERROR(__xludf.DUMMYFUNCTION("GOOGLEFINANCE(B21,""PRICE"")"),1380.0)</f>
        <v>1380</v>
      </c>
      <c r="Q21" s="92">
        <f>IFERROR(__xludf.DUMMYFUNCTION("AVERAGE(QUERY(SORT(GOOGLEFINANCE(B21,""price"",TODAY()-320,TODAY()),1,0),""select Col2 limit 20""))"),1255.3799999999999)</f>
        <v>1255.38</v>
      </c>
      <c r="R21" s="55">
        <f>'TCS-HCLTECH'!F3</f>
        <v>1282.8</v>
      </c>
      <c r="S21" s="93">
        <f>'TCS-HCLTECH'!F8</f>
        <v>1241.22381</v>
      </c>
      <c r="T21" s="55">
        <f>'TCS-HCLTECH'!F4</f>
        <v>1185</v>
      </c>
      <c r="U21" s="91"/>
      <c r="V21" s="95" t="s">
        <v>100</v>
      </c>
      <c r="W21" s="98">
        <f>MAX('TCS-HCLTECH'!P57:P116)</f>
        <v>0.03718877567</v>
      </c>
      <c r="X21" s="98">
        <f>MIN('TCS-HCLTECH'!P57:P116)</f>
        <v>-0.06188005685</v>
      </c>
      <c r="Y21" s="66"/>
      <c r="Z21" s="67"/>
      <c r="AA21" s="104" t="b">
        <f>if((AD21="BUY"), (Z20/P21)) </f>
        <v>0</v>
      </c>
      <c r="AB21" s="68"/>
      <c r="AC21" s="67">
        <f>P21*A21</f>
        <v>483000</v>
      </c>
      <c r="AD21" s="105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53"/>
      <c r="B22" s="55"/>
      <c r="C22" s="55"/>
      <c r="D22" s="55"/>
      <c r="E22" s="57"/>
      <c r="F22" s="57"/>
      <c r="G22" s="57"/>
      <c r="H22" s="57"/>
      <c r="I22" s="57"/>
      <c r="J22" s="57"/>
      <c r="K22" s="114"/>
      <c r="L22" s="86"/>
      <c r="M22" s="86"/>
      <c r="N22" s="86"/>
      <c r="O22" s="89"/>
      <c r="P22" s="91"/>
      <c r="Q22" s="55"/>
      <c r="R22" s="55"/>
      <c r="S22" s="55"/>
      <c r="T22" s="55"/>
      <c r="U22" s="91"/>
      <c r="V22" s="55"/>
      <c r="W22" s="55"/>
      <c r="X22" s="66"/>
      <c r="Y22" s="66"/>
      <c r="Z22" s="67"/>
      <c r="AA22" s="68"/>
      <c r="AB22" s="68"/>
      <c r="AC22" s="67"/>
      <c r="AD22" s="67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69">
        <v>5500.0</v>
      </c>
      <c r="B23" s="70" t="s">
        <v>121</v>
      </c>
      <c r="C23" s="72" t="str">
        <f t="shared" ref="C23:C24" si="13">if(AND(O23&gt;J23,P23&gt;=R23),"SELL Today","Do Not SELL Today")</f>
        <v>Do Not SELL Today</v>
      </c>
      <c r="D23" s="72" t="str">
        <f t="shared" ref="D23:D24" si="14">if(AND(P23&lt;S23,O23&gt;J23,P23&lt;=0.995*T23),"BUY Today","Do Not BUY Today")</f>
        <v>Do Not BUY Today</v>
      </c>
      <c r="E23" s="75">
        <f>'TATASTEEL-JSWSTEEL1'!N2</f>
        <v>0.6131234563</v>
      </c>
      <c r="F23" s="75">
        <f>'TATASTEEL-JSWSTEEL1'!N3</f>
        <v>0.4802467625</v>
      </c>
      <c r="G23" s="75">
        <f>'TATASTEEL-JSWSTEEL1'!N4</f>
        <v>0.2754340923</v>
      </c>
      <c r="H23" s="77" t="s">
        <v>71</v>
      </c>
      <c r="I23" s="80">
        <f>'TATASTEEL-JSWSTEEL1'!P2</f>
        <v>0.143970692</v>
      </c>
      <c r="J23" s="80">
        <f>Max('TATASTEEL-JSWSTEEL1'!Q2)</f>
        <v>0.1494255625</v>
      </c>
      <c r="K23" s="122">
        <f>Max('TATASTEEL-JSWSTEEL1'!R2)</f>
        <v>0.1396635514</v>
      </c>
      <c r="L23" s="86">
        <f>'TATASTEEL-JSWSTEEL1'!J128</f>
        <v>1.397533166</v>
      </c>
      <c r="M23" s="86">
        <f>MAX('TATASTEEL-JSWSTEEL1'!J11:J117)</f>
        <v>1.736423686</v>
      </c>
      <c r="N23" s="86">
        <f>MIN('TATASTEEL-JSWSTEEL1'!J11:J117)</f>
        <v>-2.493984479</v>
      </c>
      <c r="O23" s="89">
        <f>P23/P24</f>
        <v>0.14429006</v>
      </c>
      <c r="P23" s="91">
        <f>IFERROR(__xludf.DUMMYFUNCTION("GOOGLEFINANCE(B23,""PRICE"")"),175.5)</f>
        <v>175.5</v>
      </c>
      <c r="Q23" s="92">
        <f>IFERROR(__xludf.DUMMYFUNCTION("AVERAGE(QUERY(SORT(GOOGLEFINANCE(B23,""price"",TODAY()-320,TODAY()),1,0),""select Col2 limit 20""))"),180.459)</f>
        <v>180.459</v>
      </c>
      <c r="R23" s="55">
        <f>'TATASTEEL-JSWSTEEL1'!C3</f>
        <v>190.82</v>
      </c>
      <c r="S23" s="93">
        <f>'TATASTEEL-JSWSTEEL1'!C8</f>
        <v>184.3819048</v>
      </c>
      <c r="T23" s="55">
        <f>'TATASTEEL-JSWSTEEL1'!C4</f>
        <v>175.64</v>
      </c>
      <c r="U23" s="94">
        <f>'TATASTEEL-JSWSTEEL1'!P117</f>
        <v>-0.02656701152</v>
      </c>
      <c r="V23" s="95" t="s">
        <v>71</v>
      </c>
      <c r="W23" s="98">
        <f>MAX('TATASTEEL-JSWSTEEL1'!P87:P116)</f>
        <v>0.05119640699</v>
      </c>
      <c r="X23" s="98">
        <f>MIN('TATASTEEL-JSWSTEEL1'!P87:P116)</f>
        <v>-0.03361177954</v>
      </c>
      <c r="Y23" s="100">
        <f>(P23*A23)/(P24*A24)</f>
        <v>1.175696785</v>
      </c>
      <c r="Z23" s="102">
        <f>(A23*P23)-(A24*P24)</f>
        <v>144247.5</v>
      </c>
      <c r="AA23" s="104" t="b">
        <f>if((AD23="BUY"), -(Z23/P23)) </f>
        <v>0</v>
      </c>
      <c r="AB23" s="68">
        <f>P23*A23</f>
        <v>965250</v>
      </c>
      <c r="AC23" s="67"/>
      <c r="AD23" s="105" t="str">
        <f>if( Z23&lt;0,"Buy","Do Not buy")</f>
        <v>Do Not buy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ht="15.75" customHeight="1">
      <c r="A24" s="69">
        <v>675.0</v>
      </c>
      <c r="B24" s="106" t="s">
        <v>125</v>
      </c>
      <c r="C24" s="72" t="str">
        <f t="shared" si="13"/>
        <v>Do Not SELL Today</v>
      </c>
      <c r="D24" s="72" t="str">
        <f t="shared" si="14"/>
        <v>Do Not BUY Today</v>
      </c>
      <c r="E24" s="57"/>
      <c r="F24" s="57"/>
      <c r="G24" s="57"/>
      <c r="H24" s="77" t="s">
        <v>91</v>
      </c>
      <c r="I24" s="80">
        <f>'TATASTEEL-JSWSTEEL1'!P3</f>
        <v>0.1454292501</v>
      </c>
      <c r="J24" s="80">
        <f>Max('TATASTEEL-JSWSTEEL1'!Q3)</f>
        <v>0.1519164619</v>
      </c>
      <c r="K24" s="122">
        <f>Max('TATASTEEL-JSWSTEEL1'!R3)</f>
        <v>0.1396635514</v>
      </c>
      <c r="L24" s="86"/>
      <c r="M24" s="86"/>
      <c r="N24" s="86"/>
      <c r="O24" s="89">
        <f>P23/P24</f>
        <v>0.14429006</v>
      </c>
      <c r="P24" s="91">
        <f>IFERROR(__xludf.DUMMYFUNCTION("GOOGLEFINANCE(B24,""PRICE"")"),1216.3)</f>
        <v>1216.3</v>
      </c>
      <c r="Q24" s="92">
        <f>IFERROR(__xludf.DUMMYFUNCTION("AVERAGE(QUERY(SORT(GOOGLEFINANCE(B24,""price"",TODAY()-320,TODAY()),1,0),""select Col2 limit 20""))"),1234.6349999999998)</f>
        <v>1234.635</v>
      </c>
      <c r="R24" s="55">
        <f>'TATASTEEL-JSWSTEEL1'!F3</f>
        <v>1310</v>
      </c>
      <c r="S24" s="93">
        <f>'TATASTEEL-JSWSTEEL1'!F8</f>
        <v>1267.466667</v>
      </c>
      <c r="T24" s="55">
        <f>'TATASTEEL-JSWSTEEL1'!F4</f>
        <v>1229.2</v>
      </c>
      <c r="U24" s="91"/>
      <c r="V24" s="95" t="s">
        <v>100</v>
      </c>
      <c r="W24" s="98">
        <f>MAX('TATASTEEL-JSWSTEEL1'!P57:P116)</f>
        <v>0.05119640699</v>
      </c>
      <c r="X24" s="98">
        <f>MIN('TATASTEEL-JSWSTEEL1'!P57:P116)</f>
        <v>-0.03361177954</v>
      </c>
      <c r="Y24" s="66"/>
      <c r="Z24" s="67"/>
      <c r="AA24" s="104" t="b">
        <f>if((AD24="BUY"), (Z23/P24)) </f>
        <v>0</v>
      </c>
      <c r="AB24" s="68"/>
      <c r="AC24" s="67">
        <f>P24*A24</f>
        <v>821002.5</v>
      </c>
      <c r="AD24" s="105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53"/>
      <c r="B25" s="55"/>
      <c r="C25" s="55"/>
      <c r="D25" s="55"/>
      <c r="E25" s="57"/>
      <c r="F25" s="57"/>
      <c r="G25" s="57"/>
      <c r="H25" s="57"/>
      <c r="I25" s="57"/>
      <c r="J25" s="57"/>
      <c r="K25" s="59"/>
      <c r="L25" s="133"/>
      <c r="M25" s="133"/>
      <c r="N25" s="133"/>
      <c r="O25" s="134"/>
      <c r="P25" s="66"/>
      <c r="Q25" s="55"/>
      <c r="R25" s="55"/>
      <c r="S25" s="55"/>
      <c r="T25" s="55"/>
      <c r="U25" s="66"/>
      <c r="V25" s="55"/>
      <c r="W25" s="55"/>
      <c r="X25" s="66"/>
      <c r="Y25" s="66"/>
      <c r="Z25" s="67"/>
      <c r="AA25" s="68"/>
      <c r="AB25" s="68"/>
      <c r="AC25" s="67"/>
      <c r="AD25" s="67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135">
        <v>200.0</v>
      </c>
      <c r="B26" s="136" t="s">
        <v>126</v>
      </c>
      <c r="C26" s="137" t="str">
        <f t="shared" ref="C26:C27" si="15">if(AND(O26&gt;J26,P26&gt;=R26),"SELL Today","Do Not SELL Today")</f>
        <v>Do Not SELL Today</v>
      </c>
      <c r="D26" s="137" t="str">
        <f t="shared" ref="D26:D27" si="16">if(AND(P26&lt;S26,O26&gt;J26,P26&lt;=0.995*T26),"BUY Today","Do Not BUY Today")</f>
        <v>Do Not BUY Today</v>
      </c>
      <c r="E26" s="138">
        <f>'NESTLE-HINDUNILVR'!N2</f>
        <v>0.9122198035</v>
      </c>
      <c r="F26" s="138">
        <f>'NESTLE-HINDUNILVR'!N3</f>
        <v>0.7644792153</v>
      </c>
      <c r="G26" s="138">
        <f>'NESTLE-HINDUNILVR'!N4</f>
        <v>0.4360402606</v>
      </c>
      <c r="H26" s="77" t="s">
        <v>71</v>
      </c>
      <c r="I26" s="139">
        <f>'NESTLE-HINDUNILVR'!P2</f>
        <v>0.7155040717</v>
      </c>
      <c r="J26" s="139">
        <f>Max('NESTLE-HINDUNILVR'!Q2)</f>
        <v>0.7606485717</v>
      </c>
      <c r="K26" s="140">
        <f>Max('NESTLE-HINDUNILVR'!R2)</f>
        <v>0.6971422489</v>
      </c>
      <c r="L26" s="141">
        <f>'NESTLE-HINDUNILVR'!J128</f>
        <v>0.363260404</v>
      </c>
      <c r="M26" s="141">
        <f>MAX('NESTLE-HINDUNILVR'!J11:J117)</f>
        <v>1.892857456</v>
      </c>
      <c r="N26" s="141">
        <f>MIN('NESTLE-HINDUNILVR'!J11:J117)</f>
        <v>-1.812576826</v>
      </c>
      <c r="O26" s="142">
        <f>P26/P27</f>
        <v>0.668233182</v>
      </c>
      <c r="P26" s="143">
        <f>IFERROR(__xludf.DUMMYFUNCTION("GOOGLEFINANCE(B26,""PRICE"")"),1265.5)</f>
        <v>1265.5</v>
      </c>
      <c r="Q26" s="92">
        <f>IFERROR(__xludf.DUMMYFUNCTION("AVERAGE(QUERY(SORT(GOOGLEFINANCE(B26,""price"",TODAY()-320,TODAY()),1,0),""select Col2 limit 20""))"),1336.4600000000003)</f>
        <v>1336.46</v>
      </c>
      <c r="R26" s="144">
        <f>'NESTLE-HINDUNILVR'!C3</f>
        <v>1410.5</v>
      </c>
      <c r="S26" s="145">
        <f>'NESTLE-HINDUNILVR'!C8</f>
        <v>1364.695238</v>
      </c>
      <c r="T26" s="144">
        <f>'NESTLE-HINDUNILVR'!C4</f>
        <v>1297.1</v>
      </c>
      <c r="U26" s="146">
        <f>'NESTLE-HINDUNILVR'!P116</f>
        <v>0.003432521475</v>
      </c>
      <c r="V26" s="95" t="s">
        <v>71</v>
      </c>
      <c r="W26" s="147">
        <f>MAX('NESTLE-HINDUNILVR'!P87:P116)</f>
        <v>0.0457286875</v>
      </c>
      <c r="X26" s="147">
        <f>MAX('NESTLE-HINDUNILVR'!P87:P116)</f>
        <v>0.0457286875</v>
      </c>
      <c r="Y26" s="148">
        <f>(P26*A26)/(P27*A27)</f>
        <v>0.445488788</v>
      </c>
      <c r="Z26" s="149">
        <f>(A26*P26)-(A27*P27)</f>
        <v>-315040</v>
      </c>
      <c r="AA26" s="150">
        <f>if((AD26="BUY"), -(Z26/P26)) </f>
        <v>248.945081</v>
      </c>
      <c r="AB26" s="151">
        <f>P26*A26</f>
        <v>253100</v>
      </c>
      <c r="AC26" s="149"/>
      <c r="AD26" s="152" t="str">
        <f>if( Z26&lt;0,"Buy","Do Not buy")</f>
        <v>Buy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135">
        <v>300.0</v>
      </c>
      <c r="B27" s="153" t="s">
        <v>127</v>
      </c>
      <c r="C27" s="137" t="str">
        <f t="shared" si="15"/>
        <v>Do Not SELL Today</v>
      </c>
      <c r="D27" s="137" t="str">
        <f t="shared" si="16"/>
        <v>Do Not BUY Today</v>
      </c>
      <c r="E27" s="154"/>
      <c r="F27" s="155" t="str">
        <f>'NESTLE-HINDUNILVR'!K7</f>
        <v/>
      </c>
      <c r="G27" s="154"/>
      <c r="H27" s="77" t="s">
        <v>91</v>
      </c>
      <c r="I27" s="139">
        <f>'NESTLE-HINDUNILVR'!P3</f>
        <v>0.7099397024</v>
      </c>
      <c r="J27" s="139">
        <f>Max('NESTLE-HINDUNILVR'!Q3)</f>
        <v>0.7606485717</v>
      </c>
      <c r="K27" s="140">
        <f>Max('NESTLE-HINDUNILVR'!R3)</f>
        <v>0.6649958613</v>
      </c>
      <c r="L27" s="141"/>
      <c r="M27" s="141"/>
      <c r="N27" s="141"/>
      <c r="O27" s="142">
        <f>P26/P27</f>
        <v>0.668233182</v>
      </c>
      <c r="P27" s="143">
        <f>IFERROR(__xludf.DUMMYFUNCTION("GOOGLEFINANCE(B27,""PRICE"")"),1893.8)</f>
        <v>1893.8</v>
      </c>
      <c r="Q27" s="92">
        <f>IFERROR(__xludf.DUMMYFUNCTION("AVERAGE(QUERY(SORT(GOOGLEFINANCE(B27,""price"",TODAY()-320,TODAY()),1,0),""select Col2 limit 20""))"),1889.845)</f>
        <v>1889.845</v>
      </c>
      <c r="R27" s="144">
        <f>'NESTLE-HINDUNILVR'!F3</f>
        <v>1980</v>
      </c>
      <c r="S27" s="145">
        <f>'NESTLE-HINDUNILVR'!F8</f>
        <v>1924.652381</v>
      </c>
      <c r="T27" s="144">
        <f>'NESTLE-HINDUNILVR'!F4</f>
        <v>1836</v>
      </c>
      <c r="U27" s="143"/>
      <c r="V27" s="95" t="s">
        <v>100</v>
      </c>
      <c r="W27" s="147">
        <f>MAX('NESTLE-HINDUNILVR'!P57:P116)</f>
        <v>0.08944222202</v>
      </c>
      <c r="X27" s="147">
        <f>MIN('NESTLE-HINDUNILVR'!P57:P116)</f>
        <v>-0.02709434873</v>
      </c>
      <c r="Y27" s="149"/>
      <c r="Z27" s="149"/>
      <c r="AA27" s="156" t="b">
        <f>if((AD27="BUY"), (Z26/P27)) </f>
        <v>0</v>
      </c>
      <c r="AB27" s="151"/>
      <c r="AC27" s="149">
        <f>P27*A27</f>
        <v>568140</v>
      </c>
      <c r="AD27" s="157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1"/>
      <c r="B28" s="121"/>
      <c r="C28" s="121"/>
      <c r="D28" s="121"/>
      <c r="E28" s="158"/>
      <c r="F28" s="158"/>
      <c r="G28" s="158"/>
      <c r="H28" s="158"/>
      <c r="I28" s="158"/>
      <c r="J28" s="158"/>
      <c r="K28" s="159"/>
      <c r="L28" s="160"/>
      <c r="M28" s="160"/>
      <c r="N28" s="160"/>
      <c r="O28" s="161"/>
      <c r="P28" s="162"/>
      <c r="Q28" s="121"/>
      <c r="R28" s="121"/>
      <c r="S28" s="121"/>
      <c r="T28" s="121"/>
      <c r="U28" s="162"/>
      <c r="V28" s="121"/>
      <c r="W28" s="121"/>
      <c r="X28" s="67"/>
      <c r="Y28" s="67"/>
      <c r="Z28" s="67"/>
      <c r="AA28" s="68"/>
      <c r="AB28" s="68"/>
      <c r="AC28" s="67"/>
      <c r="AD28" s="67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135">
        <v>25.0</v>
      </c>
      <c r="B29" s="136" t="s">
        <v>28</v>
      </c>
      <c r="C29" s="137" t="str">
        <f t="shared" ref="C29:C30" si="17">if(AND(O29&gt;J29,P29&gt;=R29),"SELL Today","Do Not SELL Today")</f>
        <v>Do Not SELL Today</v>
      </c>
      <c r="D29" s="137" t="str">
        <f t="shared" ref="D29:D30" si="18">if(AND(P29&lt;S29,O29&gt;J29,P29&lt;=0.995*T29),"BUY Today","Do Not BUY Today")</f>
        <v>Do Not BUY Today</v>
      </c>
      <c r="E29" s="138">
        <f>'NIFTY-BANKNIFTY'!N2</f>
        <v>0.9714520153</v>
      </c>
      <c r="F29" s="138">
        <f>'NIFTY-BANKNIFTY'!N3</f>
        <v>0.9421683384</v>
      </c>
      <c r="G29" s="138">
        <f>'NIFTY-BANKNIFTY'!N4</f>
        <v>0.8344805222</v>
      </c>
      <c r="H29" s="77" t="s">
        <v>71</v>
      </c>
      <c r="I29" s="139">
        <f>'NIFTY-BANKNIFTY'!P2</f>
        <v>0.4164347244</v>
      </c>
      <c r="J29" s="139">
        <f>MAX('NIFTY-BANKNIFTY'!Q2)</f>
        <v>0.4231050767</v>
      </c>
      <c r="K29" s="140">
        <f>MAX('NIFTY-BANKNIFTY'!R2)</f>
        <v>0.4117840434</v>
      </c>
      <c r="L29" s="141">
        <f>'NIFTY-BANKNIFTY'!J128</f>
        <v>-0.09349845747</v>
      </c>
      <c r="M29" s="141">
        <f>MAX('NIFTY-BANKNIFTY'!J11:J117)</f>
        <v>2.277719769</v>
      </c>
      <c r="N29" s="141">
        <f>MIN('NIFTY-BANKNIFTY'!J11:J117)</f>
        <v>-1.305704057</v>
      </c>
      <c r="O29" s="142">
        <f>P29/P30</f>
        <v>0.4144787265</v>
      </c>
      <c r="P29" s="143">
        <f>IFERROR(__xludf.DUMMYFUNCTION("GOOGLEFINANCE(B29,""PRICE"")"),23146.15)</f>
        <v>23146.15</v>
      </c>
      <c r="Q29" s="92">
        <f>IFERROR(__xludf.DUMMYFUNCTION("AVERAGE(QUERY(SORT(GOOGLEFINANCE(B29,""price"",TODAY()-320,TODAY()),1,0),""select Col2 limit 20""))"),22840.879999999997)</f>
        <v>22840.88</v>
      </c>
      <c r="R29" s="144">
        <f>'NIFTY-BANKNIFTY'!C3</f>
        <v>23897.7</v>
      </c>
      <c r="S29" s="145">
        <f>'NIFTY-BANKNIFTY'!C8</f>
        <v>23182.7119</v>
      </c>
      <c r="T29" s="144">
        <f>'NIFTY-BANKNIFTY'!C4</f>
        <v>22421.95</v>
      </c>
      <c r="U29" s="146">
        <f>'NIFTY-BANKNIFTY'!P116</f>
        <v>-0.008806834844</v>
      </c>
      <c r="V29" s="95" t="s">
        <v>71</v>
      </c>
      <c r="W29" s="147">
        <f>MAX('NIFTY-BANKNIFTY'!P87:P117)</f>
        <v>0.006875806201</v>
      </c>
      <c r="X29" s="147">
        <f>MIN('NIFTY-BANKNIFTY'!P87:Q117)</f>
        <v>-0.01751338825</v>
      </c>
      <c r="Y29" s="148">
        <f>(P29*A29)/(P30*A30)</f>
        <v>0.6907978774</v>
      </c>
      <c r="Z29" s="149">
        <f>(A29*P29)-(A30*P30)</f>
        <v>-259006.25</v>
      </c>
      <c r="AA29" s="150">
        <f>if((AD29="BUY"), -(Z29/P29)) </f>
        <v>11.19003592</v>
      </c>
      <c r="AB29" s="151">
        <f>P29*A29</f>
        <v>578653.75</v>
      </c>
      <c r="AC29" s="149"/>
      <c r="AD29" s="152" t="str">
        <f>if( Z29&lt;0,"Buy","Do Not buy")</f>
        <v>Buy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135">
        <v>15.0</v>
      </c>
      <c r="B30" s="153" t="s">
        <v>56</v>
      </c>
      <c r="C30" s="137" t="str">
        <f t="shared" si="17"/>
        <v>Do Not SELL Today</v>
      </c>
      <c r="D30" s="137" t="str">
        <f t="shared" si="18"/>
        <v>Do Not BUY Today</v>
      </c>
      <c r="E30" s="154"/>
      <c r="F30" s="155"/>
      <c r="G30" s="154"/>
      <c r="H30" s="77" t="s">
        <v>91</v>
      </c>
      <c r="I30" s="139">
        <f>'NIFTY-BANKNIFTY'!P3</f>
        <v>0.4191009298</v>
      </c>
      <c r="J30" s="139">
        <f>'NIFTY-BANKNIFTY'!Q3</f>
        <v>0.4264750835</v>
      </c>
      <c r="K30" s="140">
        <f>'NIFTY-BANKNIFTY'!R3</f>
        <v>0.4117840434</v>
      </c>
      <c r="L30" s="141"/>
      <c r="M30" s="141"/>
      <c r="N30" s="141"/>
      <c r="O30" s="142">
        <f>P29/P30</f>
        <v>0.4144787265</v>
      </c>
      <c r="P30" s="143">
        <f>IFERROR(__xludf.DUMMYFUNCTION("GOOGLEFINANCE(B30,""PRICE"")"),55844.0)</f>
        <v>55844</v>
      </c>
      <c r="Q30" s="92">
        <f>IFERROR(__xludf.DUMMYFUNCTION("AVERAGE(QUERY(SORT(GOOGLEFINANCE(B30,""price"",TODAY()-320,TODAY()),1,0),""select Col2 limit 20""))"),55323.37000000001)</f>
        <v>55323.37</v>
      </c>
      <c r="R30" s="144">
        <f>'NIFTY-BANKNIFTY'!F3</f>
        <v>57369.65</v>
      </c>
      <c r="S30" s="145">
        <f>'NIFTY-BANKNIFTY'!F8</f>
        <v>55858.24286</v>
      </c>
      <c r="T30" s="144">
        <f>'NIFTY-BANKNIFTY'!F4</f>
        <v>54259.95</v>
      </c>
      <c r="U30" s="143"/>
      <c r="V30" s="95" t="s">
        <v>100</v>
      </c>
      <c r="W30" s="147">
        <f>MAX('NIFTY-BANKNIFTY'!P57:P117)</f>
        <v>0.01432906647</v>
      </c>
      <c r="X30" s="147">
        <f>MIN('NIFTY-BANKNIFTY'!P57:P117)</f>
        <v>-0.01751338825</v>
      </c>
      <c r="Y30" s="149"/>
      <c r="Z30" s="149"/>
      <c r="AA30" s="156" t="b">
        <f>if((AD30="BUY"), (Z29/P30)) </f>
        <v>0</v>
      </c>
      <c r="AB30" s="151"/>
      <c r="AC30" s="149">
        <f>P30*A30</f>
        <v>837660</v>
      </c>
      <c r="AD30" s="157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1"/>
      <c r="B31" s="121"/>
      <c r="C31" s="121"/>
      <c r="D31" s="121"/>
      <c r="E31" s="121"/>
      <c r="F31" s="121"/>
      <c r="G31" s="121"/>
      <c r="H31" s="121"/>
      <c r="I31" s="121"/>
      <c r="J31" s="121"/>
      <c r="K31" s="163"/>
      <c r="L31" s="160"/>
      <c r="M31" s="160"/>
      <c r="N31" s="160"/>
      <c r="O31" s="164"/>
      <c r="P31" s="121"/>
      <c r="Q31" s="121"/>
      <c r="R31" s="121"/>
      <c r="S31" s="121"/>
      <c r="T31" s="121"/>
      <c r="U31" s="162"/>
      <c r="V31" s="121"/>
      <c r="W31" s="121"/>
      <c r="X31" s="67"/>
      <c r="Y31" s="67"/>
      <c r="Z31" s="67"/>
      <c r="AA31" s="68"/>
      <c r="AB31" s="68"/>
      <c r="AC31" s="67"/>
      <c r="AD31" s="67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135">
        <v>200.0</v>
      </c>
      <c r="B32" s="136" t="s">
        <v>128</v>
      </c>
      <c r="C32" s="137" t="str">
        <f t="shared" ref="C32:C33" si="19">if(AND(O32&gt;J32,P32&gt;=R32),"SELL Today","Do Not SELL Today")</f>
        <v>Do Not SELL Today</v>
      </c>
      <c r="D32" s="137" t="str">
        <f t="shared" ref="D32:D33" si="20">if(AND(P32&lt;S32,O32&gt;J32,P32&lt;=0.995*T32),"BUY Today","Do Not BUY Today")</f>
        <v>Do Not BUY Today</v>
      </c>
      <c r="E32" s="138">
        <f>'BRITANIA-UNILEVER'!N2</f>
        <v>0.9241984444</v>
      </c>
      <c r="F32" s="138">
        <f>'BRITANIA-UNILEVER'!N3</f>
        <v>0.8535365834</v>
      </c>
      <c r="G32" s="138">
        <f>'BRITANIA-UNILEVER'!N4</f>
        <v>0.5976108695</v>
      </c>
      <c r="H32" s="77" t="s">
        <v>71</v>
      </c>
      <c r="I32" s="139">
        <f>'BRITANIA-UNILEVER'!P2</f>
        <v>2.591907319</v>
      </c>
      <c r="J32" s="139">
        <f>Max('BRITANIA-UNILEVER'!Q2)</f>
        <v>2.668496493</v>
      </c>
      <c r="K32" s="140">
        <f>Max('BRITANIA-UNILEVER'!R2)</f>
        <v>2.527692308</v>
      </c>
      <c r="L32" s="141">
        <f>'BRITANIA-UNILEVER'!J130</f>
        <v>-1.807324897</v>
      </c>
      <c r="M32" s="141">
        <f>MAX('BRITANIA-UNILEVER'!J11:J117)</f>
        <v>2.315028488</v>
      </c>
      <c r="N32" s="141">
        <f>min('BRITANIA-UNILEVER'!J11:J117)</f>
        <v>-1.45197954</v>
      </c>
      <c r="O32" s="142">
        <f>P32/P33</f>
        <v>2.515577146</v>
      </c>
      <c r="P32" s="143">
        <f>IFERROR(__xludf.DUMMYFUNCTION("GOOGLEFINANCE(B32,""PRICE"")"),4764.0)</f>
        <v>4764</v>
      </c>
      <c r="Q32" s="92">
        <f>IFERROR(__xludf.DUMMYFUNCTION("AVERAGE(QUERY(SORT(GOOGLEFINANCE(B32,""price"",TODAY()-320,TODAY()),1,0),""select Col2 limit 20""))"),4859.035000000001)</f>
        <v>4859.035</v>
      </c>
      <c r="R32" s="144">
        <f>'BRITANIA-UNILEVER'!C3</f>
        <v>5101.5</v>
      </c>
      <c r="S32" s="145">
        <f>'BRITANIA-UNILEVER'!C8</f>
        <v>4948.109524</v>
      </c>
      <c r="T32" s="145">
        <f>'BRITANIA-UNILEVER'!C4</f>
        <v>4770</v>
      </c>
      <c r="U32" s="146">
        <f>'BRITANIA-UNILEVER'!P116</f>
        <v>0.01241079872</v>
      </c>
      <c r="V32" s="95" t="s">
        <v>71</v>
      </c>
      <c r="W32" s="147">
        <f>MAX('BRITANIA-UNILEVER'!P87:P116)</f>
        <v>0.03535714133</v>
      </c>
      <c r="X32" s="147">
        <f>MIN('BRITANIA-UNILEVER'!P87:P116)</f>
        <v>-0.03640754105</v>
      </c>
      <c r="Y32" s="148">
        <f>(P32*A32)/(P33*A33)</f>
        <v>1.677051431</v>
      </c>
      <c r="Z32" s="149">
        <f>(A32*P32)-(A33*P33)</f>
        <v>384660</v>
      </c>
      <c r="AA32" s="150" t="b">
        <f>if((AD32="BUY"), -(Z32/P32)) </f>
        <v>0</v>
      </c>
      <c r="AB32" s="151">
        <f>P32*A32</f>
        <v>952800</v>
      </c>
      <c r="AC32" s="149"/>
      <c r="AD32" s="152" t="str">
        <f>if( Z32&lt;0,"Buy","Do Not buy")</f>
        <v>Do Not buy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135">
        <v>300.0</v>
      </c>
      <c r="B33" s="153" t="s">
        <v>127</v>
      </c>
      <c r="C33" s="137" t="str">
        <f t="shared" si="19"/>
        <v>Do Not SELL Today</v>
      </c>
      <c r="D33" s="137" t="str">
        <f t="shared" si="20"/>
        <v>Do Not BUY Today</v>
      </c>
      <c r="E33" s="154"/>
      <c r="F33" s="155"/>
      <c r="G33" s="154"/>
      <c r="H33" s="77" t="s">
        <v>91</v>
      </c>
      <c r="I33" s="139">
        <f>'BRITANIA-UNILEVER'!P3</f>
        <v>2.597351741</v>
      </c>
      <c r="J33" s="139">
        <f>Max('BRITANIA-UNILEVER'!Q3)</f>
        <v>2.736548715</v>
      </c>
      <c r="K33" s="140">
        <f>Max('BRITANIA-UNILEVER'!R3)</f>
        <v>2.476087556</v>
      </c>
      <c r="L33" s="141"/>
      <c r="M33" s="141"/>
      <c r="N33" s="141"/>
      <c r="O33" s="142">
        <f>P32/P33</f>
        <v>2.515577146</v>
      </c>
      <c r="P33" s="143">
        <f>IFERROR(__xludf.DUMMYFUNCTION("GOOGLEFINANCE(B33,""PRICE"")"),1893.8)</f>
        <v>1893.8</v>
      </c>
      <c r="Q33" s="92">
        <f>IFERROR(__xludf.DUMMYFUNCTION("AVERAGE(QUERY(SORT(GOOGLEFINANCE(B33,""price"",TODAY()-320,TODAY()),1,0),""select Col2 limit 20""))"),1889.845)</f>
        <v>1889.845</v>
      </c>
      <c r="R33" s="144">
        <f>'BRITANIA-UNILEVER'!F3</f>
        <v>1980</v>
      </c>
      <c r="S33" s="145">
        <f>'BRITANIA-UNILEVER'!F8</f>
        <v>1924.652381</v>
      </c>
      <c r="T33" s="145">
        <f>'BRITANIA-UNILEVER'!F4</f>
        <v>1836</v>
      </c>
      <c r="U33" s="143"/>
      <c r="V33" s="95" t="s">
        <v>100</v>
      </c>
      <c r="W33" s="147">
        <f>MAX('BRITANIA-UNILEVER'!P57:P116)</f>
        <v>0.07944715</v>
      </c>
      <c r="X33" s="147">
        <f>MIN('BRITANIA-UNILEVER'!P57:P116)</f>
        <v>-0.03640754105</v>
      </c>
      <c r="Y33" s="149"/>
      <c r="Z33" s="149"/>
      <c r="AA33" s="156" t="b">
        <f>if((AD33="BUY"), (Z32/P33)) </f>
        <v>0</v>
      </c>
      <c r="AB33" s="151"/>
      <c r="AC33" s="149">
        <f>P33*A33</f>
        <v>568140</v>
      </c>
      <c r="AD33" s="157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1"/>
      <c r="B34" s="121"/>
      <c r="C34" s="121"/>
      <c r="D34" s="121"/>
      <c r="E34" s="121"/>
      <c r="F34" s="121"/>
      <c r="G34" s="121"/>
      <c r="H34" s="121"/>
      <c r="I34" s="121"/>
      <c r="J34" s="121"/>
      <c r="K34" s="163"/>
      <c r="L34" s="160"/>
      <c r="M34" s="160"/>
      <c r="N34" s="160"/>
      <c r="O34" s="164"/>
      <c r="P34" s="121"/>
      <c r="Q34" s="121"/>
      <c r="R34" s="121"/>
      <c r="S34" s="121"/>
      <c r="T34" s="121"/>
      <c r="U34" s="162"/>
      <c r="V34" s="121"/>
      <c r="W34" s="121"/>
      <c r="X34" s="67"/>
      <c r="Y34" s="67"/>
      <c r="Z34" s="67"/>
      <c r="AA34" s="68"/>
      <c r="AB34" s="68"/>
      <c r="AC34" s="67"/>
      <c r="AD34" s="67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135">
        <v>100.0</v>
      </c>
      <c r="B35" s="136" t="s">
        <v>129</v>
      </c>
      <c r="C35" s="137" t="str">
        <f t="shared" ref="C35:C36" si="21">if(AND(O35&gt;J35,P35&gt;=R35),"SELL Today","Do Not SELL Today")</f>
        <v>Do Not SELL Today</v>
      </c>
      <c r="D35" s="137" t="str">
        <f t="shared" ref="D35:D36" si="22">if(AND(P35&lt;S35,O35&gt;J35,P35&lt;=0.995*T35),"BUY Today","Do Not BUY Today")</f>
        <v>Do Not BUY Today</v>
      </c>
      <c r="E35" s="138">
        <f>'BAJFINANCE-BAJFINSV'!N2</f>
        <v>0.9565113111</v>
      </c>
      <c r="F35" s="138">
        <f>'BAJFINANCE-BAJFINSV'!N3</f>
        <v>0.9359147463</v>
      </c>
      <c r="G35" s="138">
        <f>'BAJFINANCE-BAJFINSV'!N4</f>
        <v>0.9320949012</v>
      </c>
      <c r="H35" s="77" t="s">
        <v>71</v>
      </c>
      <c r="I35" s="139">
        <f>'BAJFINANCE-BAJFINSV'!P2</f>
        <v>0.5455663959</v>
      </c>
      <c r="J35" s="139">
        <f>Max('BAJFINANCE-BAJFINSV'!Q2)</f>
        <v>0.5649607365</v>
      </c>
      <c r="K35" s="140">
        <f>Max('BAJFINANCE-BAJFINSV'!R2)</f>
        <v>0.5230084117</v>
      </c>
      <c r="L35" s="141">
        <f>'BAJFINANCE-BAJFINSV'!J128</f>
        <v>2.022257466</v>
      </c>
      <c r="M35" s="141">
        <f>MAX('BAJFINANCE-BAJFINSV'!J11:J117)</f>
        <v>1.641337122</v>
      </c>
      <c r="N35" s="141">
        <f>MIN('BAJFINANCE-BAJFINSV'!J11:J117)</f>
        <v>-2.092061277</v>
      </c>
      <c r="O35" s="142">
        <f>P35/P36</f>
        <v>0.5680161943</v>
      </c>
      <c r="P35" s="143">
        <f>IFERROR(__xludf.DUMMYFUNCTION("GOOGLEFINANCE(B35,""PRICE"")"),982.1)</f>
        <v>982.1</v>
      </c>
      <c r="Q35" s="92">
        <f>IFERROR(__xludf.DUMMYFUNCTION("AVERAGE(QUERY(SORT(GOOGLEFINANCE(B35,""price"",TODAY()-320,TODAY()),1,0),""select Col2 limit 20""))"),980.8124999999998)</f>
        <v>980.8125</v>
      </c>
      <c r="R35" s="144">
        <f>'BAJFINANCE-BAJFINSV'!C3</f>
        <v>1060</v>
      </c>
      <c r="S35" s="145">
        <f>'BAJFINANCE-BAJFINSV'!C8</f>
        <v>1005.607143</v>
      </c>
      <c r="T35" s="144">
        <f>'BAJFINANCE-BAJFINSV'!C4</f>
        <v>948.3</v>
      </c>
      <c r="U35" s="146">
        <f>'BAJFINANCE-BAJFINSV'!P116</f>
        <v>0.006543930688</v>
      </c>
      <c r="V35" s="95" t="s">
        <v>71</v>
      </c>
      <c r="W35" s="147">
        <f>MAX('BAJFINANCE-BAJFINSV'!P87:P116)</f>
        <v>0.04215236316</v>
      </c>
      <c r="X35" s="147">
        <f>MIN('BAJFINANCE-BAJFINSV'!P87:P116)</f>
        <v>-0.03449446376</v>
      </c>
      <c r="Y35" s="148">
        <f>(P35*A35)/(P36*A36)</f>
        <v>0.1136032389</v>
      </c>
      <c r="Z35" s="149">
        <f>(A35*P35)-(A36*P36)</f>
        <v>-766290</v>
      </c>
      <c r="AA35" s="150">
        <f>if((AD35="BUY"), -(Z35/P35)) </f>
        <v>780.256593</v>
      </c>
      <c r="AB35" s="151">
        <f>P35*A35</f>
        <v>98210</v>
      </c>
      <c r="AC35" s="149"/>
      <c r="AD35" s="152" t="str">
        <f>if( Z35&lt;0,"Buy","Do Not buy")</f>
        <v>Buy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135">
        <v>500.0</v>
      </c>
      <c r="B36" s="153" t="s">
        <v>130</v>
      </c>
      <c r="C36" s="137" t="str">
        <f t="shared" si="21"/>
        <v>Do Not SELL Today</v>
      </c>
      <c r="D36" s="137" t="str">
        <f t="shared" si="22"/>
        <v>Do Not BUY Today</v>
      </c>
      <c r="E36" s="154"/>
      <c r="F36" s="155"/>
      <c r="G36" s="154"/>
      <c r="H36" s="77" t="s">
        <v>91</v>
      </c>
      <c r="I36" s="139">
        <f>'BAJFINANCE-BAJFINSV'!P3</f>
        <v>0.5469769416</v>
      </c>
      <c r="J36" s="139">
        <f>Max('BAJFINANCE-BAJFINSV'!Q3)</f>
        <v>0.5715820575</v>
      </c>
      <c r="K36" s="140">
        <f>Max('BAJFINANCE-BAJFINSV'!R3)</f>
        <v>0.5230084117</v>
      </c>
      <c r="L36" s="141"/>
      <c r="M36" s="141"/>
      <c r="N36" s="141"/>
      <c r="O36" s="142">
        <f>P35/P36</f>
        <v>0.5680161943</v>
      </c>
      <c r="P36" s="143">
        <f>IFERROR(__xludf.DUMMYFUNCTION("GOOGLEFINANCE(B36,""PRICE"")"),1729.0)</f>
        <v>1729</v>
      </c>
      <c r="Q36" s="92">
        <f>IFERROR(__xludf.DUMMYFUNCTION("AVERAGE(QUERY(SORT(GOOGLEFINANCE(B36,""price"",TODAY()-320,TODAY()),1,0),""select Col2 limit 20""))"),1760.58)</f>
        <v>1760.58</v>
      </c>
      <c r="R36" s="144">
        <f>'BAJFINANCE-BAJFINSV'!F3</f>
        <v>1940.5</v>
      </c>
      <c r="S36" s="145">
        <f>'BAJFINANCE-BAJFINSV'!F8</f>
        <v>1824.761905</v>
      </c>
      <c r="T36" s="144">
        <f>'BAJFINANCE-BAJFINSV'!F4</f>
        <v>1731</v>
      </c>
      <c r="U36" s="146"/>
      <c r="V36" s="95" t="s">
        <v>100</v>
      </c>
      <c r="W36" s="147">
        <f>MAX('BAJFINANCE-BAJFINSV'!P57:P116)</f>
        <v>0.04215236316</v>
      </c>
      <c r="X36" s="147">
        <f>MIN('BAJFINANCE-BAJFINSV'!P57:P116)</f>
        <v>-0.03449446376</v>
      </c>
      <c r="Y36" s="149"/>
      <c r="Z36" s="149"/>
      <c r="AA36" s="156" t="b">
        <f>if((AD36="BUY"), (Z35/P36)) </f>
        <v>0</v>
      </c>
      <c r="AB36" s="151"/>
      <c r="AC36" s="149">
        <f>P36*A36</f>
        <v>864500</v>
      </c>
      <c r="AD36" s="157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1"/>
      <c r="B37" s="121"/>
      <c r="C37" s="121"/>
      <c r="D37" s="121"/>
      <c r="E37" s="121"/>
      <c r="F37" s="121"/>
      <c r="G37" s="121"/>
      <c r="H37" s="121"/>
      <c r="I37" s="121"/>
      <c r="J37" s="121"/>
      <c r="K37" s="163"/>
      <c r="L37" s="160"/>
      <c r="M37" s="160"/>
      <c r="N37" s="160"/>
      <c r="O37" s="164"/>
      <c r="P37" s="121"/>
      <c r="Q37" s="121"/>
      <c r="R37" s="121"/>
      <c r="S37" s="121"/>
      <c r="T37" s="121"/>
      <c r="U37" s="165"/>
      <c r="V37" s="121"/>
      <c r="W37" s="121"/>
      <c r="X37" s="67"/>
      <c r="Y37" s="67"/>
      <c r="Z37" s="67"/>
      <c r="AA37" s="68"/>
      <c r="AB37" s="68"/>
      <c r="AC37" s="67"/>
      <c r="AD37" s="67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135">
        <v>550.0</v>
      </c>
      <c r="B38" s="136" t="s">
        <v>68</v>
      </c>
      <c r="C38" s="137" t="str">
        <f t="shared" ref="C38:C39" si="23">if(AND(O38&gt;J38,P38&gt;=R38),"SELL Today","Do Not SELL Today")</f>
        <v>Do Not SELL Today</v>
      </c>
      <c r="D38" s="137" t="str">
        <f t="shared" ref="D38:D39" si="24">if(AND(P38&lt;S38,O38&gt;J38,P38&lt;=0.995*T38),"BUY Today","Do Not BUY Today")</f>
        <v>Do Not BUY Today</v>
      </c>
      <c r="E38" s="138">
        <f>'HDFC-BANKNIFTY'!N2</f>
        <v>-0.03060101979</v>
      </c>
      <c r="F38" s="138">
        <f>'HDFC-BANKNIFTY'!N3</f>
        <v>0.4251475642</v>
      </c>
      <c r="G38" s="138">
        <f>'HDFC-BANKNIFTY'!N4</f>
        <v>0.3781754232</v>
      </c>
      <c r="H38" s="77" t="s">
        <v>71</v>
      </c>
      <c r="I38" s="139">
        <f>'HDFC-BANKNIFTY'!P2</f>
        <v>0.01271463876</v>
      </c>
      <c r="J38" s="139">
        <f>Max('HDFC-BANKNIFTY'!Q2)</f>
        <v>0.01331921611</v>
      </c>
      <c r="K38" s="140">
        <f>Max('HDFC-BANKNIFTY'!R4)</f>
        <v>0.01220522759</v>
      </c>
      <c r="L38" s="141">
        <f>'HDFC-BANKNIFTY'!J128</f>
        <v>0.3727131588</v>
      </c>
      <c r="M38" s="141">
        <f>MAX('HDFC-BANKNIFTY'!J11:J117)</f>
        <v>2.014635461</v>
      </c>
      <c r="N38" s="141">
        <f>MIN('HDFC-BANKNIFTY'!J11:J117)</f>
        <v>-1.347831443</v>
      </c>
      <c r="O38" s="142">
        <f>P38/P39</f>
        <v>0.01305153642</v>
      </c>
      <c r="P38" s="143">
        <f>IFERROR(__xludf.DUMMYFUNCTION("GOOGLEFINANCE(B38,""PRICE"")"),728.85)</f>
        <v>728.85</v>
      </c>
      <c r="Q38" s="92">
        <f>IFERROR(__xludf.DUMMYFUNCTION("AVERAGE(QUERY(SORT(GOOGLEFINANCE(B38,""price"",TODAY()-320,TODAY()),1,0),""select Col2 limit 20""))"),719.315)</f>
        <v>719.315</v>
      </c>
      <c r="R38" s="144">
        <f>'HDFC-BANKNIFTY'!C3</f>
        <v>739.5</v>
      </c>
      <c r="S38" s="145">
        <f>'HDFC-BANKNIFTY'!C8</f>
        <v>717.3595238</v>
      </c>
      <c r="T38" s="144">
        <f>'HDFC-BANKNIFTY'!C4</f>
        <v>687.1</v>
      </c>
      <c r="U38" s="146">
        <f>'HDFC-BANKNIFTY'!P116</f>
        <v>0.03375480536</v>
      </c>
      <c r="V38" s="95" t="s">
        <v>71</v>
      </c>
      <c r="W38" s="147">
        <f>MAX('HDFC-BANKNIFTY'!P87:P116)</f>
        <v>0.04569483673</v>
      </c>
      <c r="X38" s="147">
        <f>MIN('HDFC-BANKNIFTY'!P87:P116)</f>
        <v>-0.03148131557</v>
      </c>
      <c r="Y38" s="148">
        <f>(P38*A38)/(P39*A39)</f>
        <v>0.4785563355</v>
      </c>
      <c r="Z38" s="149">
        <f>(A38*P38)-(A39*P39)</f>
        <v>-436792.5</v>
      </c>
      <c r="AA38" s="150">
        <f>if((AD38="BUY"), -(Z38/P38)) </f>
        <v>599.2899774</v>
      </c>
      <c r="AB38" s="151">
        <f>P38*A38</f>
        <v>400867.5</v>
      </c>
      <c r="AC38" s="149"/>
      <c r="AD38" s="152" t="str">
        <f>if( Z38&lt;0,"Buy","Do Not buy")</f>
        <v>Buy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135">
        <v>15.0</v>
      </c>
      <c r="B39" s="153" t="s">
        <v>56</v>
      </c>
      <c r="C39" s="137" t="str">
        <f t="shared" si="23"/>
        <v>Do Not SELL Today</v>
      </c>
      <c r="D39" s="137" t="str">
        <f t="shared" si="24"/>
        <v>Do Not BUY Today</v>
      </c>
      <c r="E39" s="154"/>
      <c r="F39" s="155"/>
      <c r="G39" s="154"/>
      <c r="H39" s="77" t="s">
        <v>91</v>
      </c>
      <c r="I39" s="139">
        <f>'HDFC-BANKNIFTY'!P3</f>
        <v>0.01291238279</v>
      </c>
      <c r="J39" s="139">
        <f>Max('HDFC-BANKNIFTY'!Q3)</f>
        <v>0.01421202876</v>
      </c>
      <c r="K39" s="140">
        <f>Max('HDFC-BANKNIFTY'!R3)</f>
        <v>0.01220522759</v>
      </c>
      <c r="L39" s="141"/>
      <c r="M39" s="141"/>
      <c r="N39" s="141"/>
      <c r="O39" s="142">
        <f>P38/P39</f>
        <v>0.01305153642</v>
      </c>
      <c r="P39" s="143">
        <f>IFERROR(__xludf.DUMMYFUNCTION("GOOGLEFINANCE(B39,""PRICE"")"),55844.0)</f>
        <v>55844</v>
      </c>
      <c r="Q39" s="92">
        <f>IFERROR(__xludf.DUMMYFUNCTION("AVERAGE(QUERY(SORT(GOOGLEFINANCE(B39,""price"",TODAY()-320,TODAY()),1,0),""select Col2 limit 20""))"),55323.37000000001)</f>
        <v>55323.37</v>
      </c>
      <c r="R39" s="144">
        <f>'HDFC-BANKNIFTY'!F3</f>
        <v>57369.65</v>
      </c>
      <c r="S39" s="145">
        <f>'HDFC-BANKNIFTY'!F8</f>
        <v>55858.24286</v>
      </c>
      <c r="T39" s="144">
        <f>'HDFC-BANKNIFTY'!F4</f>
        <v>54259.95</v>
      </c>
      <c r="U39" s="146"/>
      <c r="V39" s="95" t="s">
        <v>100</v>
      </c>
      <c r="W39" s="147">
        <f>MAX('HDFC-BANKNIFTY'!P57:P116)</f>
        <v>0.04569483673</v>
      </c>
      <c r="X39" s="147">
        <f>MIN('HDFC-BANKNIFTY'!P57:P116)</f>
        <v>-0.06497778796</v>
      </c>
      <c r="Y39" s="149"/>
      <c r="Z39" s="149"/>
      <c r="AA39" s="156" t="b">
        <f>if((AD39="BUY"), (Z38/P39)) </f>
        <v>0</v>
      </c>
      <c r="AB39" s="151"/>
      <c r="AC39" s="149">
        <f>P39*A39</f>
        <v>837660</v>
      </c>
      <c r="AD39" s="157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1"/>
      <c r="B40" s="121"/>
      <c r="C40" s="121"/>
      <c r="D40" s="121"/>
      <c r="E40" s="121"/>
      <c r="F40" s="121"/>
      <c r="G40" s="121"/>
      <c r="H40" s="121"/>
      <c r="I40" s="121"/>
      <c r="J40" s="121"/>
      <c r="K40" s="163"/>
      <c r="L40" s="160"/>
      <c r="M40" s="160"/>
      <c r="N40" s="160"/>
      <c r="O40" s="164"/>
      <c r="P40" s="121"/>
      <c r="Q40" s="121"/>
      <c r="R40" s="121"/>
      <c r="S40" s="121"/>
      <c r="T40" s="121"/>
      <c r="U40" s="165"/>
      <c r="V40" s="121"/>
      <c r="W40" s="121"/>
      <c r="X40" s="67"/>
      <c r="Y40" s="67"/>
      <c r="Z40" s="67"/>
      <c r="AA40" s="68"/>
      <c r="AB40" s="68"/>
      <c r="AC40" s="67"/>
      <c r="AD40" s="67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135">
        <v>2000.0</v>
      </c>
      <c r="B41" s="136" t="s">
        <v>131</v>
      </c>
      <c r="C41" s="137" t="str">
        <f t="shared" ref="C41:C42" si="25">if(AND(O41&gt;J41,P41&gt;=R41),"SELL Today","Do Not SELL Today")</f>
        <v>Do Not SELL Today</v>
      </c>
      <c r="D41" s="137" t="str">
        <f t="shared" ref="D41:D42" si="26">if(AND(P41&lt;S41,O41&gt;J41,P41&lt;=0.995*T41),"BUY Today","Do Not BUY Today")</f>
        <v>Do Not BUY Today</v>
      </c>
      <c r="E41" s="138">
        <f>'REC-PFC'!N2</f>
        <v>0.8996005797</v>
      </c>
      <c r="F41" s="138">
        <f>'REC-PFC'!N3</f>
        <v>0.9853178817</v>
      </c>
      <c r="G41" s="138">
        <f>'REC-PFC'!N4</f>
        <v>0.9002508113</v>
      </c>
      <c r="H41" s="77" t="s">
        <v>71</v>
      </c>
      <c r="I41" s="167">
        <f>'REC-PFC'!P2</f>
        <v>0.9040383684</v>
      </c>
      <c r="J41" s="167">
        <f>'REC-PFC'!Q2</f>
        <v>0.9613440381</v>
      </c>
      <c r="K41" s="168">
        <f>'REC-PFC'!R2</f>
        <v>0.8840245776</v>
      </c>
      <c r="L41" s="141">
        <f>'REC-PFC'!J129</f>
        <v>1.356992931</v>
      </c>
      <c r="M41" s="141">
        <f>'REC-PFC'!K129</f>
        <v>0.9236309077</v>
      </c>
      <c r="N41" s="141">
        <f>mIN('REC-PFC'!J11:J117)</f>
        <v>-1.901478312</v>
      </c>
      <c r="O41" s="142">
        <f>P41/P42</f>
        <v>0.9236309077</v>
      </c>
      <c r="P41" s="143">
        <f>IFERROR(__xludf.DUMMYFUNCTION("GOOGLEFINANCE(B41,""PRICE"")"),307.8)</f>
        <v>307.8</v>
      </c>
      <c r="Q41" s="92">
        <f>IFERROR(__xludf.DUMMYFUNCTION("AVERAGE(QUERY(SORT(GOOGLEFINANCE(B41,""price"",TODAY()-320,TODAY()),1,0),""select Col2 limit 20""))"),303.5675)</f>
        <v>303.5675</v>
      </c>
      <c r="R41" s="167">
        <f>'REC-PFC'!C3</f>
        <v>318.7</v>
      </c>
      <c r="S41" s="167">
        <f>'REC-PFC'!C8</f>
        <v>307.8904762</v>
      </c>
      <c r="T41" s="167">
        <f>'REC-PFC'!C4</f>
        <v>287.75</v>
      </c>
      <c r="U41" s="146">
        <f>'REC-PFC'!P116</f>
        <v>0.003622287702</v>
      </c>
      <c r="V41" s="95" t="s">
        <v>71</v>
      </c>
      <c r="W41" s="167">
        <f>MAX('REC-PFC'!P87:P116)</f>
        <v>0.07497632117</v>
      </c>
      <c r="X41" s="167">
        <f>MIN('REC-PFC'!P87:P116)</f>
        <v>-0.01923081012</v>
      </c>
      <c r="Y41" s="148">
        <f>(P41*A41)/(P42*A42)</f>
        <v>1.420970627</v>
      </c>
      <c r="Z41" s="149">
        <f>(A41*P41)-(A42*P42)</f>
        <v>182375</v>
      </c>
      <c r="AA41" s="150" t="b">
        <f>if((AD41="BUY"), -(Z41/P41)) </f>
        <v>0</v>
      </c>
      <c r="AB41" s="151">
        <f>P41*A41</f>
        <v>615600</v>
      </c>
      <c r="AC41" s="149"/>
      <c r="AD41" s="152" t="str">
        <f>if( Z41&lt;0,"Buy","Do Not buy")</f>
        <v>Do Not buy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135">
        <v>1300.0</v>
      </c>
      <c r="B42" s="153" t="s">
        <v>132</v>
      </c>
      <c r="C42" s="137" t="str">
        <f t="shared" si="25"/>
        <v>Do Not SELL Today</v>
      </c>
      <c r="D42" s="137" t="str">
        <f t="shared" si="26"/>
        <v>Do Not BUY Today</v>
      </c>
      <c r="E42" s="154"/>
      <c r="F42" s="155"/>
      <c r="G42" s="154"/>
      <c r="H42" s="77" t="s">
        <v>91</v>
      </c>
      <c r="I42" s="167">
        <f>'REC-PFC'!P3</f>
        <v>0.8932616258</v>
      </c>
      <c r="J42" s="167">
        <f>'REC-PFC'!Q3</f>
        <v>0.9613440381</v>
      </c>
      <c r="K42" s="168">
        <f>'REC-PFC'!R3</f>
        <v>0.8614200171</v>
      </c>
      <c r="L42" s="141"/>
      <c r="M42" s="141"/>
      <c r="N42" s="141"/>
      <c r="O42" s="142">
        <f>P41/P42</f>
        <v>0.9236309077</v>
      </c>
      <c r="P42" s="143">
        <f>IFERROR(__xludf.DUMMYFUNCTION("GOOGLEFINANCE(B42,""PRICE"")"),333.25)</f>
        <v>333.25</v>
      </c>
      <c r="Q42" s="92">
        <f>IFERROR(__xludf.DUMMYFUNCTION("AVERAGE(QUERY(SORT(GOOGLEFINANCE(B42,""price"",TODAY()-320,TODAY()),1,0),""select Col2 limit 20""))"),333.785)</f>
        <v>333.785</v>
      </c>
      <c r="R42" s="167">
        <f>'REC-PFC'!F3</f>
        <v>355.9</v>
      </c>
      <c r="S42" s="167">
        <f>'REC-PFC'!F8</f>
        <v>340.7547619</v>
      </c>
      <c r="T42" s="167">
        <f>'REC-PFC'!F4</f>
        <v>318</v>
      </c>
      <c r="U42" s="146"/>
      <c r="V42" s="95" t="s">
        <v>100</v>
      </c>
      <c r="W42" s="167">
        <f>MAX('REC-PFC'!P57:P116)</f>
        <v>0.07497632117</v>
      </c>
      <c r="X42" s="167">
        <f>MIN('REC-PFC'!P57:P116)</f>
        <v>-0.01923081012</v>
      </c>
      <c r="Y42" s="149"/>
      <c r="Z42" s="149"/>
      <c r="AA42" s="156" t="b">
        <f>if((AD42="BUY"), (Z41/P42)) </f>
        <v>0</v>
      </c>
      <c r="AB42" s="151"/>
      <c r="AC42" s="149">
        <f>P42*A42</f>
        <v>433225</v>
      </c>
      <c r="AD42" s="157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1"/>
      <c r="B43" s="121"/>
      <c r="C43" s="121"/>
      <c r="D43" s="121"/>
      <c r="E43" s="121"/>
      <c r="F43" s="121"/>
      <c r="G43" s="121"/>
      <c r="H43" s="121"/>
      <c r="I43" s="121"/>
      <c r="J43" s="121"/>
      <c r="K43" s="163"/>
      <c r="L43" s="160"/>
      <c r="M43" s="160"/>
      <c r="N43" s="160"/>
      <c r="O43" s="164"/>
      <c r="P43" s="121"/>
      <c r="Q43" s="121"/>
      <c r="R43" s="121"/>
      <c r="S43" s="121"/>
      <c r="T43" s="121"/>
      <c r="U43" s="165"/>
      <c r="V43" s="121"/>
      <c r="W43" s="121"/>
      <c r="X43" s="67"/>
      <c r="Y43" s="67"/>
      <c r="Z43" s="67"/>
      <c r="AA43" s="68"/>
      <c r="AB43" s="68"/>
      <c r="AC43" s="67"/>
      <c r="AD43" s="67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135">
        <v>1375.0</v>
      </c>
      <c r="B44" s="136" t="s">
        <v>133</v>
      </c>
      <c r="C44" s="137" t="str">
        <f t="shared" ref="C44:C45" si="27">if(AND(O44&gt;J44,P44&gt;=R44),"SELL Today","Do Not SELL Today")</f>
        <v>Do Not SELL Today</v>
      </c>
      <c r="D44" s="137" t="str">
        <f t="shared" ref="D44:D45" si="28">if(AND(P44&lt;S44,O44&gt;J44,P44&lt;=0.995*T44),"BUY Today","Do Not BUY Today")</f>
        <v>Do Not BUY Today</v>
      </c>
      <c r="E44" s="138">
        <f>'IGL-GAIL'!N2</f>
        <v>0.6143507111</v>
      </c>
      <c r="F44" s="138">
        <f>'IGL-GAIL'!N3</f>
        <v>0.5242882864</v>
      </c>
      <c r="G44" s="138">
        <f>'IGL-GAIL'!N4</f>
        <v>-0.04932411381</v>
      </c>
      <c r="H44" s="77" t="s">
        <v>71</v>
      </c>
      <c r="I44" s="169">
        <f>'IGL-GAIL'!P2</f>
        <v>0.8576304702</v>
      </c>
      <c r="J44" s="169">
        <f>'IGL-GAIL'!Q2</f>
        <v>0.9114186851</v>
      </c>
      <c r="K44" s="170">
        <f>'IGL-GAIL'!R2</f>
        <v>0.8215946072</v>
      </c>
      <c r="L44" s="141">
        <f>'IGL-GAIL'!J128</f>
        <v>-0.9448254279</v>
      </c>
      <c r="M44" s="141">
        <f>MAX('IGL-GAIL'!J11:J117)</f>
        <v>2.077397663</v>
      </c>
      <c r="N44" s="141">
        <f>MIN('IGL-GAIL'!J11:J117)</f>
        <v>-1.534604145</v>
      </c>
      <c r="O44" s="142">
        <f>P44/P45</f>
        <v>0.8508625818</v>
      </c>
      <c r="P44" s="143">
        <f>IFERROR(__xludf.DUMMYFUNCTION("GOOGLEFINANCE(B44,""PRICE"")"),143.03)</f>
        <v>143.03</v>
      </c>
      <c r="Q44" s="92">
        <f>IFERROR(__xludf.DUMMYFUNCTION("AVERAGE(QUERY(SORT(GOOGLEFINANCE(B44,""price"",TODAY()-320,TODAY()),1,0),""select Col2 limit 20""))"),144.67749999999998)</f>
        <v>144.6775</v>
      </c>
      <c r="R44" s="169">
        <f>'IGL-GAIL'!C3</f>
        <v>154.8</v>
      </c>
      <c r="S44" s="169">
        <f>'IGL-GAIL'!C8</f>
        <v>147.6290476</v>
      </c>
      <c r="T44" s="169">
        <f>'IGL-GAIL'!C4</f>
        <v>141.38</v>
      </c>
      <c r="U44" s="146">
        <f>'IGL-GAIL'!P116</f>
        <v>-0.01517988383</v>
      </c>
      <c r="V44" s="95" t="s">
        <v>71</v>
      </c>
      <c r="W44" s="138">
        <f>MAX('IGL-GAIL'!P87:P116)</f>
        <v>0.05041385213</v>
      </c>
      <c r="X44" s="138">
        <f>min('IGL-GAIL'!P87:P116)</f>
        <v>-0.03838065246</v>
      </c>
      <c r="Y44" s="148">
        <f>(P44*A44)/(P45*A45)</f>
        <v>0.2557237268</v>
      </c>
      <c r="Z44" s="149">
        <f>(A44*P44)-(A45*P45)</f>
        <v>-572391.25</v>
      </c>
      <c r="AA44" s="150">
        <f>if((AD44="BUY"), -(Z44/P44)) </f>
        <v>4001.896455</v>
      </c>
      <c r="AB44" s="151">
        <f>P44*A44</f>
        <v>196666.25</v>
      </c>
      <c r="AC44" s="149"/>
      <c r="AD44" s="152" t="str">
        <f>if( Z44&lt;0,"Buy","Do Not buy")</f>
        <v>Buy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135">
        <v>4575.0</v>
      </c>
      <c r="B45" s="153" t="s">
        <v>134</v>
      </c>
      <c r="C45" s="137" t="str">
        <f t="shared" si="27"/>
        <v>Do Not SELL Today</v>
      </c>
      <c r="D45" s="137" t="str">
        <f t="shared" si="28"/>
        <v>Do Not BUY Today</v>
      </c>
      <c r="E45" s="138"/>
      <c r="F45" s="138"/>
      <c r="G45" s="138"/>
      <c r="H45" s="77" t="s">
        <v>91</v>
      </c>
      <c r="I45" s="169">
        <f>'IGL-GAIL'!P3</f>
        <v>0.8663308317</v>
      </c>
      <c r="J45" s="169">
        <f>'IGL-GAIL'!Q3</f>
        <v>0.9114186851</v>
      </c>
      <c r="K45" s="170">
        <f>'IGL-GAIL'!R3</f>
        <v>0.8215946072</v>
      </c>
      <c r="L45" s="141"/>
      <c r="M45" s="141"/>
      <c r="N45" s="141"/>
      <c r="O45" s="142">
        <f>P44/P45</f>
        <v>0.8508625818</v>
      </c>
      <c r="P45" s="143">
        <f>IFERROR(__xludf.DUMMYFUNCTION("GOOGLEFINANCE(B45,""PRICE"")"),168.1)</f>
        <v>168.1</v>
      </c>
      <c r="Q45" s="92">
        <f>IFERROR(__xludf.DUMMYFUNCTION("AVERAGE(QUERY(SORT(GOOGLEFINANCE(B45,""price"",TODAY()-320,TODAY()),1,0),""select Col2 limit 20""))"),170.31799999999998)</f>
        <v>170.318</v>
      </c>
      <c r="R45" s="169">
        <f>'IGL-GAIL'!F3</f>
        <v>176</v>
      </c>
      <c r="S45" s="169">
        <f>'IGL-GAIL'!F8</f>
        <v>172.382381</v>
      </c>
      <c r="T45" s="169">
        <f>'IGL-GAIL'!F4</f>
        <v>167.5</v>
      </c>
      <c r="U45" s="146"/>
      <c r="V45" s="95" t="s">
        <v>100</v>
      </c>
      <c r="W45" s="138">
        <f>MAX('IGL-GAIL'!P57:P116)</f>
        <v>0.05041385213</v>
      </c>
      <c r="X45" s="138">
        <f>min('IGL-GAIL'!P57:P116)</f>
        <v>-0.05265057627</v>
      </c>
      <c r="Y45" s="149"/>
      <c r="Z45" s="149"/>
      <c r="AA45" s="156" t="b">
        <f>if((AD45="BUY"), (Z44/P45)) </f>
        <v>0</v>
      </c>
      <c r="AB45" s="151"/>
      <c r="AC45" s="149">
        <f>P45*A45</f>
        <v>769057.5</v>
      </c>
      <c r="AD45" s="157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2"/>
      <c r="V46" s="171"/>
      <c r="W46" s="171"/>
      <c r="X46" s="1"/>
      <c r="Y46" s="1"/>
      <c r="Z46" s="1"/>
      <c r="AA46" s="120"/>
      <c r="AB46" s="120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135">
        <v>100.0</v>
      </c>
      <c r="B47" s="136" t="s">
        <v>135</v>
      </c>
      <c r="C47" s="137" t="str">
        <f t="shared" ref="C47:C48" si="29">if(AND(O47&gt;J47,P47&gt;=R47),"SELL Today","Do Not SELL Today")</f>
        <v>Do Not SELL Today</v>
      </c>
      <c r="D47" s="137" t="str">
        <f t="shared" ref="D47:D48" si="30">if(AND(P47&lt;S47,O47&gt;J47,P47&lt;=0.995*T47),"BUY Today","Do Not BUY Today")</f>
        <v>Do Not BUY Today</v>
      </c>
      <c r="E47" s="138">
        <f>'ALKEM-AURO'!N2</f>
        <v>0.1993360739</v>
      </c>
      <c r="F47" s="138">
        <f>'ALKEM-AURO'!N3</f>
        <v>-0.712816003</v>
      </c>
      <c r="G47" s="138">
        <f>'ALKEM-AURO'!N4</f>
        <v>-0.2036898501</v>
      </c>
      <c r="H47" s="77" t="s">
        <v>71</v>
      </c>
      <c r="I47" s="169">
        <f>'ALKEM-AURO'!P2</f>
        <v>3.143867985</v>
      </c>
      <c r="J47" s="169">
        <f>'ALKEM-AURO'!Q2</f>
        <v>3.327114428</v>
      </c>
      <c r="K47" s="169">
        <f>'ALKEM-AURO'!R2</f>
        <v>3.024898464</v>
      </c>
      <c r="L47" s="141">
        <f>'ALKEM-AURO'!J129</f>
        <v>-2.345630292</v>
      </c>
      <c r="M47" s="141">
        <f>MAX('ALKEM-AURO'!J11:J117)</f>
        <v>1.882884912</v>
      </c>
      <c r="N47" s="141">
        <f>MIN('ALKEM-AURO'!J11:J117)</f>
        <v>-2.224265838</v>
      </c>
      <c r="O47" s="142">
        <f>P47/P48</f>
        <v>3.029575859</v>
      </c>
      <c r="P47" s="143">
        <f>IFERROR(__xludf.DUMMYFUNCTION("GOOGLEFINANCE(B47,""PRICE"")"),5050.0)</f>
        <v>5050</v>
      </c>
      <c r="Q47" s="92">
        <f>IFERROR(__xludf.DUMMYFUNCTION("AVERAGE(QUERY(SORT(GOOGLEFINANCE(B47,""price"",TODAY()-320,TODAY()),1,0),""select Col2 limit 20""))"),5258.9)</f>
        <v>5258.9</v>
      </c>
      <c r="R47" s="169">
        <f>'ALKEM-AURO'!C3</f>
        <v>5466.5</v>
      </c>
      <c r="S47" s="169">
        <f>'ALKEM-AURO'!C8</f>
        <v>5252.166667</v>
      </c>
      <c r="T47" s="169">
        <f>'ALKEM-AURO'!C4</f>
        <v>5087.5</v>
      </c>
      <c r="U47" s="146">
        <f>'ALKEM-AURO'!P116</f>
        <v>-0.001710653081</v>
      </c>
      <c r="V47" s="95" t="s">
        <v>71</v>
      </c>
      <c r="W47" s="138">
        <f>MAX('IGL-GAIL'!P93:P129)</f>
        <v>0.05041385213</v>
      </c>
      <c r="X47" s="138">
        <f>min('IGL-GAIL'!P93:P129)</f>
        <v>-0.04240956629</v>
      </c>
      <c r="Y47" s="148">
        <f>(P47*A47)/(P48*A48)</f>
        <v>0.5508319744</v>
      </c>
      <c r="Z47" s="149">
        <f>(A47*P47)-(A48*P48)</f>
        <v>-411795</v>
      </c>
      <c r="AA47" s="150">
        <f>if((AD47="BUY"), -(Z47/P47)) </f>
        <v>81.54356436</v>
      </c>
      <c r="AB47" s="151">
        <f>P47*A47</f>
        <v>505000</v>
      </c>
      <c r="AC47" s="149"/>
      <c r="AD47" s="152" t="str">
        <f>if( Z47&lt;0,"Buy","Do Not buy")</f>
        <v>Buy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135">
        <v>550.0</v>
      </c>
      <c r="B48" s="153" t="s">
        <v>136</v>
      </c>
      <c r="C48" s="137" t="str">
        <f t="shared" si="29"/>
        <v>Do Not SELL Today</v>
      </c>
      <c r="D48" s="137" t="str">
        <f t="shared" si="30"/>
        <v>Do Not BUY Today</v>
      </c>
      <c r="E48" s="138"/>
      <c r="F48" s="138"/>
      <c r="G48" s="138"/>
      <c r="H48" s="77" t="s">
        <v>91</v>
      </c>
      <c r="I48" s="180">
        <f>'ALKEM-AURO'!P3</f>
        <v>3.329222067</v>
      </c>
      <c r="J48" s="180">
        <f>'ALKEM-AURO'!Q3</f>
        <v>3.689970183</v>
      </c>
      <c r="K48" s="180">
        <f>'ALKEM-AURO'!R3</f>
        <v>3.024898464</v>
      </c>
      <c r="L48" s="138" t="str">
        <f>'ALKEM-AURO'!T4</f>
        <v/>
      </c>
      <c r="M48" s="141"/>
      <c r="N48" s="141"/>
      <c r="O48" s="142">
        <f>P47/P48</f>
        <v>3.029575859</v>
      </c>
      <c r="P48" s="143">
        <f>IFERROR(__xludf.DUMMYFUNCTION("GOOGLEFINANCE(B48,""PRICE"")"),1666.9)</f>
        <v>1666.9</v>
      </c>
      <c r="Q48" s="92">
        <f>IFERROR(__xludf.DUMMYFUNCTION("AVERAGE(QUERY(SORT(GOOGLEFINANCE(B48,""price"",TODAY()-320,TODAY()),1,0),""select Col2 limit 20""))"),1691.39)</f>
        <v>1691.39</v>
      </c>
      <c r="R48" s="169">
        <f>'ALKEM-AURO'!F3</f>
        <v>1734</v>
      </c>
      <c r="S48" s="169">
        <f>'ALKEM-AURO'!F8</f>
        <v>1689.652381</v>
      </c>
      <c r="T48" s="169">
        <f>'ALKEM-AURO'!F4</f>
        <v>1643</v>
      </c>
      <c r="U48" s="146"/>
      <c r="V48" s="95" t="s">
        <v>100</v>
      </c>
      <c r="W48" s="138">
        <f>MAX('IGL-GAIL'!P63:P129)</f>
        <v>0.05041385213</v>
      </c>
      <c r="X48" s="138">
        <f>min('IGL-GAIL'!P63:P129)</f>
        <v>-0.04557934689</v>
      </c>
      <c r="Y48" s="149"/>
      <c r="Z48" s="149"/>
      <c r="AA48" s="156" t="b">
        <f>if((AD48="BUY"), (Z47/P48)) </f>
        <v>0</v>
      </c>
      <c r="AB48" s="151"/>
      <c r="AC48" s="149">
        <f>P48*A48</f>
        <v>916795</v>
      </c>
      <c r="AD48" s="157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2"/>
      <c r="V49" s="171"/>
      <c r="W49" s="171"/>
      <c r="X49" s="1"/>
      <c r="Y49" s="1"/>
      <c r="Z49" s="1"/>
      <c r="AA49" s="120"/>
      <c r="AB49" s="120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135">
        <v>1320.0</v>
      </c>
      <c r="B50" s="136" t="s">
        <v>137</v>
      </c>
      <c r="C50" s="137" t="str">
        <f t="shared" ref="C50:C51" si="31">if(AND(O50&gt;J50,P50&gt;=R50),"SELL Today","Do Not SELL Today")</f>
        <v>Do Not SELL Today</v>
      </c>
      <c r="D50" s="137" t="str">
        <f t="shared" ref="D50:D51" si="32">if(AND(P50&lt;S50,O50&gt;J50,P50&lt;=0.995*T50),"BUY Today","Do Not BUY Today")</f>
        <v>Do Not BUY Today</v>
      </c>
      <c r="E50" s="138">
        <f>'BERGER-ASIAN'!N2</f>
        <v>0.9138362862</v>
      </c>
      <c r="F50" s="138">
        <f>'BERGER-ASIAN'!N3</f>
        <v>0.880136834</v>
      </c>
      <c r="G50" s="138">
        <f>'BERGER-ASIAN'!N4</f>
        <v>0.8362774075</v>
      </c>
      <c r="H50" s="77" t="s">
        <v>71</v>
      </c>
      <c r="I50" s="187">
        <f>'BERGER-ASIAN'!P2</f>
        <v>0.1893681511</v>
      </c>
      <c r="J50" s="187">
        <f>'BERGER-ASIAN'!Q2</f>
        <v>0.1997252747</v>
      </c>
      <c r="K50" s="188">
        <f>'BERGER-ASIAN'!R2</f>
        <v>0.182803586</v>
      </c>
      <c r="L50" s="141">
        <f>'BERGER-ASIAN'!J129</f>
        <v>2.978214718</v>
      </c>
      <c r="M50" s="141">
        <f>MAX('BERGER-ASIAN'!J11:J117)</f>
        <v>2.394333884</v>
      </c>
      <c r="N50" s="141">
        <f>MIN('BERGER-ASIAN'!J11:J117)</f>
        <v>-1.850378135</v>
      </c>
      <c r="O50" s="142">
        <f>P50/P51</f>
        <v>0.2041253913</v>
      </c>
      <c r="P50" s="143">
        <f>IFERROR(__xludf.DUMMYFUNCTION("GOOGLEFINANCE(B50,""PRICE"")"),476.0)</f>
        <v>476</v>
      </c>
      <c r="Q50" s="92">
        <f>IFERROR(__xludf.DUMMYFUNCTION("AVERAGE(QUERY(SORT(GOOGLEFINANCE(B50,""price"",TODAY()-320,TODAY()),1,0),""select Col2 limit 20""))"),461.9374999999999)</f>
        <v>461.9375</v>
      </c>
      <c r="R50" s="169">
        <f>'BERGER-ASIAN'!C3</f>
        <v>484.5</v>
      </c>
      <c r="S50" s="169">
        <f>'BERGER-ASIAN'!C8</f>
        <v>458.7404762</v>
      </c>
      <c r="T50" s="169">
        <f>'BERGER-ASIAN'!C4</f>
        <v>447.1</v>
      </c>
      <c r="U50" s="192">
        <f>'BERGER-ASIAN'!P116</f>
        <v>0.03150624245</v>
      </c>
      <c r="V50" s="95" t="s">
        <v>71</v>
      </c>
      <c r="W50" s="138">
        <f>MAX('IGL-GAIL'!P96:P127)</f>
        <v>0.05041385213</v>
      </c>
      <c r="X50" s="138">
        <f>min('IGL-GAIL'!P96:P127)</f>
        <v>-0.04240956629</v>
      </c>
      <c r="Y50" s="148">
        <f>(P50*A50)/(P51*A51)</f>
        <v>1.347227583</v>
      </c>
      <c r="Z50" s="149">
        <f>(A50*P50)-(A51*P51)</f>
        <v>161940</v>
      </c>
      <c r="AA50" s="150" t="b">
        <f>if((AD50="BUY"), -(Z50/P50)) </f>
        <v>0</v>
      </c>
      <c r="AB50" s="151">
        <f>P50*A50</f>
        <v>628320</v>
      </c>
      <c r="AC50" s="149"/>
      <c r="AD50" s="152" t="str">
        <f>if( Z50&lt;0,"Buy","Do Not buy")</f>
        <v>Do Not buy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135">
        <v>200.0</v>
      </c>
      <c r="B51" s="153" t="s">
        <v>140</v>
      </c>
      <c r="C51" s="137" t="str">
        <f t="shared" si="31"/>
        <v>Do Not SELL Today</v>
      </c>
      <c r="D51" s="137" t="str">
        <f t="shared" si="32"/>
        <v>Do Not BUY Today</v>
      </c>
      <c r="E51" s="138"/>
      <c r="F51" s="138"/>
      <c r="G51" s="138"/>
      <c r="H51" s="77" t="s">
        <v>91</v>
      </c>
      <c r="I51" s="187">
        <f>'BERGER-ASIAN'!P3</f>
        <v>0.1908127294</v>
      </c>
      <c r="J51" s="187">
        <f>'BERGER-ASIAN'!Q3</f>
        <v>0.2059047329</v>
      </c>
      <c r="K51" s="188">
        <f>'BERGER-ASIAN'!R3</f>
        <v>0.1823214684</v>
      </c>
      <c r="L51" s="141"/>
      <c r="M51" s="141"/>
      <c r="N51" s="141"/>
      <c r="O51" s="142">
        <f>P50/P51</f>
        <v>0.2041253913</v>
      </c>
      <c r="P51" s="143">
        <f>IFERROR(__xludf.DUMMYFUNCTION("GOOGLEFINANCE(B51,""PRICE"")"),2331.9)</f>
        <v>2331.9</v>
      </c>
      <c r="Q51" s="92">
        <f>IFERROR(__xludf.DUMMYFUNCTION("AVERAGE(QUERY(SORT(GOOGLEFINANCE(B51,""price"",TODAY()-320,TODAY()),1,0),""select Col2 limit 20""))"),2391.15)</f>
        <v>2391.15</v>
      </c>
      <c r="R51" s="169">
        <f>'BERGER-ASIAN'!F3</f>
        <v>2500.9</v>
      </c>
      <c r="S51" s="169">
        <f>'BERGER-ASIAN'!F8</f>
        <v>2435.914286</v>
      </c>
      <c r="T51" s="169">
        <f>'BERGER-ASIAN'!F4</f>
        <v>2366</v>
      </c>
      <c r="U51" s="146"/>
      <c r="V51" s="95" t="s">
        <v>100</v>
      </c>
      <c r="W51" s="138">
        <f>MAX('IGL-GAIL'!P66:P127)</f>
        <v>0.05041385213</v>
      </c>
      <c r="X51" s="138">
        <f>min('IGL-GAIL'!P66:P127)</f>
        <v>-0.04557934689</v>
      </c>
      <c r="Y51" s="149"/>
      <c r="Z51" s="149"/>
      <c r="AA51" s="156" t="b">
        <f>if((AD51="BUY"), (Z50/P51)) </f>
        <v>0</v>
      </c>
      <c r="AB51" s="151"/>
      <c r="AC51" s="149">
        <f>P51*A51</f>
        <v>466380</v>
      </c>
      <c r="AD51" s="157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2"/>
      <c r="V52" s="171"/>
      <c r="W52" s="171"/>
      <c r="X52" s="1"/>
      <c r="Y52" s="1"/>
      <c r="Z52" s="1"/>
      <c r="AA52" s="120"/>
      <c r="AB52" s="120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135">
        <v>1250.0</v>
      </c>
      <c r="B53" s="136" t="s">
        <v>141</v>
      </c>
      <c r="C53" s="137" t="str">
        <f t="shared" ref="C53:C54" si="33">if(AND(O53&gt;J53,P53&gt;=R53),"SELL Today","Do Not SELL Today")</f>
        <v>Do Not SELL Today</v>
      </c>
      <c r="D53" s="137" t="str">
        <f t="shared" ref="D53:D54" si="34">if(AND(P53&lt;S53,O53&gt;J53,P53&lt;=0.995*T53),"BUY Today","Do Not BUY Today")</f>
        <v>Do Not BUY Today</v>
      </c>
      <c r="E53" s="138">
        <f>'Natural Gas -Crude'!M2</f>
        <v>-0.5401310207</v>
      </c>
      <c r="F53" s="138">
        <f>'Natural Gas -Crude'!M3</f>
        <v>0.2979584577</v>
      </c>
      <c r="G53" s="138">
        <f>'Natural Gas -Crude'!M4</f>
        <v>0.2628271306</v>
      </c>
      <c r="H53" s="77" t="s">
        <v>71</v>
      </c>
      <c r="I53" s="187">
        <f>'Natural Gas -Crude'!O2</f>
        <v>0.02979983092</v>
      </c>
      <c r="J53" s="187">
        <f>'Natural Gas -Crude'!P2</f>
        <v>0.0347020097</v>
      </c>
      <c r="K53" s="187">
        <f>'Natural Gas -Crude'!Q2</f>
        <v>0.0251905972</v>
      </c>
      <c r="L53" s="141">
        <f>'Natural Gas -Crude'!J18</f>
        <v>-0.1048190236</v>
      </c>
      <c r="M53" s="141">
        <f>max('Natural Gas -Crude'!J18:J129)</f>
        <v>0.1115545663</v>
      </c>
      <c r="N53" s="141">
        <f>min('Natural Gas -Crude'!J18:J129)</f>
        <v>-0.1615874376</v>
      </c>
      <c r="O53" s="142">
        <f>'Natural Gas -Crude'!H18</f>
        <v>0.03305012744</v>
      </c>
      <c r="P53" s="192">
        <f>'Natural Gas -Crude'!B18</f>
        <v>194.5</v>
      </c>
      <c r="Q53" s="92">
        <f>'Natural Gas -Crude'!B1</f>
        <v>182.9857143</v>
      </c>
      <c r="R53" s="169">
        <f>'Natural Gas -Crude'!B3</f>
        <v>200.3</v>
      </c>
      <c r="S53" s="169">
        <f>'Natural Gas -Crude'!B8</f>
        <v>182.9857143</v>
      </c>
      <c r="T53" s="169">
        <f>'Natural Gas -Crude'!B4</f>
        <v>158.6</v>
      </c>
      <c r="U53" s="146">
        <f>'IGL-GAIL'!P119</f>
        <v>-0.008036958438</v>
      </c>
      <c r="V53" s="95" t="s">
        <v>71</v>
      </c>
      <c r="W53" s="138">
        <f>MAX('IGL-GAIL'!P90:P119)</f>
        <v>0.05041385213</v>
      </c>
      <c r="X53" s="138">
        <f>min('IGL-GAIL'!P90:P119)</f>
        <v>-0.04240956629</v>
      </c>
      <c r="Y53" s="148">
        <f>(P53*A53)/(P54*A54)</f>
        <v>0.413126593</v>
      </c>
      <c r="Z53" s="149">
        <f>(A53*P53)-(A54*P54)</f>
        <v>-345375</v>
      </c>
      <c r="AA53" s="150">
        <f>if((AD53="BUY"), -(Z53/P53)) </f>
        <v>1775.706941</v>
      </c>
      <c r="AB53" s="151">
        <f>P53*A53</f>
        <v>243125</v>
      </c>
      <c r="AC53" s="149"/>
      <c r="AD53" s="152" t="str">
        <f>if( Z53&lt;0,"Buy","Do Not buy")</f>
        <v>Buy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135">
        <v>100.0</v>
      </c>
      <c r="B54" s="153" t="s">
        <v>142</v>
      </c>
      <c r="C54" s="137" t="str">
        <f t="shared" si="33"/>
        <v>Do Not SELL Today</v>
      </c>
      <c r="D54" s="137" t="str">
        <f t="shared" si="34"/>
        <v>Do Not BUY Today</v>
      </c>
      <c r="E54" s="138"/>
      <c r="F54" s="138"/>
      <c r="G54" s="138"/>
      <c r="H54" s="77" t="s">
        <v>91</v>
      </c>
      <c r="I54" s="169" t="str">
        <f>'IGL-GAIL'!P6</f>
        <v/>
      </c>
      <c r="J54" s="169" t="str">
        <f>'IGL-GAIL'!Q6</f>
        <v/>
      </c>
      <c r="K54" s="170" t="str">
        <f>'IGL-GAIL'!R6</f>
        <v/>
      </c>
      <c r="L54" s="141"/>
      <c r="M54" s="141"/>
      <c r="N54" s="141"/>
      <c r="O54" s="142">
        <f>'Natural Gas -Crude'!H19</f>
        <v>0.03286000668</v>
      </c>
      <c r="P54" s="196">
        <f>'Natural Gas -Crude'!E18</f>
        <v>5885</v>
      </c>
      <c r="Q54" s="92">
        <f>'Natural Gas -Crude'!E1</f>
        <v>6029.619048</v>
      </c>
      <c r="R54" s="169">
        <f>'Natural Gas -Crude'!E3</f>
        <v>6483</v>
      </c>
      <c r="S54" s="169">
        <f>'Natural Gas -Crude'!E8</f>
        <v>6029.619048</v>
      </c>
      <c r="T54" s="169">
        <f>'Natural Gas -Crude'!E4</f>
        <v>5537</v>
      </c>
      <c r="U54" s="146"/>
      <c r="V54" s="95" t="s">
        <v>100</v>
      </c>
      <c r="W54" s="138">
        <f>MAX('IGL-GAIL'!P60:P119)</f>
        <v>0.05041385213</v>
      </c>
      <c r="X54" s="138">
        <f>min('IGL-GAIL'!P60:P119)</f>
        <v>-0.05265057627</v>
      </c>
      <c r="Y54" s="149"/>
      <c r="Z54" s="149"/>
      <c r="AA54" s="156" t="b">
        <f>if((AD54="BUY"), (Z53/P54)) </f>
        <v>0</v>
      </c>
      <c r="AB54" s="151"/>
      <c r="AC54" s="149">
        <f>P54*A54</f>
        <v>588500</v>
      </c>
      <c r="AD54" s="157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2"/>
      <c r="V55" s="171"/>
      <c r="W55" s="171"/>
      <c r="X55" s="1"/>
      <c r="Y55" s="1"/>
      <c r="Z55" s="1"/>
      <c r="AA55" s="120"/>
      <c r="AB55" s="120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135">
        <v>2925.0</v>
      </c>
      <c r="B56" s="136" t="s">
        <v>146</v>
      </c>
      <c r="C56" s="137" t="str">
        <f t="shared" ref="C56:C57" si="35">if(AND(O56&gt;J56,P56&gt;=R56),"SELL Today","Do Not SELL Today")</f>
        <v>Do Not SELL Today</v>
      </c>
      <c r="D56" s="137" t="str">
        <f t="shared" ref="D56:D57" si="36">if(AND(P56&lt;S56,O56&gt;J56,P56&lt;=0.995*T56),"BUY Today","Do Not BUY Today")</f>
        <v>Do Not BUY Today</v>
      </c>
      <c r="E56" s="138">
        <f>'BOB-CANARA'!N2</f>
        <v>0.9232006716</v>
      </c>
      <c r="F56" s="138">
        <f>'BOB-CANARA'!N3</f>
        <v>0.8029532762</v>
      </c>
      <c r="G56" s="138">
        <f>'BOB-CANARA'!N4</f>
        <v>0.7648616159</v>
      </c>
      <c r="H56" s="77" t="s">
        <v>71</v>
      </c>
      <c r="I56" s="167">
        <f>'BOB-CANARA'!P2</f>
        <v>1.894495781</v>
      </c>
      <c r="J56" s="167">
        <f>'BOB-CANARA'!Q2</f>
        <v>1.93025787</v>
      </c>
      <c r="K56" s="167">
        <f>'BOB-CANARA'!R2</f>
        <v>1.861000794</v>
      </c>
      <c r="L56" s="141">
        <f>'BOB-CANARA'!J130</f>
        <v>-1.048588797</v>
      </c>
      <c r="M56" s="141">
        <f>MAX('BOB-CANARA'!J17:J132)</f>
        <v>2.17857155</v>
      </c>
      <c r="N56" s="141">
        <f>MIN('BOB-CANARA'!J17:J132)</f>
        <v>-1.482506574</v>
      </c>
      <c r="O56" s="142">
        <f>P56/P57</f>
        <v>1.947755516</v>
      </c>
      <c r="P56" s="143">
        <f>IFERROR(__xludf.DUMMYFUNCTION("GOOGLEFINANCE(B56,""PRICE"")"),230.4)</f>
        <v>230.4</v>
      </c>
      <c r="Q56" s="92">
        <f>IFERROR(__xludf.DUMMYFUNCTION("AVERAGE(QUERY(SORT(GOOGLEFINANCE(B56,""price"",TODAY()-320,TODAY()),1,0),""select Col2 limit 20""))"),232.85100000000003)</f>
        <v>232.851</v>
      </c>
      <c r="R56" s="169">
        <f>'BOB-CANARA'!C3</f>
        <v>241.2</v>
      </c>
      <c r="S56" s="169">
        <f>'BOB-CANARA'!C8</f>
        <v>234.7609524</v>
      </c>
      <c r="T56" s="169">
        <f>'BOB-CANARA'!C4</f>
        <v>227.5</v>
      </c>
      <c r="U56" s="192">
        <f>'BOB-CANARA'!P116</f>
        <v>0.004644802061</v>
      </c>
      <c r="V56" s="95" t="s">
        <v>71</v>
      </c>
      <c r="W56" s="138">
        <f>MAX('IGL-GAIL'!P102:P135)</f>
        <v>0.02627824235</v>
      </c>
      <c r="X56" s="138">
        <f>min('IGL-GAIL'!P102:P135)</f>
        <v>-0.04240956629</v>
      </c>
      <c r="Y56" s="148">
        <f>(P56*A56)/(P57*A57)</f>
        <v>0.8440273903</v>
      </c>
      <c r="Z56" s="149">
        <f>(A56*P56)-(A57*P57)</f>
        <v>-124537.5</v>
      </c>
      <c r="AA56" s="150">
        <f>if((AD56="BUY"), -(Z56/P56)) </f>
        <v>540.5273438</v>
      </c>
      <c r="AB56" s="151">
        <f>P56*A56</f>
        <v>673920</v>
      </c>
      <c r="AC56" s="149"/>
      <c r="AD56" s="152" t="str">
        <f>if( Z56&lt;0,"Buy","Do Not buy")</f>
        <v>Buy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135">
        <v>6750.0</v>
      </c>
      <c r="B57" s="153" t="s">
        <v>148</v>
      </c>
      <c r="C57" s="137" t="str">
        <f t="shared" si="35"/>
        <v>Do Not SELL Today</v>
      </c>
      <c r="D57" s="137" t="str">
        <f t="shared" si="36"/>
        <v>Do Not BUY Today</v>
      </c>
      <c r="E57" s="138"/>
      <c r="F57" s="138"/>
      <c r="G57" s="138"/>
      <c r="H57" s="77" t="s">
        <v>91</v>
      </c>
      <c r="I57" s="167">
        <f>'BOB-CANARA'!P3</f>
        <v>1.913474981</v>
      </c>
      <c r="J57" s="167">
        <f>'BOB-CANARA'!Q3</f>
        <v>1.984729674</v>
      </c>
      <c r="K57" s="167">
        <f>'BOB-CANARA'!R3</f>
        <v>1.861000794</v>
      </c>
      <c r="L57" s="141"/>
      <c r="M57" s="141"/>
      <c r="N57" s="141"/>
      <c r="O57" s="142">
        <f>P56/P57</f>
        <v>1.947755516</v>
      </c>
      <c r="P57" s="143">
        <f>IFERROR(__xludf.DUMMYFUNCTION("GOOGLEFINANCE(B57,""PRICE"")"),118.29)</f>
        <v>118.29</v>
      </c>
      <c r="Q57" s="92">
        <f>IFERROR(__xludf.DUMMYFUNCTION("AVERAGE(QUERY(SORT(GOOGLEFINANCE(B57,""price"",TODAY()-320,TODAY()),1,0),""select Col2 limit 20""))"),120.8315)</f>
        <v>120.8315</v>
      </c>
      <c r="R57" s="169">
        <f>'BOB-CANARA'!F3</f>
        <v>126.3</v>
      </c>
      <c r="S57" s="169">
        <f>'BOB-CANARA'!F8</f>
        <v>123.507619</v>
      </c>
      <c r="T57" s="169">
        <f>'BOB-CANARA'!F4</f>
        <v>118.36</v>
      </c>
      <c r="U57" s="146"/>
      <c r="V57" s="95" t="s">
        <v>100</v>
      </c>
      <c r="W57" s="138">
        <f>MAX('IGL-GAIL'!P72:P135)</f>
        <v>0.05041385213</v>
      </c>
      <c r="X57" s="138">
        <f>min('IGL-GAIL'!P72:P135)</f>
        <v>-0.04557934689</v>
      </c>
      <c r="Y57" s="149"/>
      <c r="Z57" s="149"/>
      <c r="AA57" s="156" t="b">
        <f>if((AD57="BUY"), (Z56/P57)) </f>
        <v>0</v>
      </c>
      <c r="AB57" s="151"/>
      <c r="AC57" s="149">
        <f>P57*A57</f>
        <v>798457.5</v>
      </c>
      <c r="AD57" s="157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2"/>
      <c r="V58" s="171"/>
      <c r="W58" s="171"/>
      <c r="X58" s="1"/>
      <c r="Y58" s="1"/>
      <c r="Z58" s="1"/>
      <c r="AA58" s="120"/>
      <c r="AB58" s="120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135">
        <v>2925.0</v>
      </c>
      <c r="B59" s="136" t="s">
        <v>149</v>
      </c>
      <c r="C59" s="137" t="str">
        <f t="shared" ref="C59:C60" si="37">if(AND(O59&gt;J59,P59&gt;=R59),"SELL Today","Do Not SELL Today")</f>
        <v>Do Not SELL Today</v>
      </c>
      <c r="D59" s="137" t="str">
        <f t="shared" ref="D59:D60" si="38">if(AND(P59&lt;S59,O59&gt;J59,P59&lt;=0.995*T59),"BUY Today","Do Not BUY Today")</f>
        <v>Do Not BUY Today</v>
      </c>
      <c r="E59" s="138">
        <f>'COAL-GAIL'!N2</f>
        <v>0.01274330925</v>
      </c>
      <c r="F59" s="138">
        <f>'COAL-GAIL'!N3</f>
        <v>-0.07578131416</v>
      </c>
      <c r="G59" s="138">
        <f>'COAL-GAIL'!N4</f>
        <v>-0.3221720058</v>
      </c>
      <c r="H59" s="77" t="s">
        <v>71</v>
      </c>
      <c r="I59" s="167">
        <f>'COAL-GAIL'!P2</f>
        <v>2.410672292</v>
      </c>
      <c r="J59" s="167">
        <f>'COAL-GAIL'!Q2</f>
        <v>2.509850746</v>
      </c>
      <c r="K59" s="167">
        <f>'COAL-GAIL'!R2</f>
        <v>2.263380282</v>
      </c>
      <c r="L59" s="197">
        <f>'COAL-GAIL'!J130</f>
        <v>-0.5304854055</v>
      </c>
      <c r="M59" s="197">
        <f>mAX('COAL-GAIL'!J17:J132)</f>
        <v>2.035406727</v>
      </c>
      <c r="N59" s="197">
        <f>mIN('COAL-GAIL'!J17:J132)</f>
        <v>-1.511445705</v>
      </c>
      <c r="O59" s="142">
        <f>P59/P60</f>
        <v>2.481856038</v>
      </c>
      <c r="P59" s="143">
        <f>IFERROR(__xludf.DUMMYFUNCTION("GOOGLEFINANCE(B59,""PRICE"")"),417.2)</f>
        <v>417.2</v>
      </c>
      <c r="Q59" s="92">
        <f>IFERROR(__xludf.DUMMYFUNCTION("AVERAGE(QUERY(SORT(GOOGLEFINANCE(B59,""price"",TODAY()-320,TODAY()),1,0),""select Col2 limit 20""))"),417.7900000000001)</f>
        <v>417.79</v>
      </c>
      <c r="R59" s="169">
        <f>'COAL-GAIL'!C3</f>
        <v>432</v>
      </c>
      <c r="S59" s="169">
        <f>'COAL-GAIL'!C8</f>
        <v>421.8214286</v>
      </c>
      <c r="T59" s="169">
        <f>'COAL-GAIL'!C4</f>
        <v>409.9</v>
      </c>
      <c r="U59" s="192">
        <f>'COAL-GAIL'!P116</f>
        <v>0.005766206302</v>
      </c>
      <c r="V59" s="95" t="s">
        <v>71</v>
      </c>
      <c r="W59" s="138">
        <f>MAX('IGL-GAIL'!P105:P138)</f>
        <v>0.02627824235</v>
      </c>
      <c r="X59" s="138">
        <f>min('IGL-GAIL'!P105:P138)</f>
        <v>-0.04240956629</v>
      </c>
      <c r="Y59" s="148">
        <f>(P59*A59)/(P60*A60)</f>
        <v>1.07547095</v>
      </c>
      <c r="Z59" s="149">
        <f>(A59*P59)-(A60*P60)</f>
        <v>85635</v>
      </c>
      <c r="AA59" s="150" t="b">
        <f>if((AD59="BUY"), -(Z59/P59)) </f>
        <v>0</v>
      </c>
      <c r="AB59" s="151">
        <f>P59*A59</f>
        <v>1220310</v>
      </c>
      <c r="AC59" s="149"/>
      <c r="AD59" s="152" t="str">
        <f>if( Z59&lt;0,"Buy","Do Not buy")</f>
        <v>Do Not buy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135">
        <v>6750.0</v>
      </c>
      <c r="B60" s="153" t="s">
        <v>134</v>
      </c>
      <c r="C60" s="137" t="str">
        <f t="shared" si="37"/>
        <v>Do Not SELL Today</v>
      </c>
      <c r="D60" s="137" t="str">
        <f t="shared" si="38"/>
        <v>Do Not BUY Today</v>
      </c>
      <c r="E60" s="138"/>
      <c r="F60" s="138"/>
      <c r="G60" s="138"/>
      <c r="H60" s="77" t="s">
        <v>91</v>
      </c>
      <c r="I60" s="167">
        <f>'COAL-GAIL'!P3</f>
        <v>2.407249427</v>
      </c>
      <c r="J60" s="167">
        <f>'COAL-GAIL'!Q3</f>
        <v>2.513821903</v>
      </c>
      <c r="K60" s="167">
        <f>'COAL-GAIL'!R3</f>
        <v>2.263380282</v>
      </c>
      <c r="L60" s="141"/>
      <c r="M60" s="141"/>
      <c r="N60" s="141"/>
      <c r="O60" s="142">
        <f>P59/P60</f>
        <v>2.481856038</v>
      </c>
      <c r="P60" s="143">
        <f>IFERROR(__xludf.DUMMYFUNCTION("GOOGLEFINANCE(B60,""PRICE"")"),168.1)</f>
        <v>168.1</v>
      </c>
      <c r="Q60" s="92">
        <f>IFERROR(__xludf.DUMMYFUNCTION("AVERAGE(QUERY(SORT(GOOGLEFINANCE(B60,""price"",TODAY()-320,TODAY()),1,0),""select Col2 limit 20""))"),170.31799999999998)</f>
        <v>170.318</v>
      </c>
      <c r="R60" s="169">
        <f>'COAL-GAIL'!F3</f>
        <v>176</v>
      </c>
      <c r="S60" s="169">
        <f>'COAL-GAIL'!F8</f>
        <v>172.5104762</v>
      </c>
      <c r="T60" s="169">
        <f>'COAL-GAIL'!F4</f>
        <v>167.5</v>
      </c>
      <c r="U60" s="146"/>
      <c r="V60" s="95" t="s">
        <v>100</v>
      </c>
      <c r="W60" s="138">
        <f>MAX('IGL-GAIL'!P75:P138)</f>
        <v>0.05041385213</v>
      </c>
      <c r="X60" s="138">
        <f>min('IGL-GAIL'!P75:P138)</f>
        <v>-0.04240956629</v>
      </c>
      <c r="Y60" s="149"/>
      <c r="Z60" s="149"/>
      <c r="AA60" s="156" t="b">
        <f>if((AD60="BUY"), (Z59/P60)) </f>
        <v>0</v>
      </c>
      <c r="AB60" s="151"/>
      <c r="AC60" s="149">
        <f>P60*A60</f>
        <v>1134675</v>
      </c>
      <c r="AD60" s="157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2"/>
      <c r="V61" s="171"/>
      <c r="W61" s="171"/>
      <c r="X61" s="1"/>
      <c r="Y61" s="1"/>
      <c r="Z61" s="1"/>
      <c r="AA61" s="120"/>
      <c r="AB61" s="120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1"/>
      <c r="B62" s="171"/>
      <c r="C62" s="171"/>
      <c r="D62" s="171"/>
      <c r="E62" s="171"/>
      <c r="F62" s="171"/>
      <c r="G62" s="198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2"/>
      <c r="V62" s="171"/>
      <c r="W62" s="171"/>
      <c r="X62" s="1"/>
      <c r="Y62" s="1"/>
      <c r="Z62" s="1"/>
      <c r="AA62" s="120"/>
      <c r="AB62" s="120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2"/>
      <c r="V63" s="171"/>
      <c r="W63" s="171"/>
      <c r="X63" s="1"/>
      <c r="Y63" s="1"/>
      <c r="Z63" s="1"/>
      <c r="AA63" s="120"/>
      <c r="AB63" s="120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2"/>
      <c r="V64" s="171"/>
      <c r="W64" s="171"/>
      <c r="X64" s="1"/>
      <c r="Y64" s="1"/>
      <c r="Z64" s="1"/>
      <c r="AA64" s="120"/>
      <c r="AB64" s="120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2"/>
      <c r="V65" s="171"/>
      <c r="W65" s="171"/>
      <c r="X65" s="1"/>
      <c r="Y65" s="1"/>
      <c r="Z65" s="1"/>
      <c r="AA65" s="120"/>
      <c r="AB65" s="120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2"/>
      <c r="V66" s="171"/>
      <c r="W66" s="171"/>
      <c r="X66" s="1"/>
      <c r="Y66" s="1"/>
      <c r="Z66" s="1"/>
      <c r="AA66" s="120"/>
      <c r="AB66" s="120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2"/>
      <c r="V67" s="171"/>
      <c r="W67" s="171"/>
      <c r="X67" s="1"/>
      <c r="Y67" s="1"/>
      <c r="Z67" s="1"/>
      <c r="AA67" s="120"/>
      <c r="AB67" s="120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2"/>
      <c r="V68" s="171"/>
      <c r="W68" s="171"/>
      <c r="X68" s="1"/>
      <c r="Y68" s="1"/>
      <c r="Z68" s="1"/>
      <c r="AA68" s="120"/>
      <c r="AB68" s="120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2"/>
      <c r="V69" s="171"/>
      <c r="W69" s="171"/>
      <c r="X69" s="1"/>
      <c r="Y69" s="1"/>
      <c r="Z69" s="1"/>
      <c r="AA69" s="120"/>
      <c r="AB69" s="120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2"/>
      <c r="V70" s="171"/>
      <c r="W70" s="171"/>
      <c r="X70" s="1"/>
      <c r="Y70" s="1"/>
      <c r="Z70" s="1"/>
      <c r="AA70" s="120"/>
      <c r="AB70" s="120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2"/>
      <c r="V71" s="171"/>
      <c r="W71" s="171"/>
      <c r="X71" s="1"/>
      <c r="Y71" s="1"/>
      <c r="Z71" s="1"/>
      <c r="AA71" s="120"/>
      <c r="AB71" s="120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2"/>
      <c r="V72" s="171"/>
      <c r="W72" s="171"/>
      <c r="X72" s="1"/>
      <c r="Y72" s="1"/>
      <c r="Z72" s="1"/>
      <c r="AA72" s="120"/>
      <c r="AB72" s="120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2"/>
      <c r="V73" s="171"/>
      <c r="W73" s="171"/>
      <c r="X73" s="1"/>
      <c r="Y73" s="1"/>
      <c r="Z73" s="1"/>
      <c r="AA73" s="120"/>
      <c r="AB73" s="120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2"/>
      <c r="V74" s="171"/>
      <c r="W74" s="171"/>
      <c r="X74" s="1"/>
      <c r="Y74" s="1"/>
      <c r="Z74" s="1"/>
      <c r="AA74" s="120"/>
      <c r="AB74" s="120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2"/>
      <c r="V75" s="171"/>
      <c r="W75" s="171"/>
      <c r="X75" s="1"/>
      <c r="Y75" s="1"/>
      <c r="Z75" s="1"/>
      <c r="AA75" s="120"/>
      <c r="AB75" s="120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2"/>
      <c r="V76" s="171"/>
      <c r="W76" s="171"/>
      <c r="X76" s="1"/>
      <c r="Y76" s="1"/>
      <c r="Z76" s="1"/>
      <c r="AA76" s="120"/>
      <c r="AB76" s="120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2"/>
      <c r="V77" s="171"/>
      <c r="W77" s="171"/>
      <c r="X77" s="1"/>
      <c r="Y77" s="1"/>
      <c r="Z77" s="1"/>
      <c r="AA77" s="120"/>
      <c r="AB77" s="120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2"/>
      <c r="V78" s="171"/>
      <c r="W78" s="171"/>
      <c r="X78" s="1"/>
      <c r="Y78" s="1"/>
      <c r="Z78" s="1"/>
      <c r="AA78" s="120"/>
      <c r="AB78" s="120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2"/>
      <c r="V79" s="171"/>
      <c r="W79" s="171"/>
      <c r="X79" s="1"/>
      <c r="Y79" s="1"/>
      <c r="Z79" s="1"/>
      <c r="AA79" s="120"/>
      <c r="AB79" s="120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2"/>
      <c r="V80" s="171"/>
      <c r="W80" s="171"/>
      <c r="X80" s="1"/>
      <c r="Y80" s="1"/>
      <c r="Z80" s="1"/>
      <c r="AA80" s="120"/>
      <c r="AB80" s="120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2"/>
      <c r="V81" s="171"/>
      <c r="W81" s="171"/>
      <c r="X81" s="1"/>
      <c r="Y81" s="1"/>
      <c r="Z81" s="1"/>
      <c r="AA81" s="120"/>
      <c r="AB81" s="120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2"/>
      <c r="V82" s="171"/>
      <c r="W82" s="171"/>
      <c r="X82" s="1"/>
      <c r="Y82" s="1"/>
      <c r="Z82" s="1"/>
      <c r="AA82" s="120"/>
      <c r="AB82" s="120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2"/>
      <c r="V83" s="171"/>
      <c r="W83" s="171"/>
      <c r="X83" s="1"/>
      <c r="Y83" s="1"/>
      <c r="Z83" s="1"/>
      <c r="AA83" s="120"/>
      <c r="AB83" s="120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2"/>
      <c r="V84" s="171"/>
      <c r="W84" s="171"/>
      <c r="X84" s="1"/>
      <c r="Y84" s="1"/>
      <c r="Z84" s="1"/>
      <c r="AA84" s="120"/>
      <c r="AB84" s="120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2"/>
      <c r="V85" s="171"/>
      <c r="W85" s="171"/>
      <c r="X85" s="1"/>
      <c r="Y85" s="1"/>
      <c r="Z85" s="1"/>
      <c r="AA85" s="120"/>
      <c r="AB85" s="120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2"/>
      <c r="V86" s="171"/>
      <c r="W86" s="171"/>
      <c r="X86" s="1"/>
      <c r="Y86" s="1"/>
      <c r="Z86" s="1"/>
      <c r="AA86" s="120"/>
      <c r="AB86" s="120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2"/>
      <c r="V87" s="171"/>
      <c r="W87" s="171"/>
      <c r="X87" s="1"/>
      <c r="Y87" s="1"/>
      <c r="Z87" s="1"/>
      <c r="AA87" s="120"/>
      <c r="AB87" s="120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2"/>
      <c r="V88" s="171"/>
      <c r="W88" s="171"/>
      <c r="X88" s="1"/>
      <c r="Y88" s="1"/>
      <c r="Z88" s="1"/>
      <c r="AA88" s="120"/>
      <c r="AB88" s="120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2"/>
      <c r="V89" s="171"/>
      <c r="W89" s="171"/>
      <c r="X89" s="1"/>
      <c r="Y89" s="1"/>
      <c r="Z89" s="1"/>
      <c r="AA89" s="120"/>
      <c r="AB89" s="120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2"/>
      <c r="V90" s="171"/>
      <c r="W90" s="171"/>
      <c r="X90" s="1"/>
      <c r="Y90" s="1"/>
      <c r="Z90" s="1"/>
      <c r="AA90" s="120"/>
      <c r="AB90" s="120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2"/>
      <c r="V91" s="171"/>
      <c r="W91" s="171"/>
      <c r="X91" s="1"/>
      <c r="Y91" s="1"/>
      <c r="Z91" s="1"/>
      <c r="AA91" s="120"/>
      <c r="AB91" s="120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2"/>
      <c r="V92" s="171"/>
      <c r="W92" s="171"/>
      <c r="X92" s="1"/>
      <c r="Y92" s="1"/>
      <c r="Z92" s="1"/>
      <c r="AA92" s="120"/>
      <c r="AB92" s="120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2"/>
      <c r="V93" s="171"/>
      <c r="W93" s="171"/>
      <c r="X93" s="1"/>
      <c r="Y93" s="1"/>
      <c r="Z93" s="1"/>
      <c r="AA93" s="120"/>
      <c r="AB93" s="120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2"/>
      <c r="V94" s="171"/>
      <c r="W94" s="171"/>
      <c r="X94" s="1"/>
      <c r="Y94" s="1"/>
      <c r="Z94" s="1"/>
      <c r="AA94" s="120"/>
      <c r="AB94" s="120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2"/>
      <c r="V95" s="171"/>
      <c r="W95" s="171"/>
      <c r="X95" s="1"/>
      <c r="Y95" s="1"/>
      <c r="Z95" s="1"/>
      <c r="AA95" s="120"/>
      <c r="AB95" s="120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2"/>
      <c r="V96" s="171"/>
      <c r="W96" s="171"/>
      <c r="X96" s="1"/>
      <c r="Y96" s="1"/>
      <c r="Z96" s="1"/>
      <c r="AA96" s="120"/>
      <c r="AB96" s="120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2"/>
      <c r="V97" s="171"/>
      <c r="W97" s="171"/>
      <c r="X97" s="1"/>
      <c r="Y97" s="1"/>
      <c r="Z97" s="1"/>
      <c r="AA97" s="120"/>
      <c r="AB97" s="120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2"/>
      <c r="V98" s="171"/>
      <c r="W98" s="171"/>
      <c r="X98" s="1"/>
      <c r="Y98" s="1"/>
      <c r="Z98" s="1"/>
      <c r="AA98" s="120"/>
      <c r="AB98" s="120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2"/>
      <c r="V99" s="171"/>
      <c r="W99" s="171"/>
      <c r="X99" s="1"/>
      <c r="Y99" s="1"/>
      <c r="Z99" s="1"/>
      <c r="AA99" s="120"/>
      <c r="AB99" s="120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2"/>
      <c r="V100" s="171"/>
      <c r="W100" s="171"/>
      <c r="X100" s="1"/>
      <c r="Y100" s="1"/>
      <c r="Z100" s="1"/>
      <c r="AA100" s="120"/>
      <c r="AB100" s="120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2"/>
      <c r="V101" s="171"/>
      <c r="W101" s="171"/>
      <c r="X101" s="1"/>
      <c r="Y101" s="1"/>
      <c r="Z101" s="1"/>
      <c r="AA101" s="120"/>
      <c r="AB101" s="120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2"/>
      <c r="V102" s="171"/>
      <c r="W102" s="171"/>
      <c r="X102" s="1"/>
      <c r="Y102" s="1"/>
      <c r="Z102" s="1"/>
      <c r="AA102" s="120"/>
      <c r="AB102" s="120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2"/>
      <c r="V103" s="171"/>
      <c r="W103" s="171"/>
      <c r="X103" s="1"/>
      <c r="Y103" s="1"/>
      <c r="Z103" s="1"/>
      <c r="AA103" s="120"/>
      <c r="AB103" s="120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2"/>
      <c r="V104" s="171"/>
      <c r="W104" s="171"/>
      <c r="X104" s="1"/>
      <c r="Y104" s="1"/>
      <c r="Z104" s="1"/>
      <c r="AA104" s="120"/>
      <c r="AB104" s="120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2"/>
      <c r="V105" s="171"/>
      <c r="W105" s="171"/>
      <c r="X105" s="1"/>
      <c r="Y105" s="1"/>
      <c r="Z105" s="1"/>
      <c r="AA105" s="120"/>
      <c r="AB105" s="120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2"/>
      <c r="V106" s="171"/>
      <c r="W106" s="171"/>
      <c r="X106" s="1"/>
      <c r="Y106" s="1"/>
      <c r="Z106" s="1"/>
      <c r="AA106" s="120"/>
      <c r="AB106" s="120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2"/>
      <c r="V107" s="171"/>
      <c r="W107" s="171"/>
      <c r="X107" s="1"/>
      <c r="Y107" s="1"/>
      <c r="Z107" s="1"/>
      <c r="AA107" s="120"/>
      <c r="AB107" s="120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2"/>
      <c r="V108" s="171"/>
      <c r="W108" s="171"/>
      <c r="X108" s="1"/>
      <c r="Y108" s="1"/>
      <c r="Z108" s="1"/>
      <c r="AA108" s="120"/>
      <c r="AB108" s="120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2"/>
      <c r="V109" s="171"/>
      <c r="W109" s="171"/>
      <c r="X109" s="1"/>
      <c r="Y109" s="1"/>
      <c r="Z109" s="1"/>
      <c r="AA109" s="120"/>
      <c r="AB109" s="120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2"/>
      <c r="V110" s="171"/>
      <c r="W110" s="171"/>
      <c r="X110" s="1"/>
      <c r="Y110" s="1"/>
      <c r="Z110" s="1"/>
      <c r="AA110" s="120"/>
      <c r="AB110" s="120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2"/>
      <c r="V111" s="171"/>
      <c r="W111" s="171"/>
      <c r="X111" s="1"/>
      <c r="Y111" s="1"/>
      <c r="Z111" s="1"/>
      <c r="AA111" s="120"/>
      <c r="AB111" s="120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2"/>
      <c r="V112" s="171"/>
      <c r="W112" s="171"/>
      <c r="X112" s="1"/>
      <c r="Y112" s="1"/>
      <c r="Z112" s="1"/>
      <c r="AA112" s="120"/>
      <c r="AB112" s="120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2"/>
      <c r="V113" s="171"/>
      <c r="W113" s="171"/>
      <c r="X113" s="1"/>
      <c r="Y113" s="1"/>
      <c r="Z113" s="1"/>
      <c r="AA113" s="120"/>
      <c r="AB113" s="120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2"/>
      <c r="V114" s="171"/>
      <c r="W114" s="171"/>
      <c r="X114" s="1"/>
      <c r="Y114" s="1"/>
      <c r="Z114" s="1"/>
      <c r="AA114" s="120"/>
      <c r="AB114" s="120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2"/>
      <c r="V115" s="171"/>
      <c r="W115" s="171"/>
      <c r="X115" s="1"/>
      <c r="Y115" s="1"/>
      <c r="Z115" s="1"/>
      <c r="AA115" s="120"/>
      <c r="AB115" s="120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2"/>
      <c r="V116" s="171"/>
      <c r="W116" s="171"/>
      <c r="X116" s="1"/>
      <c r="Y116" s="1"/>
      <c r="Z116" s="1"/>
      <c r="AA116" s="120"/>
      <c r="AB116" s="120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2"/>
      <c r="V117" s="171"/>
      <c r="W117" s="171"/>
      <c r="X117" s="1"/>
      <c r="Y117" s="1"/>
      <c r="Z117" s="1"/>
      <c r="AA117" s="120"/>
      <c r="AB117" s="120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2"/>
      <c r="V118" s="171"/>
      <c r="W118" s="171"/>
      <c r="X118" s="1"/>
      <c r="Y118" s="1"/>
      <c r="Z118" s="1"/>
      <c r="AA118" s="120"/>
      <c r="AB118" s="120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2"/>
      <c r="V119" s="171"/>
      <c r="W119" s="171"/>
      <c r="X119" s="1"/>
      <c r="Y119" s="1"/>
      <c r="Z119" s="1"/>
      <c r="AA119" s="120"/>
      <c r="AB119" s="120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2"/>
      <c r="V120" s="171"/>
      <c r="W120" s="171"/>
      <c r="X120" s="1"/>
      <c r="Y120" s="1"/>
      <c r="Z120" s="1"/>
      <c r="AA120" s="120"/>
      <c r="AB120" s="120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2"/>
      <c r="V121" s="171"/>
      <c r="W121" s="171"/>
      <c r="X121" s="1"/>
      <c r="Y121" s="1"/>
      <c r="Z121" s="1"/>
      <c r="AA121" s="120"/>
      <c r="AB121" s="120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2"/>
      <c r="V122" s="171"/>
      <c r="W122" s="171"/>
      <c r="X122" s="1"/>
      <c r="Y122" s="1"/>
      <c r="Z122" s="1"/>
      <c r="AA122" s="120"/>
      <c r="AB122" s="120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2"/>
      <c r="V123" s="171"/>
      <c r="W123" s="171"/>
      <c r="X123" s="1"/>
      <c r="Y123" s="1"/>
      <c r="Z123" s="1"/>
      <c r="AA123" s="120"/>
      <c r="AB123" s="120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2"/>
      <c r="V124" s="171"/>
      <c r="W124" s="171"/>
      <c r="X124" s="1"/>
      <c r="Y124" s="1"/>
      <c r="Z124" s="1"/>
      <c r="AA124" s="120"/>
      <c r="AB124" s="120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2"/>
      <c r="V125" s="171"/>
      <c r="W125" s="171"/>
      <c r="X125" s="1"/>
      <c r="Y125" s="1"/>
      <c r="Z125" s="1"/>
      <c r="AA125" s="120"/>
      <c r="AB125" s="120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2"/>
      <c r="V126" s="171"/>
      <c r="W126" s="171"/>
      <c r="X126" s="1"/>
      <c r="Y126" s="1"/>
      <c r="Z126" s="1"/>
      <c r="AA126" s="120"/>
      <c r="AB126" s="120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2"/>
      <c r="V127" s="171"/>
      <c r="W127" s="171"/>
      <c r="X127" s="1"/>
      <c r="Y127" s="1"/>
      <c r="Z127" s="1"/>
      <c r="AA127" s="120"/>
      <c r="AB127" s="120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2"/>
      <c r="V128" s="171"/>
      <c r="W128" s="171"/>
      <c r="X128" s="1"/>
      <c r="Y128" s="1"/>
      <c r="Z128" s="1"/>
      <c r="AA128" s="120"/>
      <c r="AB128" s="120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2"/>
      <c r="V129" s="171"/>
      <c r="W129" s="171"/>
      <c r="X129" s="1"/>
      <c r="Y129" s="1"/>
      <c r="Z129" s="1"/>
      <c r="AA129" s="120"/>
      <c r="AB129" s="120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2"/>
      <c r="V130" s="171"/>
      <c r="W130" s="171"/>
      <c r="X130" s="1"/>
      <c r="Y130" s="1"/>
      <c r="Z130" s="1"/>
      <c r="AA130" s="120"/>
      <c r="AB130" s="120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2"/>
      <c r="V131" s="171"/>
      <c r="W131" s="171"/>
      <c r="X131" s="1"/>
      <c r="Y131" s="1"/>
      <c r="Z131" s="1"/>
      <c r="AA131" s="120"/>
      <c r="AB131" s="120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2"/>
      <c r="V132" s="171"/>
      <c r="W132" s="171"/>
      <c r="X132" s="1"/>
      <c r="Y132" s="1"/>
      <c r="Z132" s="1"/>
      <c r="AA132" s="120"/>
      <c r="AB132" s="120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2"/>
      <c r="V133" s="171"/>
      <c r="W133" s="171"/>
      <c r="X133" s="1"/>
      <c r="Y133" s="1"/>
      <c r="Z133" s="1"/>
      <c r="AA133" s="120"/>
      <c r="AB133" s="120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2"/>
      <c r="V134" s="171"/>
      <c r="W134" s="171"/>
      <c r="X134" s="1"/>
      <c r="Y134" s="1"/>
      <c r="Z134" s="1"/>
      <c r="AA134" s="120"/>
      <c r="AB134" s="120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2"/>
      <c r="V135" s="171"/>
      <c r="W135" s="171"/>
      <c r="X135" s="1"/>
      <c r="Y135" s="1"/>
      <c r="Z135" s="1"/>
      <c r="AA135" s="120"/>
      <c r="AB135" s="120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2"/>
      <c r="V136" s="171"/>
      <c r="W136" s="171"/>
      <c r="X136" s="1"/>
      <c r="Y136" s="1"/>
      <c r="Z136" s="1"/>
      <c r="AA136" s="120"/>
      <c r="AB136" s="120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2"/>
      <c r="V137" s="171"/>
      <c r="W137" s="171"/>
      <c r="X137" s="1"/>
      <c r="Y137" s="1"/>
      <c r="Z137" s="1"/>
      <c r="AA137" s="120"/>
      <c r="AB137" s="120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2"/>
      <c r="V138" s="171"/>
      <c r="W138" s="171"/>
      <c r="X138" s="1"/>
      <c r="Y138" s="1"/>
      <c r="Z138" s="1"/>
      <c r="AA138" s="120"/>
      <c r="AB138" s="120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2"/>
      <c r="V139" s="171"/>
      <c r="W139" s="171"/>
      <c r="X139" s="1"/>
      <c r="Y139" s="1"/>
      <c r="Z139" s="1"/>
      <c r="AA139" s="120"/>
      <c r="AB139" s="120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2"/>
      <c r="V140" s="171"/>
      <c r="W140" s="171"/>
      <c r="X140" s="1"/>
      <c r="Y140" s="1"/>
      <c r="Z140" s="1"/>
      <c r="AA140" s="120"/>
      <c r="AB140" s="120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2"/>
      <c r="V141" s="171"/>
      <c r="W141" s="171"/>
      <c r="X141" s="1"/>
      <c r="Y141" s="1"/>
      <c r="Z141" s="1"/>
      <c r="AA141" s="120"/>
      <c r="AB141" s="120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2"/>
      <c r="V142" s="171"/>
      <c r="W142" s="171"/>
      <c r="X142" s="1"/>
      <c r="Y142" s="1"/>
      <c r="Z142" s="1"/>
      <c r="AA142" s="120"/>
      <c r="AB142" s="120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2"/>
      <c r="V143" s="171"/>
      <c r="W143" s="171"/>
      <c r="X143" s="1"/>
      <c r="Y143" s="1"/>
      <c r="Z143" s="1"/>
      <c r="AA143" s="120"/>
      <c r="AB143" s="120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2"/>
      <c r="V144" s="171"/>
      <c r="W144" s="171"/>
      <c r="X144" s="1"/>
      <c r="Y144" s="1"/>
      <c r="Z144" s="1"/>
      <c r="AA144" s="120"/>
      <c r="AB144" s="120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2"/>
      <c r="V145" s="171"/>
      <c r="W145" s="171"/>
      <c r="X145" s="1"/>
      <c r="Y145" s="1"/>
      <c r="Z145" s="1"/>
      <c r="AA145" s="120"/>
      <c r="AB145" s="120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2"/>
      <c r="V146" s="171"/>
      <c r="W146" s="171"/>
      <c r="X146" s="1"/>
      <c r="Y146" s="1"/>
      <c r="Z146" s="1"/>
      <c r="AA146" s="120"/>
      <c r="AB146" s="120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2"/>
      <c r="V147" s="171"/>
      <c r="W147" s="171"/>
      <c r="X147" s="1"/>
      <c r="Y147" s="1"/>
      <c r="Z147" s="1"/>
      <c r="AA147" s="120"/>
      <c r="AB147" s="120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2"/>
      <c r="V148" s="171"/>
      <c r="W148" s="171"/>
      <c r="X148" s="1"/>
      <c r="Y148" s="1"/>
      <c r="Z148" s="1"/>
      <c r="AA148" s="120"/>
      <c r="AB148" s="120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2"/>
      <c r="V149" s="171"/>
      <c r="W149" s="171"/>
      <c r="X149" s="1"/>
      <c r="Y149" s="1"/>
      <c r="Z149" s="1"/>
      <c r="AA149" s="120"/>
      <c r="AB149" s="120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2"/>
      <c r="V150" s="171"/>
      <c r="W150" s="171"/>
      <c r="X150" s="1"/>
      <c r="Y150" s="1"/>
      <c r="Z150" s="1"/>
      <c r="AA150" s="120"/>
      <c r="AB150" s="120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2"/>
      <c r="V151" s="171"/>
      <c r="W151" s="171"/>
      <c r="X151" s="1"/>
      <c r="Y151" s="1"/>
      <c r="Z151" s="1"/>
      <c r="AA151" s="120"/>
      <c r="AB151" s="120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2"/>
      <c r="V152" s="171"/>
      <c r="W152" s="171"/>
      <c r="X152" s="1"/>
      <c r="Y152" s="1"/>
      <c r="Z152" s="1"/>
      <c r="AA152" s="120"/>
      <c r="AB152" s="120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2"/>
      <c r="V153" s="171"/>
      <c r="W153" s="171"/>
      <c r="X153" s="1"/>
      <c r="Y153" s="1"/>
      <c r="Z153" s="1"/>
      <c r="AA153" s="120"/>
      <c r="AB153" s="120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2"/>
      <c r="V154" s="171"/>
      <c r="W154" s="171"/>
      <c r="X154" s="1"/>
      <c r="Y154" s="1"/>
      <c r="Z154" s="1"/>
      <c r="AA154" s="120"/>
      <c r="AB154" s="120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2"/>
      <c r="V155" s="171"/>
      <c r="W155" s="171"/>
      <c r="X155" s="1"/>
      <c r="Y155" s="1"/>
      <c r="Z155" s="1"/>
      <c r="AA155" s="120"/>
      <c r="AB155" s="120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2"/>
      <c r="V156" s="171"/>
      <c r="W156" s="171"/>
      <c r="X156" s="1"/>
      <c r="Y156" s="1"/>
      <c r="Z156" s="1"/>
      <c r="AA156" s="120"/>
      <c r="AB156" s="120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2"/>
      <c r="V157" s="171"/>
      <c r="W157" s="171"/>
      <c r="X157" s="1"/>
      <c r="Y157" s="1"/>
      <c r="Z157" s="1"/>
      <c r="AA157" s="120"/>
      <c r="AB157" s="120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2"/>
      <c r="V158" s="171"/>
      <c r="W158" s="171"/>
      <c r="X158" s="1"/>
      <c r="Y158" s="1"/>
      <c r="Z158" s="1"/>
      <c r="AA158" s="120"/>
      <c r="AB158" s="120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2"/>
      <c r="V159" s="171"/>
      <c r="W159" s="171"/>
      <c r="X159" s="1"/>
      <c r="Y159" s="1"/>
      <c r="Z159" s="1"/>
      <c r="AA159" s="120"/>
      <c r="AB159" s="120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2"/>
      <c r="V160" s="171"/>
      <c r="W160" s="171"/>
      <c r="X160" s="1"/>
      <c r="Y160" s="1"/>
      <c r="Z160" s="1"/>
      <c r="AA160" s="120"/>
      <c r="AB160" s="120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2"/>
      <c r="V161" s="171"/>
      <c r="W161" s="171"/>
      <c r="X161" s="1"/>
      <c r="Y161" s="1"/>
      <c r="Z161" s="1"/>
      <c r="AA161" s="120"/>
      <c r="AB161" s="120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2"/>
      <c r="V162" s="171"/>
      <c r="W162" s="171"/>
      <c r="X162" s="1"/>
      <c r="Y162" s="1"/>
      <c r="Z162" s="1"/>
      <c r="AA162" s="120"/>
      <c r="AB162" s="120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2"/>
      <c r="V163" s="171"/>
      <c r="W163" s="171"/>
      <c r="X163" s="1"/>
      <c r="Y163" s="1"/>
      <c r="Z163" s="1"/>
      <c r="AA163" s="120"/>
      <c r="AB163" s="120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2"/>
      <c r="V164" s="171"/>
      <c r="W164" s="171"/>
      <c r="X164" s="1"/>
      <c r="Y164" s="1"/>
      <c r="Z164" s="1"/>
      <c r="AA164" s="120"/>
      <c r="AB164" s="120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2"/>
      <c r="V165" s="171"/>
      <c r="W165" s="171"/>
      <c r="X165" s="1"/>
      <c r="Y165" s="1"/>
      <c r="Z165" s="1"/>
      <c r="AA165" s="120"/>
      <c r="AB165" s="120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2"/>
      <c r="V166" s="171"/>
      <c r="W166" s="171"/>
      <c r="X166" s="1"/>
      <c r="Y166" s="1"/>
      <c r="Z166" s="1"/>
      <c r="AA166" s="120"/>
      <c r="AB166" s="120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2"/>
      <c r="V167" s="171"/>
      <c r="W167" s="171"/>
      <c r="X167" s="1"/>
      <c r="Y167" s="1"/>
      <c r="Z167" s="1"/>
      <c r="AA167" s="120"/>
      <c r="AB167" s="120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2"/>
      <c r="V168" s="171"/>
      <c r="W168" s="171"/>
      <c r="X168" s="1"/>
      <c r="Y168" s="1"/>
      <c r="Z168" s="1"/>
      <c r="AA168" s="120"/>
      <c r="AB168" s="120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2"/>
      <c r="V169" s="171"/>
      <c r="W169" s="171"/>
      <c r="X169" s="1"/>
      <c r="Y169" s="1"/>
      <c r="Z169" s="1"/>
      <c r="AA169" s="120"/>
      <c r="AB169" s="120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2"/>
      <c r="V170" s="171"/>
      <c r="W170" s="171"/>
      <c r="X170" s="1"/>
      <c r="Y170" s="1"/>
      <c r="Z170" s="1"/>
      <c r="AA170" s="120"/>
      <c r="AB170" s="120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2"/>
      <c r="V171" s="171"/>
      <c r="W171" s="171"/>
      <c r="X171" s="1"/>
      <c r="Y171" s="1"/>
      <c r="Z171" s="1"/>
      <c r="AA171" s="120"/>
      <c r="AB171" s="120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2"/>
      <c r="V172" s="171"/>
      <c r="W172" s="171"/>
      <c r="X172" s="1"/>
      <c r="Y172" s="1"/>
      <c r="Z172" s="1"/>
      <c r="AA172" s="120"/>
      <c r="AB172" s="120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2"/>
      <c r="V173" s="171"/>
      <c r="W173" s="171"/>
      <c r="X173" s="1"/>
      <c r="Y173" s="1"/>
      <c r="Z173" s="1"/>
      <c r="AA173" s="120"/>
      <c r="AB173" s="120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2"/>
      <c r="V174" s="171"/>
      <c r="W174" s="171"/>
      <c r="X174" s="1"/>
      <c r="Y174" s="1"/>
      <c r="Z174" s="1"/>
      <c r="AA174" s="120"/>
      <c r="AB174" s="120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2"/>
      <c r="V175" s="171"/>
      <c r="W175" s="171"/>
      <c r="X175" s="1"/>
      <c r="Y175" s="1"/>
      <c r="Z175" s="1"/>
      <c r="AA175" s="120"/>
      <c r="AB175" s="120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2"/>
      <c r="V176" s="171"/>
      <c r="W176" s="171"/>
      <c r="X176" s="1"/>
      <c r="Y176" s="1"/>
      <c r="Z176" s="1"/>
      <c r="AA176" s="120"/>
      <c r="AB176" s="120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2"/>
      <c r="V177" s="171"/>
      <c r="W177" s="171"/>
      <c r="X177" s="1"/>
      <c r="Y177" s="1"/>
      <c r="Z177" s="1"/>
      <c r="AA177" s="120"/>
      <c r="AB177" s="120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2"/>
      <c r="V178" s="171"/>
      <c r="W178" s="171"/>
      <c r="X178" s="1"/>
      <c r="Y178" s="1"/>
      <c r="Z178" s="1"/>
      <c r="AA178" s="120"/>
      <c r="AB178" s="120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2"/>
      <c r="V179" s="171"/>
      <c r="W179" s="171"/>
      <c r="X179" s="1"/>
      <c r="Y179" s="1"/>
      <c r="Z179" s="1"/>
      <c r="AA179" s="120"/>
      <c r="AB179" s="120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2"/>
      <c r="V180" s="171"/>
      <c r="W180" s="171"/>
      <c r="X180" s="1"/>
      <c r="Y180" s="1"/>
      <c r="Z180" s="1"/>
      <c r="AA180" s="120"/>
      <c r="AB180" s="120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2"/>
      <c r="V181" s="171"/>
      <c r="W181" s="171"/>
      <c r="X181" s="1"/>
      <c r="Y181" s="1"/>
      <c r="Z181" s="1"/>
      <c r="AA181" s="120"/>
      <c r="AB181" s="120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2"/>
      <c r="V182" s="171"/>
      <c r="W182" s="171"/>
      <c r="X182" s="1"/>
      <c r="Y182" s="1"/>
      <c r="Z182" s="1"/>
      <c r="AA182" s="120"/>
      <c r="AB182" s="120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2"/>
      <c r="V183" s="171"/>
      <c r="W183" s="171"/>
      <c r="X183" s="1"/>
      <c r="Y183" s="1"/>
      <c r="Z183" s="1"/>
      <c r="AA183" s="120"/>
      <c r="AB183" s="120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2"/>
      <c r="V184" s="171"/>
      <c r="W184" s="171"/>
      <c r="X184" s="1"/>
      <c r="Y184" s="1"/>
      <c r="Z184" s="1"/>
      <c r="AA184" s="120"/>
      <c r="AB184" s="120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2"/>
      <c r="V185" s="171"/>
      <c r="W185" s="171"/>
      <c r="X185" s="1"/>
      <c r="Y185" s="1"/>
      <c r="Z185" s="1"/>
      <c r="AA185" s="120"/>
      <c r="AB185" s="120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2"/>
      <c r="V186" s="171"/>
      <c r="W186" s="171"/>
      <c r="X186" s="1"/>
      <c r="Y186" s="1"/>
      <c r="Z186" s="1"/>
      <c r="AA186" s="120"/>
      <c r="AB186" s="120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2"/>
      <c r="V187" s="171"/>
      <c r="W187" s="171"/>
      <c r="X187" s="1"/>
      <c r="Y187" s="1"/>
      <c r="Z187" s="1"/>
      <c r="AA187" s="120"/>
      <c r="AB187" s="120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2"/>
      <c r="V188" s="171"/>
      <c r="W188" s="171"/>
      <c r="X188" s="1"/>
      <c r="Y188" s="1"/>
      <c r="Z188" s="1"/>
      <c r="AA188" s="120"/>
      <c r="AB188" s="120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2"/>
      <c r="V189" s="171"/>
      <c r="W189" s="171"/>
      <c r="X189" s="1"/>
      <c r="Y189" s="1"/>
      <c r="Z189" s="1"/>
      <c r="AA189" s="120"/>
      <c r="AB189" s="120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2"/>
      <c r="V190" s="171"/>
      <c r="W190" s="171"/>
      <c r="X190" s="1"/>
      <c r="Y190" s="1"/>
      <c r="Z190" s="1"/>
      <c r="AA190" s="120"/>
      <c r="AB190" s="120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2"/>
      <c r="V191" s="171"/>
      <c r="W191" s="171"/>
      <c r="X191" s="1"/>
      <c r="Y191" s="1"/>
      <c r="Z191" s="1"/>
      <c r="AA191" s="120"/>
      <c r="AB191" s="120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2"/>
      <c r="V192" s="171"/>
      <c r="W192" s="171"/>
      <c r="X192" s="1"/>
      <c r="Y192" s="1"/>
      <c r="Z192" s="1"/>
      <c r="AA192" s="120"/>
      <c r="AB192" s="120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2"/>
      <c r="V193" s="171"/>
      <c r="W193" s="171"/>
      <c r="X193" s="1"/>
      <c r="Y193" s="1"/>
      <c r="Z193" s="1"/>
      <c r="AA193" s="120"/>
      <c r="AB193" s="120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2"/>
      <c r="V194" s="171"/>
      <c r="W194" s="171"/>
      <c r="X194" s="1"/>
      <c r="Y194" s="1"/>
      <c r="Z194" s="1"/>
      <c r="AA194" s="120"/>
      <c r="AB194" s="120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2"/>
      <c r="V195" s="171"/>
      <c r="W195" s="171"/>
      <c r="X195" s="1"/>
      <c r="Y195" s="1"/>
      <c r="Z195" s="1"/>
      <c r="AA195" s="120"/>
      <c r="AB195" s="120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2"/>
      <c r="V196" s="171"/>
      <c r="W196" s="171"/>
      <c r="X196" s="1"/>
      <c r="Y196" s="1"/>
      <c r="Z196" s="1"/>
      <c r="AA196" s="120"/>
      <c r="AB196" s="120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2"/>
      <c r="V197" s="171"/>
      <c r="W197" s="171"/>
      <c r="X197" s="1"/>
      <c r="Y197" s="1"/>
      <c r="Z197" s="1"/>
      <c r="AA197" s="120"/>
      <c r="AB197" s="120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2"/>
      <c r="V198" s="171"/>
      <c r="W198" s="171"/>
      <c r="X198" s="1"/>
      <c r="Y198" s="1"/>
      <c r="Z198" s="1"/>
      <c r="AA198" s="120"/>
      <c r="AB198" s="120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2"/>
      <c r="V199" s="171"/>
      <c r="W199" s="171"/>
      <c r="X199" s="1"/>
      <c r="Y199" s="1"/>
      <c r="Z199" s="1"/>
      <c r="AA199" s="120"/>
      <c r="AB199" s="120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2"/>
      <c r="V200" s="171"/>
      <c r="W200" s="171"/>
      <c r="X200" s="1"/>
      <c r="Y200" s="1"/>
      <c r="Z200" s="1"/>
      <c r="AA200" s="120"/>
      <c r="AB200" s="120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2"/>
      <c r="V201" s="171"/>
      <c r="W201" s="171"/>
      <c r="X201" s="1"/>
      <c r="Y201" s="1"/>
      <c r="Z201" s="1"/>
      <c r="AA201" s="120"/>
      <c r="AB201" s="120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2"/>
      <c r="V202" s="171"/>
      <c r="W202" s="171"/>
      <c r="X202" s="1"/>
      <c r="Y202" s="1"/>
      <c r="Z202" s="1"/>
      <c r="AA202" s="120"/>
      <c r="AB202" s="120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2"/>
      <c r="V203" s="171"/>
      <c r="W203" s="171"/>
      <c r="X203" s="1"/>
      <c r="Y203" s="1"/>
      <c r="Z203" s="1"/>
      <c r="AA203" s="120"/>
      <c r="AB203" s="120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2"/>
      <c r="V204" s="171"/>
      <c r="W204" s="171"/>
      <c r="X204" s="1"/>
      <c r="Y204" s="1"/>
      <c r="Z204" s="1"/>
      <c r="AA204" s="120"/>
      <c r="AB204" s="120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2"/>
      <c r="V205" s="171"/>
      <c r="W205" s="171"/>
      <c r="X205" s="1"/>
      <c r="Y205" s="1"/>
      <c r="Z205" s="1"/>
      <c r="AA205" s="120"/>
      <c r="AB205" s="120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2"/>
      <c r="V206" s="171"/>
      <c r="W206" s="171"/>
      <c r="X206" s="1"/>
      <c r="Y206" s="1"/>
      <c r="Z206" s="1"/>
      <c r="AA206" s="120"/>
      <c r="AB206" s="120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2"/>
      <c r="V207" s="171"/>
      <c r="W207" s="171"/>
      <c r="X207" s="1"/>
      <c r="Y207" s="1"/>
      <c r="Z207" s="1"/>
      <c r="AA207" s="120"/>
      <c r="AB207" s="120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2"/>
      <c r="V208" s="171"/>
      <c r="W208" s="171"/>
      <c r="X208" s="1"/>
      <c r="Y208" s="1"/>
      <c r="Z208" s="1"/>
      <c r="AA208" s="120"/>
      <c r="AB208" s="120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2"/>
      <c r="V209" s="171"/>
      <c r="W209" s="171"/>
      <c r="X209" s="1"/>
      <c r="Y209" s="1"/>
      <c r="Z209" s="1"/>
      <c r="AA209" s="120"/>
      <c r="AB209" s="120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2"/>
      <c r="V210" s="171"/>
      <c r="W210" s="171"/>
      <c r="X210" s="1"/>
      <c r="Y210" s="1"/>
      <c r="Z210" s="1"/>
      <c r="AA210" s="120"/>
      <c r="AB210" s="120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2"/>
      <c r="V211" s="171"/>
      <c r="W211" s="171"/>
      <c r="X211" s="1"/>
      <c r="Y211" s="1"/>
      <c r="Z211" s="1"/>
      <c r="AA211" s="120"/>
      <c r="AB211" s="120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2"/>
      <c r="V212" s="171"/>
      <c r="W212" s="171"/>
      <c r="X212" s="1"/>
      <c r="Y212" s="1"/>
      <c r="Z212" s="1"/>
      <c r="AA212" s="120"/>
      <c r="AB212" s="120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2"/>
      <c r="V213" s="171"/>
      <c r="W213" s="171"/>
      <c r="X213" s="1"/>
      <c r="Y213" s="1"/>
      <c r="Z213" s="1"/>
      <c r="AA213" s="120"/>
      <c r="AB213" s="120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2"/>
      <c r="V214" s="171"/>
      <c r="W214" s="171"/>
      <c r="X214" s="1"/>
      <c r="Y214" s="1"/>
      <c r="Z214" s="1"/>
      <c r="AA214" s="120"/>
      <c r="AB214" s="120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2"/>
      <c r="V215" s="171"/>
      <c r="W215" s="171"/>
      <c r="X215" s="1"/>
      <c r="Y215" s="1"/>
      <c r="Z215" s="1"/>
      <c r="AA215" s="120"/>
      <c r="AB215" s="120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2"/>
      <c r="V216" s="171"/>
      <c r="W216" s="171"/>
      <c r="X216" s="1"/>
      <c r="Y216" s="1"/>
      <c r="Z216" s="1"/>
      <c r="AA216" s="120"/>
      <c r="AB216" s="120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2"/>
      <c r="V217" s="171"/>
      <c r="W217" s="171"/>
      <c r="X217" s="1"/>
      <c r="Y217" s="1"/>
      <c r="Z217" s="1"/>
      <c r="AA217" s="120"/>
      <c r="AB217" s="120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2"/>
      <c r="V218" s="171"/>
      <c r="W218" s="171"/>
      <c r="X218" s="1"/>
      <c r="Y218" s="1"/>
      <c r="Z218" s="1"/>
      <c r="AA218" s="120"/>
      <c r="AB218" s="120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2"/>
      <c r="V219" s="171"/>
      <c r="W219" s="171"/>
      <c r="X219" s="1"/>
      <c r="Y219" s="1"/>
      <c r="Z219" s="1"/>
      <c r="AA219" s="120"/>
      <c r="AB219" s="120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2"/>
      <c r="V220" s="171"/>
      <c r="W220" s="171"/>
      <c r="X220" s="1"/>
      <c r="Y220" s="1"/>
      <c r="Z220" s="1"/>
      <c r="AA220" s="120"/>
      <c r="AB220" s="120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2"/>
      <c r="V221" s="171"/>
      <c r="W221" s="171"/>
      <c r="X221" s="1"/>
      <c r="Y221" s="1"/>
      <c r="Z221" s="1"/>
      <c r="AA221" s="120"/>
      <c r="AB221" s="120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2"/>
      <c r="V222" s="171"/>
      <c r="W222" s="171"/>
      <c r="X222" s="1"/>
      <c r="Y222" s="1"/>
      <c r="Z222" s="1"/>
      <c r="AA222" s="120"/>
      <c r="AB222" s="120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2"/>
      <c r="V223" s="171"/>
      <c r="W223" s="171"/>
      <c r="X223" s="1"/>
      <c r="Y223" s="1"/>
      <c r="Z223" s="1"/>
      <c r="AA223" s="120"/>
      <c r="AB223" s="120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2"/>
      <c r="V224" s="171"/>
      <c r="W224" s="171"/>
      <c r="X224" s="1"/>
      <c r="Y224" s="1"/>
      <c r="Z224" s="1"/>
      <c r="AA224" s="120"/>
      <c r="AB224" s="120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2"/>
      <c r="V225" s="171"/>
      <c r="W225" s="171"/>
      <c r="X225" s="1"/>
      <c r="Y225" s="1"/>
      <c r="Z225" s="1"/>
      <c r="AA225" s="120"/>
      <c r="AB225" s="120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2"/>
      <c r="V226" s="171"/>
      <c r="W226" s="171"/>
      <c r="X226" s="1"/>
      <c r="Y226" s="1"/>
      <c r="Z226" s="1"/>
      <c r="AA226" s="120"/>
      <c r="AB226" s="120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2"/>
      <c r="V227" s="171"/>
      <c r="W227" s="171"/>
      <c r="X227" s="1"/>
      <c r="Y227" s="1"/>
      <c r="Z227" s="1"/>
      <c r="AA227" s="120"/>
      <c r="AB227" s="120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2"/>
      <c r="V228" s="171"/>
      <c r="W228" s="171"/>
      <c r="X228" s="1"/>
      <c r="Y228" s="1"/>
      <c r="Z228" s="1"/>
      <c r="AA228" s="120"/>
      <c r="AB228" s="120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2"/>
      <c r="V229" s="171"/>
      <c r="W229" s="171"/>
      <c r="X229" s="1"/>
      <c r="Y229" s="1"/>
      <c r="Z229" s="1"/>
      <c r="AA229" s="120"/>
      <c r="AB229" s="120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2"/>
      <c r="V230" s="171"/>
      <c r="W230" s="171"/>
      <c r="X230" s="1"/>
      <c r="Y230" s="1"/>
      <c r="Z230" s="1"/>
      <c r="AA230" s="120"/>
      <c r="AB230" s="120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2"/>
      <c r="V231" s="171"/>
      <c r="W231" s="171"/>
      <c r="X231" s="1"/>
      <c r="Y231" s="1"/>
      <c r="Z231" s="1"/>
      <c r="AA231" s="120"/>
      <c r="AB231" s="120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2"/>
      <c r="V232" s="171"/>
      <c r="W232" s="171"/>
      <c r="X232" s="1"/>
      <c r="Y232" s="1"/>
      <c r="Z232" s="1"/>
      <c r="AA232" s="120"/>
      <c r="AB232" s="120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2"/>
      <c r="V233" s="171"/>
      <c r="W233" s="171"/>
      <c r="X233" s="1"/>
      <c r="Y233" s="1"/>
      <c r="Z233" s="1"/>
      <c r="AA233" s="120"/>
      <c r="AB233" s="120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2"/>
      <c r="V234" s="171"/>
      <c r="W234" s="171"/>
      <c r="X234" s="1"/>
      <c r="Y234" s="1"/>
      <c r="Z234" s="1"/>
      <c r="AA234" s="120"/>
      <c r="AB234" s="120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2"/>
      <c r="V235" s="171"/>
      <c r="W235" s="171"/>
      <c r="X235" s="1"/>
      <c r="Y235" s="1"/>
      <c r="Z235" s="1"/>
      <c r="AA235" s="120"/>
      <c r="AB235" s="120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2"/>
      <c r="V236" s="171"/>
      <c r="W236" s="171"/>
      <c r="X236" s="1"/>
      <c r="Y236" s="1"/>
      <c r="Z236" s="1"/>
      <c r="AA236" s="120"/>
      <c r="AB236" s="120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2"/>
      <c r="V237" s="171"/>
      <c r="W237" s="171"/>
      <c r="X237" s="1"/>
      <c r="Y237" s="1"/>
      <c r="Z237" s="1"/>
      <c r="AA237" s="120"/>
      <c r="AB237" s="120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2"/>
      <c r="V238" s="171"/>
      <c r="W238" s="171"/>
      <c r="X238" s="1"/>
      <c r="Y238" s="1"/>
      <c r="Z238" s="1"/>
      <c r="AA238" s="120"/>
      <c r="AB238" s="120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2"/>
      <c r="V239" s="171"/>
      <c r="W239" s="171"/>
      <c r="X239" s="1"/>
      <c r="Y239" s="1"/>
      <c r="Z239" s="1"/>
      <c r="AA239" s="120"/>
      <c r="AB239" s="120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2"/>
      <c r="V240" s="171"/>
      <c r="W240" s="171"/>
      <c r="X240" s="1"/>
      <c r="Y240" s="1"/>
      <c r="Z240" s="1"/>
      <c r="AA240" s="120"/>
      <c r="AB240" s="120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2"/>
      <c r="V241" s="171"/>
      <c r="W241" s="171"/>
      <c r="X241" s="1"/>
      <c r="Y241" s="1"/>
      <c r="Z241" s="1"/>
      <c r="AA241" s="120"/>
      <c r="AB241" s="120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2"/>
      <c r="V242" s="171"/>
      <c r="W242" s="171"/>
      <c r="X242" s="1"/>
      <c r="Y242" s="1"/>
      <c r="Z242" s="1"/>
      <c r="AA242" s="120"/>
      <c r="AB242" s="120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2"/>
      <c r="V243" s="171"/>
      <c r="W243" s="171"/>
      <c r="X243" s="1"/>
      <c r="Y243" s="1"/>
      <c r="Z243" s="1"/>
      <c r="AA243" s="120"/>
      <c r="AB243" s="120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2"/>
      <c r="V244" s="171"/>
      <c r="W244" s="171"/>
      <c r="X244" s="1"/>
      <c r="Y244" s="1"/>
      <c r="Z244" s="1"/>
      <c r="AA244" s="120"/>
      <c r="AB244" s="120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2"/>
      <c r="V245" s="171"/>
      <c r="W245" s="171"/>
      <c r="X245" s="1"/>
      <c r="Y245" s="1"/>
      <c r="Z245" s="1"/>
      <c r="AA245" s="120"/>
      <c r="AB245" s="120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2"/>
      <c r="V246" s="171"/>
      <c r="W246" s="171"/>
      <c r="X246" s="1"/>
      <c r="Y246" s="1"/>
      <c r="Z246" s="1"/>
      <c r="AA246" s="120"/>
      <c r="AB246" s="120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2"/>
      <c r="V247" s="171"/>
      <c r="W247" s="171"/>
      <c r="X247" s="1"/>
      <c r="Y247" s="1"/>
      <c r="Z247" s="1"/>
      <c r="AA247" s="120"/>
      <c r="AB247" s="120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2"/>
      <c r="V248" s="171"/>
      <c r="W248" s="171"/>
      <c r="X248" s="1"/>
      <c r="Y248" s="1"/>
      <c r="Z248" s="1"/>
      <c r="AA248" s="120"/>
      <c r="AB248" s="120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2"/>
      <c r="V249" s="171"/>
      <c r="W249" s="171"/>
      <c r="X249" s="1"/>
      <c r="Y249" s="1"/>
      <c r="Z249" s="1"/>
      <c r="AA249" s="120"/>
      <c r="AB249" s="120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2"/>
      <c r="V250" s="171"/>
      <c r="W250" s="171"/>
      <c r="X250" s="1"/>
      <c r="Y250" s="1"/>
      <c r="Z250" s="1"/>
      <c r="AA250" s="120"/>
      <c r="AB250" s="120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2"/>
      <c r="V251" s="171"/>
      <c r="W251" s="171"/>
      <c r="X251" s="1"/>
      <c r="Y251" s="1"/>
      <c r="Z251" s="1"/>
      <c r="AA251" s="120"/>
      <c r="AB251" s="120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2"/>
      <c r="V252" s="171"/>
      <c r="W252" s="171"/>
      <c r="X252" s="1"/>
      <c r="Y252" s="1"/>
      <c r="Z252" s="1"/>
      <c r="AA252" s="120"/>
      <c r="AB252" s="120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2"/>
      <c r="V253" s="171"/>
      <c r="W253" s="171"/>
      <c r="X253" s="1"/>
      <c r="Y253" s="1"/>
      <c r="Z253" s="1"/>
      <c r="AA253" s="120"/>
      <c r="AB253" s="120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2"/>
      <c r="V254" s="171"/>
      <c r="W254" s="171"/>
      <c r="X254" s="1"/>
      <c r="Y254" s="1"/>
      <c r="Z254" s="1"/>
      <c r="AA254" s="120"/>
      <c r="AB254" s="120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2"/>
      <c r="V255" s="171"/>
      <c r="W255" s="171"/>
      <c r="X255" s="1"/>
      <c r="Y255" s="1"/>
      <c r="Z255" s="1"/>
      <c r="AA255" s="120"/>
      <c r="AB255" s="120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2"/>
      <c r="V256" s="171"/>
      <c r="W256" s="171"/>
      <c r="X256" s="1"/>
      <c r="Y256" s="1"/>
      <c r="Z256" s="1"/>
      <c r="AA256" s="120"/>
      <c r="AB256" s="120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2"/>
      <c r="V257" s="171"/>
      <c r="W257" s="171"/>
      <c r="X257" s="1"/>
      <c r="Y257" s="1"/>
      <c r="Z257" s="1"/>
      <c r="AA257" s="120"/>
      <c r="AB257" s="120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2"/>
      <c r="V258" s="171"/>
      <c r="W258" s="171"/>
      <c r="X258" s="1"/>
      <c r="Y258" s="1"/>
      <c r="Z258" s="1"/>
      <c r="AA258" s="120"/>
      <c r="AB258" s="120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2"/>
      <c r="V259" s="171"/>
      <c r="W259" s="171"/>
      <c r="X259" s="1"/>
      <c r="Y259" s="1"/>
      <c r="Z259" s="1"/>
      <c r="AA259" s="120"/>
      <c r="AB259" s="120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2"/>
      <c r="V260" s="171"/>
      <c r="W260" s="171"/>
      <c r="X260" s="1"/>
      <c r="Y260" s="1"/>
      <c r="Z260" s="1"/>
      <c r="AA260" s="120"/>
      <c r="AB260" s="120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2"/>
      <c r="V261" s="171"/>
      <c r="W261" s="171"/>
      <c r="X261" s="1"/>
      <c r="Y261" s="1"/>
      <c r="Z261" s="1"/>
      <c r="AA261" s="120"/>
      <c r="AB261" s="120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2"/>
      <c r="V262" s="171"/>
      <c r="W262" s="171"/>
      <c r="X262" s="1"/>
      <c r="Y262" s="1"/>
      <c r="Z262" s="1"/>
      <c r="AA262" s="120"/>
      <c r="AB262" s="120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2"/>
      <c r="V263" s="171"/>
      <c r="W263" s="171"/>
      <c r="X263" s="1"/>
      <c r="Y263" s="1"/>
      <c r="Z263" s="1"/>
      <c r="AA263" s="120"/>
      <c r="AB263" s="120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2"/>
      <c r="V264" s="171"/>
      <c r="W264" s="171"/>
      <c r="X264" s="1"/>
      <c r="Y264" s="1"/>
      <c r="Z264" s="1"/>
      <c r="AA264" s="120"/>
      <c r="AB264" s="120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2"/>
      <c r="V265" s="171"/>
      <c r="W265" s="171"/>
      <c r="X265" s="1"/>
      <c r="Y265" s="1"/>
      <c r="Z265" s="1"/>
      <c r="AA265" s="120"/>
      <c r="AB265" s="120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2"/>
      <c r="V266" s="171"/>
      <c r="W266" s="171"/>
      <c r="X266" s="1"/>
      <c r="Y266" s="1"/>
      <c r="Z266" s="1"/>
      <c r="AA266" s="120"/>
      <c r="AB266" s="120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2"/>
      <c r="V267" s="171"/>
      <c r="W267" s="171"/>
      <c r="X267" s="1"/>
      <c r="Y267" s="1"/>
      <c r="Z267" s="1"/>
      <c r="AA267" s="120"/>
      <c r="AB267" s="120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2"/>
      <c r="V268" s="171"/>
      <c r="W268" s="171"/>
      <c r="X268" s="1"/>
      <c r="Y268" s="1"/>
      <c r="Z268" s="1"/>
      <c r="AA268" s="120"/>
      <c r="AB268" s="120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2"/>
      <c r="V269" s="171"/>
      <c r="W269" s="171"/>
      <c r="X269" s="1"/>
      <c r="Y269" s="1"/>
      <c r="Z269" s="1"/>
      <c r="AA269" s="120"/>
      <c r="AB269" s="120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2"/>
      <c r="V270" s="171"/>
      <c r="W270" s="171"/>
      <c r="X270" s="1"/>
      <c r="Y270" s="1"/>
      <c r="Z270" s="1"/>
      <c r="AA270" s="120"/>
      <c r="AB270" s="120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2"/>
      <c r="V271" s="171"/>
      <c r="W271" s="171"/>
      <c r="X271" s="1"/>
      <c r="Y271" s="1"/>
      <c r="Z271" s="1"/>
      <c r="AA271" s="120"/>
      <c r="AB271" s="120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2"/>
      <c r="V272" s="171"/>
      <c r="W272" s="171"/>
      <c r="X272" s="1"/>
      <c r="Y272" s="1"/>
      <c r="Z272" s="1"/>
      <c r="AA272" s="120"/>
      <c r="AB272" s="120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2"/>
      <c r="V273" s="171"/>
      <c r="W273" s="171"/>
      <c r="X273" s="1"/>
      <c r="Y273" s="1"/>
      <c r="Z273" s="1"/>
      <c r="AA273" s="120"/>
      <c r="AB273" s="120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2"/>
      <c r="V274" s="171"/>
      <c r="W274" s="171"/>
      <c r="X274" s="1"/>
      <c r="Y274" s="1"/>
      <c r="Z274" s="1"/>
      <c r="AA274" s="120"/>
      <c r="AB274" s="120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2"/>
      <c r="V275" s="171"/>
      <c r="W275" s="171"/>
      <c r="X275" s="1"/>
      <c r="Y275" s="1"/>
      <c r="Z275" s="1"/>
      <c r="AA275" s="120"/>
      <c r="AB275" s="120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2"/>
      <c r="V276" s="171"/>
      <c r="W276" s="171"/>
      <c r="X276" s="1"/>
      <c r="Y276" s="1"/>
      <c r="Z276" s="1"/>
      <c r="AA276" s="120"/>
      <c r="AB276" s="120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2"/>
      <c r="V277" s="171"/>
      <c r="W277" s="171"/>
      <c r="X277" s="1"/>
      <c r="Y277" s="1"/>
      <c r="Z277" s="1"/>
      <c r="AA277" s="120"/>
      <c r="AB277" s="120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2"/>
      <c r="V278" s="171"/>
      <c r="W278" s="171"/>
      <c r="X278" s="1"/>
      <c r="Y278" s="1"/>
      <c r="Z278" s="1"/>
      <c r="AA278" s="120"/>
      <c r="AB278" s="120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2"/>
      <c r="V279" s="171"/>
      <c r="W279" s="171"/>
      <c r="X279" s="1"/>
      <c r="Y279" s="1"/>
      <c r="Z279" s="1"/>
      <c r="AA279" s="120"/>
      <c r="AB279" s="120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2"/>
      <c r="V280" s="171"/>
      <c r="W280" s="171"/>
      <c r="X280" s="1"/>
      <c r="Y280" s="1"/>
      <c r="Z280" s="1"/>
      <c r="AA280" s="120"/>
      <c r="AB280" s="120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2"/>
      <c r="V281" s="171"/>
      <c r="W281" s="171"/>
      <c r="X281" s="1"/>
      <c r="Y281" s="1"/>
      <c r="Z281" s="1"/>
      <c r="AA281" s="120"/>
      <c r="AB281" s="120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2"/>
      <c r="V282" s="171"/>
      <c r="W282" s="171"/>
      <c r="X282" s="1"/>
      <c r="Y282" s="1"/>
      <c r="Z282" s="1"/>
      <c r="AA282" s="120"/>
      <c r="AB282" s="120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2"/>
      <c r="V283" s="171"/>
      <c r="W283" s="171"/>
      <c r="X283" s="1"/>
      <c r="Y283" s="1"/>
      <c r="Z283" s="1"/>
      <c r="AA283" s="120"/>
      <c r="AB283" s="120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2"/>
      <c r="V284" s="171"/>
      <c r="W284" s="171"/>
      <c r="X284" s="1"/>
      <c r="Y284" s="1"/>
      <c r="Z284" s="1"/>
      <c r="AA284" s="120"/>
      <c r="AB284" s="120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2"/>
      <c r="V285" s="171"/>
      <c r="W285" s="171"/>
      <c r="X285" s="1"/>
      <c r="Y285" s="1"/>
      <c r="Z285" s="1"/>
      <c r="AA285" s="120"/>
      <c r="AB285" s="120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2"/>
      <c r="V286" s="171"/>
      <c r="W286" s="171"/>
      <c r="X286" s="1"/>
      <c r="Y286" s="1"/>
      <c r="Z286" s="1"/>
      <c r="AA286" s="120"/>
      <c r="AB286" s="120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2"/>
      <c r="V287" s="171"/>
      <c r="W287" s="171"/>
      <c r="X287" s="1"/>
      <c r="Y287" s="1"/>
      <c r="Z287" s="1"/>
      <c r="AA287" s="120"/>
      <c r="AB287" s="120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2"/>
      <c r="V288" s="171"/>
      <c r="W288" s="171"/>
      <c r="X288" s="1"/>
      <c r="Y288" s="1"/>
      <c r="Z288" s="1"/>
      <c r="AA288" s="120"/>
      <c r="AB288" s="120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2"/>
      <c r="V289" s="171"/>
      <c r="W289" s="171"/>
      <c r="X289" s="1"/>
      <c r="Y289" s="1"/>
      <c r="Z289" s="1"/>
      <c r="AA289" s="120"/>
      <c r="AB289" s="120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2"/>
      <c r="V290" s="171"/>
      <c r="W290" s="171"/>
      <c r="X290" s="1"/>
      <c r="Y290" s="1"/>
      <c r="Z290" s="1"/>
      <c r="AA290" s="120"/>
      <c r="AB290" s="120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2"/>
      <c r="V291" s="171"/>
      <c r="W291" s="171"/>
      <c r="X291" s="1"/>
      <c r="Y291" s="1"/>
      <c r="Z291" s="1"/>
      <c r="AA291" s="120"/>
      <c r="AB291" s="120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2"/>
      <c r="V292" s="171"/>
      <c r="W292" s="171"/>
      <c r="X292" s="1"/>
      <c r="Y292" s="1"/>
      <c r="Z292" s="1"/>
      <c r="AA292" s="120"/>
      <c r="AB292" s="120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2"/>
      <c r="V293" s="171"/>
      <c r="W293" s="171"/>
      <c r="X293" s="1"/>
      <c r="Y293" s="1"/>
      <c r="Z293" s="1"/>
      <c r="AA293" s="120"/>
      <c r="AB293" s="120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2"/>
      <c r="V294" s="171"/>
      <c r="W294" s="171"/>
      <c r="X294" s="1"/>
      <c r="Y294" s="1"/>
      <c r="Z294" s="1"/>
      <c r="AA294" s="120"/>
      <c r="AB294" s="120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2"/>
      <c r="V295" s="171"/>
      <c r="W295" s="171"/>
      <c r="X295" s="1"/>
      <c r="Y295" s="1"/>
      <c r="Z295" s="1"/>
      <c r="AA295" s="120"/>
      <c r="AB295" s="120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2"/>
      <c r="V296" s="171"/>
      <c r="W296" s="171"/>
      <c r="X296" s="1"/>
      <c r="Y296" s="1"/>
      <c r="Z296" s="1"/>
      <c r="AA296" s="120"/>
      <c r="AB296" s="120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2"/>
      <c r="V297" s="171"/>
      <c r="W297" s="171"/>
      <c r="X297" s="1"/>
      <c r="Y297" s="1"/>
      <c r="Z297" s="1"/>
      <c r="AA297" s="120"/>
      <c r="AB297" s="120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2"/>
      <c r="V298" s="171"/>
      <c r="W298" s="171"/>
      <c r="X298" s="1"/>
      <c r="Y298" s="1"/>
      <c r="Z298" s="1"/>
      <c r="AA298" s="120"/>
      <c r="AB298" s="120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2"/>
      <c r="V299" s="171"/>
      <c r="W299" s="171"/>
      <c r="X299" s="1"/>
      <c r="Y299" s="1"/>
      <c r="Z299" s="1"/>
      <c r="AA299" s="120"/>
      <c r="AB299" s="120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2"/>
      <c r="V300" s="171"/>
      <c r="W300" s="171"/>
      <c r="X300" s="1"/>
      <c r="Y300" s="1"/>
      <c r="Z300" s="1"/>
      <c r="AA300" s="120"/>
      <c r="AB300" s="120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2"/>
      <c r="V301" s="171"/>
      <c r="W301" s="171"/>
      <c r="X301" s="1"/>
      <c r="Y301" s="1"/>
      <c r="Z301" s="1"/>
      <c r="AA301" s="120"/>
      <c r="AB301" s="120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2"/>
      <c r="V302" s="171"/>
      <c r="W302" s="171"/>
      <c r="X302" s="1"/>
      <c r="Y302" s="1"/>
      <c r="Z302" s="1"/>
      <c r="AA302" s="120"/>
      <c r="AB302" s="120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2"/>
      <c r="V303" s="171"/>
      <c r="W303" s="171"/>
      <c r="X303" s="1"/>
      <c r="Y303" s="1"/>
      <c r="Z303" s="1"/>
      <c r="AA303" s="120"/>
      <c r="AB303" s="120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2"/>
      <c r="V304" s="171"/>
      <c r="W304" s="171"/>
      <c r="X304" s="1"/>
      <c r="Y304" s="1"/>
      <c r="Z304" s="1"/>
      <c r="AA304" s="120"/>
      <c r="AB304" s="120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2"/>
      <c r="V305" s="171"/>
      <c r="W305" s="171"/>
      <c r="X305" s="1"/>
      <c r="Y305" s="1"/>
      <c r="Z305" s="1"/>
      <c r="AA305" s="120"/>
      <c r="AB305" s="120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2"/>
      <c r="V306" s="171"/>
      <c r="W306" s="171"/>
      <c r="X306" s="1"/>
      <c r="Y306" s="1"/>
      <c r="Z306" s="1"/>
      <c r="AA306" s="120"/>
      <c r="AB306" s="120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2"/>
      <c r="V307" s="171"/>
      <c r="W307" s="171"/>
      <c r="X307" s="1"/>
      <c r="Y307" s="1"/>
      <c r="Z307" s="1"/>
      <c r="AA307" s="120"/>
      <c r="AB307" s="120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2"/>
      <c r="V308" s="171"/>
      <c r="W308" s="171"/>
      <c r="X308" s="1"/>
      <c r="Y308" s="1"/>
      <c r="Z308" s="1"/>
      <c r="AA308" s="120"/>
      <c r="AB308" s="120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2"/>
      <c r="V309" s="171"/>
      <c r="W309" s="171"/>
      <c r="X309" s="1"/>
      <c r="Y309" s="1"/>
      <c r="Z309" s="1"/>
      <c r="AA309" s="120"/>
      <c r="AB309" s="120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2"/>
      <c r="V310" s="171"/>
      <c r="W310" s="171"/>
      <c r="X310" s="1"/>
      <c r="Y310" s="1"/>
      <c r="Z310" s="1"/>
      <c r="AA310" s="120"/>
      <c r="AB310" s="120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2"/>
      <c r="V311" s="171"/>
      <c r="W311" s="171"/>
      <c r="X311" s="1"/>
      <c r="Y311" s="1"/>
      <c r="Z311" s="1"/>
      <c r="AA311" s="120"/>
      <c r="AB311" s="120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2"/>
      <c r="V312" s="171"/>
      <c r="W312" s="171"/>
      <c r="X312" s="1"/>
      <c r="Y312" s="1"/>
      <c r="Z312" s="1"/>
      <c r="AA312" s="120"/>
      <c r="AB312" s="120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2"/>
      <c r="V313" s="171"/>
      <c r="W313" s="171"/>
      <c r="X313" s="1"/>
      <c r="Y313" s="1"/>
      <c r="Z313" s="1"/>
      <c r="AA313" s="120"/>
      <c r="AB313" s="120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2"/>
      <c r="V314" s="171"/>
      <c r="W314" s="171"/>
      <c r="X314" s="1"/>
      <c r="Y314" s="1"/>
      <c r="Z314" s="1"/>
      <c r="AA314" s="120"/>
      <c r="AB314" s="120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2"/>
      <c r="V315" s="171"/>
      <c r="W315" s="171"/>
      <c r="X315" s="1"/>
      <c r="Y315" s="1"/>
      <c r="Z315" s="1"/>
      <c r="AA315" s="120"/>
      <c r="AB315" s="120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2"/>
      <c r="V316" s="171"/>
      <c r="W316" s="171"/>
      <c r="X316" s="1"/>
      <c r="Y316" s="1"/>
      <c r="Z316" s="1"/>
      <c r="AA316" s="120"/>
      <c r="AB316" s="120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2"/>
      <c r="V317" s="171"/>
      <c r="W317" s="171"/>
      <c r="X317" s="1"/>
      <c r="Y317" s="1"/>
      <c r="Z317" s="1"/>
      <c r="AA317" s="120"/>
      <c r="AB317" s="120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2"/>
      <c r="V318" s="171"/>
      <c r="W318" s="171"/>
      <c r="X318" s="1"/>
      <c r="Y318" s="1"/>
      <c r="Z318" s="1"/>
      <c r="AA318" s="120"/>
      <c r="AB318" s="120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2"/>
      <c r="V319" s="171"/>
      <c r="W319" s="171"/>
      <c r="X319" s="1"/>
      <c r="Y319" s="1"/>
      <c r="Z319" s="1"/>
      <c r="AA319" s="120"/>
      <c r="AB319" s="120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2"/>
      <c r="V320" s="171"/>
      <c r="W320" s="171"/>
      <c r="X320" s="1"/>
      <c r="Y320" s="1"/>
      <c r="Z320" s="1"/>
      <c r="AA320" s="120"/>
      <c r="AB320" s="120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2"/>
      <c r="V321" s="171"/>
      <c r="W321" s="171"/>
      <c r="X321" s="1"/>
      <c r="Y321" s="1"/>
      <c r="Z321" s="1"/>
      <c r="AA321" s="120"/>
      <c r="AB321" s="120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2"/>
      <c r="V322" s="171"/>
      <c r="W322" s="171"/>
      <c r="X322" s="1"/>
      <c r="Y322" s="1"/>
      <c r="Z322" s="1"/>
      <c r="AA322" s="120"/>
      <c r="AB322" s="120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2"/>
      <c r="V323" s="171"/>
      <c r="W323" s="171"/>
      <c r="X323" s="1"/>
      <c r="Y323" s="1"/>
      <c r="Z323" s="1"/>
      <c r="AA323" s="120"/>
      <c r="AB323" s="120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2"/>
      <c r="V324" s="171"/>
      <c r="W324" s="171"/>
      <c r="X324" s="1"/>
      <c r="Y324" s="1"/>
      <c r="Z324" s="1"/>
      <c r="AA324" s="120"/>
      <c r="AB324" s="120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2"/>
      <c r="V325" s="171"/>
      <c r="W325" s="171"/>
      <c r="X325" s="1"/>
      <c r="Y325" s="1"/>
      <c r="Z325" s="1"/>
      <c r="AA325" s="120"/>
      <c r="AB325" s="120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2"/>
      <c r="V326" s="171"/>
      <c r="W326" s="171"/>
      <c r="X326" s="1"/>
      <c r="Y326" s="1"/>
      <c r="Z326" s="1"/>
      <c r="AA326" s="120"/>
      <c r="AB326" s="120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2"/>
      <c r="V327" s="171"/>
      <c r="W327" s="171"/>
      <c r="X327" s="1"/>
      <c r="Y327" s="1"/>
      <c r="Z327" s="1"/>
      <c r="AA327" s="120"/>
      <c r="AB327" s="120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2"/>
      <c r="V328" s="171"/>
      <c r="W328" s="171"/>
      <c r="X328" s="1"/>
      <c r="Y328" s="1"/>
      <c r="Z328" s="1"/>
      <c r="AA328" s="120"/>
      <c r="AB328" s="120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2"/>
      <c r="V329" s="171"/>
      <c r="W329" s="171"/>
      <c r="X329" s="1"/>
      <c r="Y329" s="1"/>
      <c r="Z329" s="1"/>
      <c r="AA329" s="120"/>
      <c r="AB329" s="120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2"/>
      <c r="V330" s="171"/>
      <c r="W330" s="171"/>
      <c r="X330" s="1"/>
      <c r="Y330" s="1"/>
      <c r="Z330" s="1"/>
      <c r="AA330" s="120"/>
      <c r="AB330" s="120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2"/>
      <c r="V331" s="171"/>
      <c r="W331" s="171"/>
      <c r="X331" s="1"/>
      <c r="Y331" s="1"/>
      <c r="Z331" s="1"/>
      <c r="AA331" s="120"/>
      <c r="AB331" s="120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2"/>
      <c r="V332" s="171"/>
      <c r="W332" s="171"/>
      <c r="X332" s="1"/>
      <c r="Y332" s="1"/>
      <c r="Z332" s="1"/>
      <c r="AA332" s="120"/>
      <c r="AB332" s="120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2"/>
      <c r="V333" s="171"/>
      <c r="W333" s="171"/>
      <c r="X333" s="1"/>
      <c r="Y333" s="1"/>
      <c r="Z333" s="1"/>
      <c r="AA333" s="120"/>
      <c r="AB333" s="120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2"/>
      <c r="V334" s="171"/>
      <c r="W334" s="171"/>
      <c r="X334" s="1"/>
      <c r="Y334" s="1"/>
      <c r="Z334" s="1"/>
      <c r="AA334" s="120"/>
      <c r="AB334" s="120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2"/>
      <c r="V335" s="171"/>
      <c r="W335" s="171"/>
      <c r="X335" s="1"/>
      <c r="Y335" s="1"/>
      <c r="Z335" s="1"/>
      <c r="AA335" s="120"/>
      <c r="AB335" s="120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2"/>
      <c r="V336" s="171"/>
      <c r="W336" s="171"/>
      <c r="X336" s="1"/>
      <c r="Y336" s="1"/>
      <c r="Z336" s="1"/>
      <c r="AA336" s="120"/>
      <c r="AB336" s="120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2"/>
      <c r="V337" s="171"/>
      <c r="W337" s="171"/>
      <c r="X337" s="1"/>
      <c r="Y337" s="1"/>
      <c r="Z337" s="1"/>
      <c r="AA337" s="120"/>
      <c r="AB337" s="120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2"/>
      <c r="V338" s="171"/>
      <c r="W338" s="171"/>
      <c r="X338" s="1"/>
      <c r="Y338" s="1"/>
      <c r="Z338" s="1"/>
      <c r="AA338" s="120"/>
      <c r="AB338" s="120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2"/>
      <c r="V339" s="171"/>
      <c r="W339" s="171"/>
      <c r="X339" s="1"/>
      <c r="Y339" s="1"/>
      <c r="Z339" s="1"/>
      <c r="AA339" s="120"/>
      <c r="AB339" s="120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2"/>
      <c r="V340" s="171"/>
      <c r="W340" s="171"/>
      <c r="X340" s="1"/>
      <c r="Y340" s="1"/>
      <c r="Z340" s="1"/>
      <c r="AA340" s="120"/>
      <c r="AB340" s="120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2"/>
      <c r="V341" s="171"/>
      <c r="W341" s="171"/>
      <c r="X341" s="1"/>
      <c r="Y341" s="1"/>
      <c r="Z341" s="1"/>
      <c r="AA341" s="120"/>
      <c r="AB341" s="120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2"/>
      <c r="V342" s="171"/>
      <c r="W342" s="171"/>
      <c r="X342" s="1"/>
      <c r="Y342" s="1"/>
      <c r="Z342" s="1"/>
      <c r="AA342" s="120"/>
      <c r="AB342" s="120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2"/>
      <c r="V343" s="171"/>
      <c r="W343" s="171"/>
      <c r="X343" s="1"/>
      <c r="Y343" s="1"/>
      <c r="Z343" s="1"/>
      <c r="AA343" s="120"/>
      <c r="AB343" s="120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2"/>
      <c r="V344" s="171"/>
      <c r="W344" s="171"/>
      <c r="X344" s="1"/>
      <c r="Y344" s="1"/>
      <c r="Z344" s="1"/>
      <c r="AA344" s="120"/>
      <c r="AB344" s="120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2"/>
      <c r="V345" s="171"/>
      <c r="W345" s="171"/>
      <c r="X345" s="1"/>
      <c r="Y345" s="1"/>
      <c r="Z345" s="1"/>
      <c r="AA345" s="120"/>
      <c r="AB345" s="120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2"/>
      <c r="V346" s="171"/>
      <c r="W346" s="171"/>
      <c r="X346" s="1"/>
      <c r="Y346" s="1"/>
      <c r="Z346" s="1"/>
      <c r="AA346" s="120"/>
      <c r="AB346" s="120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2"/>
      <c r="V347" s="171"/>
      <c r="W347" s="171"/>
      <c r="X347" s="1"/>
      <c r="Y347" s="1"/>
      <c r="Z347" s="1"/>
      <c r="AA347" s="120"/>
      <c r="AB347" s="120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2"/>
      <c r="V348" s="171"/>
      <c r="W348" s="171"/>
      <c r="X348" s="1"/>
      <c r="Y348" s="1"/>
      <c r="Z348" s="1"/>
      <c r="AA348" s="120"/>
      <c r="AB348" s="120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2"/>
      <c r="V349" s="171"/>
      <c r="W349" s="171"/>
      <c r="X349" s="1"/>
      <c r="Y349" s="1"/>
      <c r="Z349" s="1"/>
      <c r="AA349" s="120"/>
      <c r="AB349" s="120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2"/>
      <c r="V350" s="171"/>
      <c r="W350" s="171"/>
      <c r="X350" s="1"/>
      <c r="Y350" s="1"/>
      <c r="Z350" s="1"/>
      <c r="AA350" s="120"/>
      <c r="AB350" s="120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2"/>
      <c r="V351" s="171"/>
      <c r="W351" s="171"/>
      <c r="X351" s="1"/>
      <c r="Y351" s="1"/>
      <c r="Z351" s="1"/>
      <c r="AA351" s="120"/>
      <c r="AB351" s="120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2"/>
      <c r="V352" s="171"/>
      <c r="W352" s="171"/>
      <c r="X352" s="1"/>
      <c r="Y352" s="1"/>
      <c r="Z352" s="1"/>
      <c r="AA352" s="120"/>
      <c r="AB352" s="120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2"/>
      <c r="V353" s="171"/>
      <c r="W353" s="171"/>
      <c r="X353" s="1"/>
      <c r="Y353" s="1"/>
      <c r="Z353" s="1"/>
      <c r="AA353" s="120"/>
      <c r="AB353" s="120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2"/>
      <c r="V354" s="171"/>
      <c r="W354" s="171"/>
      <c r="X354" s="1"/>
      <c r="Y354" s="1"/>
      <c r="Z354" s="1"/>
      <c r="AA354" s="120"/>
      <c r="AB354" s="120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2"/>
      <c r="V355" s="171"/>
      <c r="W355" s="171"/>
      <c r="X355" s="1"/>
      <c r="Y355" s="1"/>
      <c r="Z355" s="1"/>
      <c r="AA355" s="120"/>
      <c r="AB355" s="120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2"/>
      <c r="V356" s="171"/>
      <c r="W356" s="171"/>
      <c r="X356" s="1"/>
      <c r="Y356" s="1"/>
      <c r="Z356" s="1"/>
      <c r="AA356" s="120"/>
      <c r="AB356" s="120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2"/>
      <c r="V357" s="171"/>
      <c r="W357" s="171"/>
      <c r="X357" s="1"/>
      <c r="Y357" s="1"/>
      <c r="Z357" s="1"/>
      <c r="AA357" s="120"/>
      <c r="AB357" s="120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2"/>
      <c r="V358" s="171"/>
      <c r="W358" s="171"/>
      <c r="X358" s="1"/>
      <c r="Y358" s="1"/>
      <c r="Z358" s="1"/>
      <c r="AA358" s="120"/>
      <c r="AB358" s="120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2"/>
      <c r="V359" s="171"/>
      <c r="W359" s="171"/>
      <c r="X359" s="1"/>
      <c r="Y359" s="1"/>
      <c r="Z359" s="1"/>
      <c r="AA359" s="120"/>
      <c r="AB359" s="120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2"/>
      <c r="V360" s="171"/>
      <c r="W360" s="171"/>
      <c r="X360" s="1"/>
      <c r="Y360" s="1"/>
      <c r="Z360" s="1"/>
      <c r="AA360" s="120"/>
      <c r="AB360" s="120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2"/>
      <c r="V361" s="171"/>
      <c r="W361" s="171"/>
      <c r="X361" s="1"/>
      <c r="Y361" s="1"/>
      <c r="Z361" s="1"/>
      <c r="AA361" s="120"/>
      <c r="AB361" s="120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2"/>
      <c r="V362" s="171"/>
      <c r="W362" s="171"/>
      <c r="X362" s="1"/>
      <c r="Y362" s="1"/>
      <c r="Z362" s="1"/>
      <c r="AA362" s="120"/>
      <c r="AB362" s="120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2"/>
      <c r="V363" s="171"/>
      <c r="W363" s="171"/>
      <c r="X363" s="1"/>
      <c r="Y363" s="1"/>
      <c r="Z363" s="1"/>
      <c r="AA363" s="120"/>
      <c r="AB363" s="120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2"/>
      <c r="V364" s="171"/>
      <c r="W364" s="171"/>
      <c r="X364" s="1"/>
      <c r="Y364" s="1"/>
      <c r="Z364" s="1"/>
      <c r="AA364" s="120"/>
      <c r="AB364" s="120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2"/>
      <c r="V365" s="171"/>
      <c r="W365" s="171"/>
      <c r="X365" s="1"/>
      <c r="Y365" s="1"/>
      <c r="Z365" s="1"/>
      <c r="AA365" s="120"/>
      <c r="AB365" s="120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2"/>
      <c r="V366" s="171"/>
      <c r="W366" s="171"/>
      <c r="X366" s="1"/>
      <c r="Y366" s="1"/>
      <c r="Z366" s="1"/>
      <c r="AA366" s="120"/>
      <c r="AB366" s="120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2"/>
      <c r="V367" s="171"/>
      <c r="W367" s="171"/>
      <c r="X367" s="1"/>
      <c r="Y367" s="1"/>
      <c r="Z367" s="1"/>
      <c r="AA367" s="120"/>
      <c r="AB367" s="120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2"/>
      <c r="V368" s="171"/>
      <c r="W368" s="171"/>
      <c r="X368" s="1"/>
      <c r="Y368" s="1"/>
      <c r="Z368" s="1"/>
      <c r="AA368" s="120"/>
      <c r="AB368" s="120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2"/>
      <c r="V369" s="171"/>
      <c r="W369" s="171"/>
      <c r="X369" s="1"/>
      <c r="Y369" s="1"/>
      <c r="Z369" s="1"/>
      <c r="AA369" s="120"/>
      <c r="AB369" s="120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2"/>
      <c r="V370" s="171"/>
      <c r="W370" s="171"/>
      <c r="X370" s="1"/>
      <c r="Y370" s="1"/>
      <c r="Z370" s="1"/>
      <c r="AA370" s="120"/>
      <c r="AB370" s="120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2"/>
      <c r="V371" s="171"/>
      <c r="W371" s="171"/>
      <c r="X371" s="1"/>
      <c r="Y371" s="1"/>
      <c r="Z371" s="1"/>
      <c r="AA371" s="120"/>
      <c r="AB371" s="120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2"/>
      <c r="V372" s="171"/>
      <c r="W372" s="171"/>
      <c r="X372" s="1"/>
      <c r="Y372" s="1"/>
      <c r="Z372" s="1"/>
      <c r="AA372" s="120"/>
      <c r="AB372" s="120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2"/>
      <c r="V373" s="171"/>
      <c r="W373" s="171"/>
      <c r="X373" s="1"/>
      <c r="Y373" s="1"/>
      <c r="Z373" s="1"/>
      <c r="AA373" s="120"/>
      <c r="AB373" s="120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2"/>
      <c r="V374" s="171"/>
      <c r="W374" s="171"/>
      <c r="X374" s="1"/>
      <c r="Y374" s="1"/>
      <c r="Z374" s="1"/>
      <c r="AA374" s="120"/>
      <c r="AB374" s="120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2"/>
      <c r="V375" s="171"/>
      <c r="W375" s="171"/>
      <c r="X375" s="1"/>
      <c r="Y375" s="1"/>
      <c r="Z375" s="1"/>
      <c r="AA375" s="120"/>
      <c r="AB375" s="120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2"/>
      <c r="V376" s="171"/>
      <c r="W376" s="171"/>
      <c r="X376" s="1"/>
      <c r="Y376" s="1"/>
      <c r="Z376" s="1"/>
      <c r="AA376" s="120"/>
      <c r="AB376" s="120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2"/>
      <c r="V377" s="171"/>
      <c r="W377" s="171"/>
      <c r="X377" s="1"/>
      <c r="Y377" s="1"/>
      <c r="Z377" s="1"/>
      <c r="AA377" s="120"/>
      <c r="AB377" s="120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2"/>
      <c r="V378" s="171"/>
      <c r="W378" s="171"/>
      <c r="X378" s="1"/>
      <c r="Y378" s="1"/>
      <c r="Z378" s="1"/>
      <c r="AA378" s="120"/>
      <c r="AB378" s="120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2"/>
      <c r="V379" s="171"/>
      <c r="W379" s="171"/>
      <c r="X379" s="1"/>
      <c r="Y379" s="1"/>
      <c r="Z379" s="1"/>
      <c r="AA379" s="120"/>
      <c r="AB379" s="120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2"/>
      <c r="V380" s="171"/>
      <c r="W380" s="171"/>
      <c r="X380" s="1"/>
      <c r="Y380" s="1"/>
      <c r="Z380" s="1"/>
      <c r="AA380" s="120"/>
      <c r="AB380" s="120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2"/>
      <c r="V381" s="171"/>
      <c r="W381" s="171"/>
      <c r="X381" s="1"/>
      <c r="Y381" s="1"/>
      <c r="Z381" s="1"/>
      <c r="AA381" s="120"/>
      <c r="AB381" s="120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2"/>
      <c r="V382" s="171"/>
      <c r="W382" s="171"/>
      <c r="X382" s="1"/>
      <c r="Y382" s="1"/>
      <c r="Z382" s="1"/>
      <c r="AA382" s="120"/>
      <c r="AB382" s="120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2"/>
      <c r="V383" s="171"/>
      <c r="W383" s="171"/>
      <c r="X383" s="1"/>
      <c r="Y383" s="1"/>
      <c r="Z383" s="1"/>
      <c r="AA383" s="120"/>
      <c r="AB383" s="120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2"/>
      <c r="V384" s="171"/>
      <c r="W384" s="171"/>
      <c r="X384" s="1"/>
      <c r="Y384" s="1"/>
      <c r="Z384" s="1"/>
      <c r="AA384" s="120"/>
      <c r="AB384" s="120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2"/>
      <c r="V385" s="171"/>
      <c r="W385" s="171"/>
      <c r="X385" s="1"/>
      <c r="Y385" s="1"/>
      <c r="Z385" s="1"/>
      <c r="AA385" s="120"/>
      <c r="AB385" s="120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2"/>
      <c r="V386" s="171"/>
      <c r="W386" s="171"/>
      <c r="X386" s="1"/>
      <c r="Y386" s="1"/>
      <c r="Z386" s="1"/>
      <c r="AA386" s="120"/>
      <c r="AB386" s="120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2"/>
      <c r="V387" s="171"/>
      <c r="W387" s="171"/>
      <c r="X387" s="1"/>
      <c r="Y387" s="1"/>
      <c r="Z387" s="1"/>
      <c r="AA387" s="120"/>
      <c r="AB387" s="120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2"/>
      <c r="V388" s="171"/>
      <c r="W388" s="171"/>
      <c r="X388" s="1"/>
      <c r="Y388" s="1"/>
      <c r="Z388" s="1"/>
      <c r="AA388" s="120"/>
      <c r="AB388" s="120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2"/>
      <c r="V389" s="171"/>
      <c r="W389" s="171"/>
      <c r="X389" s="1"/>
      <c r="Y389" s="1"/>
      <c r="Z389" s="1"/>
      <c r="AA389" s="120"/>
      <c r="AB389" s="120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2"/>
      <c r="V390" s="171"/>
      <c r="W390" s="171"/>
      <c r="X390" s="1"/>
      <c r="Y390" s="1"/>
      <c r="Z390" s="1"/>
      <c r="AA390" s="120"/>
      <c r="AB390" s="120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2"/>
      <c r="V391" s="171"/>
      <c r="W391" s="171"/>
      <c r="X391" s="1"/>
      <c r="Y391" s="1"/>
      <c r="Z391" s="1"/>
      <c r="AA391" s="120"/>
      <c r="AB391" s="120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2"/>
      <c r="V392" s="171"/>
      <c r="W392" s="171"/>
      <c r="X392" s="1"/>
      <c r="Y392" s="1"/>
      <c r="Z392" s="1"/>
      <c r="AA392" s="120"/>
      <c r="AB392" s="120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2"/>
      <c r="V393" s="171"/>
      <c r="W393" s="171"/>
      <c r="X393" s="1"/>
      <c r="Y393" s="1"/>
      <c r="Z393" s="1"/>
      <c r="AA393" s="120"/>
      <c r="AB393" s="120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2"/>
      <c r="V394" s="171"/>
      <c r="W394" s="171"/>
      <c r="X394" s="1"/>
      <c r="Y394" s="1"/>
      <c r="Z394" s="1"/>
      <c r="AA394" s="120"/>
      <c r="AB394" s="120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2"/>
      <c r="V395" s="171"/>
      <c r="W395" s="171"/>
      <c r="X395" s="1"/>
      <c r="Y395" s="1"/>
      <c r="Z395" s="1"/>
      <c r="AA395" s="120"/>
      <c r="AB395" s="120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2"/>
      <c r="V396" s="171"/>
      <c r="W396" s="171"/>
      <c r="X396" s="1"/>
      <c r="Y396" s="1"/>
      <c r="Z396" s="1"/>
      <c r="AA396" s="120"/>
      <c r="AB396" s="120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2"/>
      <c r="V397" s="171"/>
      <c r="W397" s="171"/>
      <c r="X397" s="1"/>
      <c r="Y397" s="1"/>
      <c r="Z397" s="1"/>
      <c r="AA397" s="120"/>
      <c r="AB397" s="120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2"/>
      <c r="V398" s="171"/>
      <c r="W398" s="171"/>
      <c r="X398" s="1"/>
      <c r="Y398" s="1"/>
      <c r="Z398" s="1"/>
      <c r="AA398" s="120"/>
      <c r="AB398" s="120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2"/>
      <c r="V399" s="171"/>
      <c r="W399" s="171"/>
      <c r="X399" s="1"/>
      <c r="Y399" s="1"/>
      <c r="Z399" s="1"/>
      <c r="AA399" s="120"/>
      <c r="AB399" s="120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2"/>
      <c r="V400" s="171"/>
      <c r="W400" s="171"/>
      <c r="X400" s="1"/>
      <c r="Y400" s="1"/>
      <c r="Z400" s="1"/>
      <c r="AA400" s="120"/>
      <c r="AB400" s="120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2"/>
      <c r="V401" s="171"/>
      <c r="W401" s="171"/>
      <c r="X401" s="1"/>
      <c r="Y401" s="1"/>
      <c r="Z401" s="1"/>
      <c r="AA401" s="120"/>
      <c r="AB401" s="120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2"/>
      <c r="V402" s="171"/>
      <c r="W402" s="171"/>
      <c r="X402" s="1"/>
      <c r="Y402" s="1"/>
      <c r="Z402" s="1"/>
      <c r="AA402" s="120"/>
      <c r="AB402" s="120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2"/>
      <c r="V403" s="171"/>
      <c r="W403" s="171"/>
      <c r="X403" s="1"/>
      <c r="Y403" s="1"/>
      <c r="Z403" s="1"/>
      <c r="AA403" s="120"/>
      <c r="AB403" s="120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2"/>
      <c r="V404" s="171"/>
      <c r="W404" s="171"/>
      <c r="X404" s="1"/>
      <c r="Y404" s="1"/>
      <c r="Z404" s="1"/>
      <c r="AA404" s="120"/>
      <c r="AB404" s="120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2"/>
      <c r="V405" s="171"/>
      <c r="W405" s="171"/>
      <c r="X405" s="1"/>
      <c r="Y405" s="1"/>
      <c r="Z405" s="1"/>
      <c r="AA405" s="120"/>
      <c r="AB405" s="120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2"/>
      <c r="V406" s="171"/>
      <c r="W406" s="171"/>
      <c r="X406" s="1"/>
      <c r="Y406" s="1"/>
      <c r="Z406" s="1"/>
      <c r="AA406" s="120"/>
      <c r="AB406" s="120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2"/>
      <c r="V407" s="171"/>
      <c r="W407" s="171"/>
      <c r="X407" s="1"/>
      <c r="Y407" s="1"/>
      <c r="Z407" s="1"/>
      <c r="AA407" s="120"/>
      <c r="AB407" s="120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2"/>
      <c r="V408" s="171"/>
      <c r="W408" s="171"/>
      <c r="X408" s="1"/>
      <c r="Y408" s="1"/>
      <c r="Z408" s="1"/>
      <c r="AA408" s="120"/>
      <c r="AB408" s="120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2"/>
      <c r="V409" s="171"/>
      <c r="W409" s="171"/>
      <c r="X409" s="1"/>
      <c r="Y409" s="1"/>
      <c r="Z409" s="1"/>
      <c r="AA409" s="120"/>
      <c r="AB409" s="120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2"/>
      <c r="V410" s="171"/>
      <c r="W410" s="171"/>
      <c r="X410" s="1"/>
      <c r="Y410" s="1"/>
      <c r="Z410" s="1"/>
      <c r="AA410" s="120"/>
      <c r="AB410" s="120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2"/>
      <c r="V411" s="171"/>
      <c r="W411" s="171"/>
      <c r="X411" s="1"/>
      <c r="Y411" s="1"/>
      <c r="Z411" s="1"/>
      <c r="AA411" s="120"/>
      <c r="AB411" s="120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2"/>
      <c r="V412" s="171"/>
      <c r="W412" s="171"/>
      <c r="X412" s="1"/>
      <c r="Y412" s="1"/>
      <c r="Z412" s="1"/>
      <c r="AA412" s="120"/>
      <c r="AB412" s="120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2"/>
      <c r="V413" s="171"/>
      <c r="W413" s="171"/>
      <c r="X413" s="1"/>
      <c r="Y413" s="1"/>
      <c r="Z413" s="1"/>
      <c r="AA413" s="120"/>
      <c r="AB413" s="120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2"/>
      <c r="V414" s="171"/>
      <c r="W414" s="171"/>
      <c r="X414" s="1"/>
      <c r="Y414" s="1"/>
      <c r="Z414" s="1"/>
      <c r="AA414" s="120"/>
      <c r="AB414" s="120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2"/>
      <c r="V415" s="171"/>
      <c r="W415" s="171"/>
      <c r="X415" s="1"/>
      <c r="Y415" s="1"/>
      <c r="Z415" s="1"/>
      <c r="AA415" s="120"/>
      <c r="AB415" s="120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2"/>
      <c r="V416" s="171"/>
      <c r="W416" s="171"/>
      <c r="X416" s="1"/>
      <c r="Y416" s="1"/>
      <c r="Z416" s="1"/>
      <c r="AA416" s="120"/>
      <c r="AB416" s="120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2"/>
      <c r="V417" s="171"/>
      <c r="W417" s="171"/>
      <c r="X417" s="1"/>
      <c r="Y417" s="1"/>
      <c r="Z417" s="1"/>
      <c r="AA417" s="120"/>
      <c r="AB417" s="120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2"/>
      <c r="V418" s="171"/>
      <c r="W418" s="171"/>
      <c r="X418" s="1"/>
      <c r="Y418" s="1"/>
      <c r="Z418" s="1"/>
      <c r="AA418" s="120"/>
      <c r="AB418" s="120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2"/>
      <c r="V419" s="171"/>
      <c r="W419" s="171"/>
      <c r="X419" s="1"/>
      <c r="Y419" s="1"/>
      <c r="Z419" s="1"/>
      <c r="AA419" s="120"/>
      <c r="AB419" s="120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2"/>
      <c r="V420" s="171"/>
      <c r="W420" s="171"/>
      <c r="X420" s="1"/>
      <c r="Y420" s="1"/>
      <c r="Z420" s="1"/>
      <c r="AA420" s="120"/>
      <c r="AB420" s="120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2"/>
      <c r="V421" s="171"/>
      <c r="W421" s="171"/>
      <c r="X421" s="1"/>
      <c r="Y421" s="1"/>
      <c r="Z421" s="1"/>
      <c r="AA421" s="120"/>
      <c r="AB421" s="120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2"/>
      <c r="V422" s="171"/>
      <c r="W422" s="171"/>
      <c r="X422" s="1"/>
      <c r="Y422" s="1"/>
      <c r="Z422" s="1"/>
      <c r="AA422" s="120"/>
      <c r="AB422" s="120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2"/>
      <c r="V423" s="171"/>
      <c r="W423" s="171"/>
      <c r="X423" s="1"/>
      <c r="Y423" s="1"/>
      <c r="Z423" s="1"/>
      <c r="AA423" s="120"/>
      <c r="AB423" s="120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2"/>
      <c r="V424" s="171"/>
      <c r="W424" s="171"/>
      <c r="X424" s="1"/>
      <c r="Y424" s="1"/>
      <c r="Z424" s="1"/>
      <c r="AA424" s="120"/>
      <c r="AB424" s="120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2"/>
      <c r="V425" s="171"/>
      <c r="W425" s="171"/>
      <c r="X425" s="1"/>
      <c r="Y425" s="1"/>
      <c r="Z425" s="1"/>
      <c r="AA425" s="120"/>
      <c r="AB425" s="120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2"/>
      <c r="V426" s="171"/>
      <c r="W426" s="171"/>
      <c r="X426" s="1"/>
      <c r="Y426" s="1"/>
      <c r="Z426" s="1"/>
      <c r="AA426" s="120"/>
      <c r="AB426" s="120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2"/>
      <c r="V427" s="171"/>
      <c r="W427" s="171"/>
      <c r="X427" s="1"/>
      <c r="Y427" s="1"/>
      <c r="Z427" s="1"/>
      <c r="AA427" s="120"/>
      <c r="AB427" s="120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2"/>
      <c r="V428" s="171"/>
      <c r="W428" s="171"/>
      <c r="X428" s="1"/>
      <c r="Y428" s="1"/>
      <c r="Z428" s="1"/>
      <c r="AA428" s="120"/>
      <c r="AB428" s="120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2"/>
      <c r="V429" s="171"/>
      <c r="W429" s="171"/>
      <c r="X429" s="1"/>
      <c r="Y429" s="1"/>
      <c r="Z429" s="1"/>
      <c r="AA429" s="120"/>
      <c r="AB429" s="120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2"/>
      <c r="V430" s="171"/>
      <c r="W430" s="171"/>
      <c r="X430" s="1"/>
      <c r="Y430" s="1"/>
      <c r="Z430" s="1"/>
      <c r="AA430" s="120"/>
      <c r="AB430" s="120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2"/>
      <c r="V431" s="171"/>
      <c r="W431" s="171"/>
      <c r="X431" s="1"/>
      <c r="Y431" s="1"/>
      <c r="Z431" s="1"/>
      <c r="AA431" s="120"/>
      <c r="AB431" s="120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2"/>
      <c r="V432" s="171"/>
      <c r="W432" s="171"/>
      <c r="X432" s="1"/>
      <c r="Y432" s="1"/>
      <c r="Z432" s="1"/>
      <c r="AA432" s="120"/>
      <c r="AB432" s="120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2"/>
      <c r="V433" s="171"/>
      <c r="W433" s="171"/>
      <c r="X433" s="1"/>
      <c r="Y433" s="1"/>
      <c r="Z433" s="1"/>
      <c r="AA433" s="120"/>
      <c r="AB433" s="120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2"/>
      <c r="V434" s="171"/>
      <c r="W434" s="171"/>
      <c r="X434" s="1"/>
      <c r="Y434" s="1"/>
      <c r="Z434" s="1"/>
      <c r="AA434" s="120"/>
      <c r="AB434" s="120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2"/>
      <c r="V435" s="171"/>
      <c r="W435" s="171"/>
      <c r="X435" s="1"/>
      <c r="Y435" s="1"/>
      <c r="Z435" s="1"/>
      <c r="AA435" s="120"/>
      <c r="AB435" s="120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2"/>
      <c r="V436" s="171"/>
      <c r="W436" s="171"/>
      <c r="X436" s="1"/>
      <c r="Y436" s="1"/>
      <c r="Z436" s="1"/>
      <c r="AA436" s="120"/>
      <c r="AB436" s="120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2"/>
      <c r="V437" s="171"/>
      <c r="W437" s="171"/>
      <c r="X437" s="1"/>
      <c r="Y437" s="1"/>
      <c r="Z437" s="1"/>
      <c r="AA437" s="120"/>
      <c r="AB437" s="120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2"/>
      <c r="V438" s="171"/>
      <c r="W438" s="171"/>
      <c r="X438" s="1"/>
      <c r="Y438" s="1"/>
      <c r="Z438" s="1"/>
      <c r="AA438" s="120"/>
      <c r="AB438" s="120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2"/>
      <c r="V439" s="171"/>
      <c r="W439" s="171"/>
      <c r="X439" s="1"/>
      <c r="Y439" s="1"/>
      <c r="Z439" s="1"/>
      <c r="AA439" s="120"/>
      <c r="AB439" s="120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2"/>
      <c r="V440" s="171"/>
      <c r="W440" s="171"/>
      <c r="X440" s="1"/>
      <c r="Y440" s="1"/>
      <c r="Z440" s="1"/>
      <c r="AA440" s="120"/>
      <c r="AB440" s="120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2"/>
      <c r="V441" s="171"/>
      <c r="W441" s="171"/>
      <c r="X441" s="1"/>
      <c r="Y441" s="1"/>
      <c r="Z441" s="1"/>
      <c r="AA441" s="120"/>
      <c r="AB441" s="120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2"/>
      <c r="V442" s="171"/>
      <c r="W442" s="171"/>
      <c r="X442" s="1"/>
      <c r="Y442" s="1"/>
      <c r="Z442" s="1"/>
      <c r="AA442" s="120"/>
      <c r="AB442" s="120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2"/>
      <c r="V443" s="171"/>
      <c r="W443" s="171"/>
      <c r="X443" s="1"/>
      <c r="Y443" s="1"/>
      <c r="Z443" s="1"/>
      <c r="AA443" s="120"/>
      <c r="AB443" s="120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2"/>
      <c r="V444" s="171"/>
      <c r="W444" s="171"/>
      <c r="X444" s="1"/>
      <c r="Y444" s="1"/>
      <c r="Z444" s="1"/>
      <c r="AA444" s="120"/>
      <c r="AB444" s="120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2"/>
      <c r="V445" s="171"/>
      <c r="W445" s="171"/>
      <c r="X445" s="1"/>
      <c r="Y445" s="1"/>
      <c r="Z445" s="1"/>
      <c r="AA445" s="120"/>
      <c r="AB445" s="120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2"/>
      <c r="V446" s="171"/>
      <c r="W446" s="171"/>
      <c r="X446" s="1"/>
      <c r="Y446" s="1"/>
      <c r="Z446" s="1"/>
      <c r="AA446" s="120"/>
      <c r="AB446" s="120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2"/>
      <c r="V447" s="171"/>
      <c r="W447" s="171"/>
      <c r="X447" s="1"/>
      <c r="Y447" s="1"/>
      <c r="Z447" s="1"/>
      <c r="AA447" s="120"/>
      <c r="AB447" s="120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2"/>
      <c r="V448" s="171"/>
      <c r="W448" s="171"/>
      <c r="X448" s="1"/>
      <c r="Y448" s="1"/>
      <c r="Z448" s="1"/>
      <c r="AA448" s="120"/>
      <c r="AB448" s="120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2"/>
      <c r="V449" s="171"/>
      <c r="W449" s="171"/>
      <c r="X449" s="1"/>
      <c r="Y449" s="1"/>
      <c r="Z449" s="1"/>
      <c r="AA449" s="120"/>
      <c r="AB449" s="120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2"/>
      <c r="V450" s="171"/>
      <c r="W450" s="171"/>
      <c r="X450" s="1"/>
      <c r="Y450" s="1"/>
      <c r="Z450" s="1"/>
      <c r="AA450" s="120"/>
      <c r="AB450" s="120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2"/>
      <c r="V451" s="171"/>
      <c r="W451" s="171"/>
      <c r="X451" s="1"/>
      <c r="Y451" s="1"/>
      <c r="Z451" s="1"/>
      <c r="AA451" s="120"/>
      <c r="AB451" s="120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2"/>
      <c r="V452" s="171"/>
      <c r="W452" s="171"/>
      <c r="X452" s="1"/>
      <c r="Y452" s="1"/>
      <c r="Z452" s="1"/>
      <c r="AA452" s="120"/>
      <c r="AB452" s="120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2"/>
      <c r="V453" s="171"/>
      <c r="W453" s="171"/>
      <c r="X453" s="1"/>
      <c r="Y453" s="1"/>
      <c r="Z453" s="1"/>
      <c r="AA453" s="120"/>
      <c r="AB453" s="120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2"/>
      <c r="V454" s="171"/>
      <c r="W454" s="171"/>
      <c r="X454" s="1"/>
      <c r="Y454" s="1"/>
      <c r="Z454" s="1"/>
      <c r="AA454" s="120"/>
      <c r="AB454" s="120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2"/>
      <c r="V455" s="171"/>
      <c r="W455" s="171"/>
      <c r="X455" s="1"/>
      <c r="Y455" s="1"/>
      <c r="Z455" s="1"/>
      <c r="AA455" s="120"/>
      <c r="AB455" s="120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2"/>
      <c r="V456" s="171"/>
      <c r="W456" s="171"/>
      <c r="X456" s="1"/>
      <c r="Y456" s="1"/>
      <c r="Z456" s="1"/>
      <c r="AA456" s="120"/>
      <c r="AB456" s="120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2"/>
      <c r="V457" s="171"/>
      <c r="W457" s="171"/>
      <c r="X457" s="1"/>
      <c r="Y457" s="1"/>
      <c r="Z457" s="1"/>
      <c r="AA457" s="120"/>
      <c r="AB457" s="120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2"/>
      <c r="V458" s="171"/>
      <c r="W458" s="171"/>
      <c r="X458" s="1"/>
      <c r="Y458" s="1"/>
      <c r="Z458" s="1"/>
      <c r="AA458" s="120"/>
      <c r="AB458" s="120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2"/>
      <c r="V459" s="171"/>
      <c r="W459" s="171"/>
      <c r="X459" s="1"/>
      <c r="Y459" s="1"/>
      <c r="Z459" s="1"/>
      <c r="AA459" s="120"/>
      <c r="AB459" s="120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2"/>
      <c r="V460" s="171"/>
      <c r="W460" s="171"/>
      <c r="X460" s="1"/>
      <c r="Y460" s="1"/>
      <c r="Z460" s="1"/>
      <c r="AA460" s="120"/>
      <c r="AB460" s="120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2"/>
      <c r="V461" s="171"/>
      <c r="W461" s="171"/>
      <c r="X461" s="1"/>
      <c r="Y461" s="1"/>
      <c r="Z461" s="1"/>
      <c r="AA461" s="120"/>
      <c r="AB461" s="120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2"/>
      <c r="V462" s="171"/>
      <c r="W462" s="171"/>
      <c r="X462" s="1"/>
      <c r="Y462" s="1"/>
      <c r="Z462" s="1"/>
      <c r="AA462" s="120"/>
      <c r="AB462" s="120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2"/>
      <c r="V463" s="171"/>
      <c r="W463" s="171"/>
      <c r="X463" s="1"/>
      <c r="Y463" s="1"/>
      <c r="Z463" s="1"/>
      <c r="AA463" s="120"/>
      <c r="AB463" s="120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2"/>
      <c r="V464" s="171"/>
      <c r="W464" s="171"/>
      <c r="X464" s="1"/>
      <c r="Y464" s="1"/>
      <c r="Z464" s="1"/>
      <c r="AA464" s="120"/>
      <c r="AB464" s="120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2"/>
      <c r="V465" s="171"/>
      <c r="W465" s="171"/>
      <c r="X465" s="1"/>
      <c r="Y465" s="1"/>
      <c r="Z465" s="1"/>
      <c r="AA465" s="120"/>
      <c r="AB465" s="120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2"/>
      <c r="V466" s="171"/>
      <c r="W466" s="171"/>
      <c r="X466" s="1"/>
      <c r="Y466" s="1"/>
      <c r="Z466" s="1"/>
      <c r="AA466" s="120"/>
      <c r="AB466" s="120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2"/>
      <c r="V467" s="171"/>
      <c r="W467" s="171"/>
      <c r="X467" s="1"/>
      <c r="Y467" s="1"/>
      <c r="Z467" s="1"/>
      <c r="AA467" s="120"/>
      <c r="AB467" s="120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2"/>
      <c r="V468" s="171"/>
      <c r="W468" s="171"/>
      <c r="X468" s="1"/>
      <c r="Y468" s="1"/>
      <c r="Z468" s="1"/>
      <c r="AA468" s="120"/>
      <c r="AB468" s="120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2"/>
      <c r="V469" s="171"/>
      <c r="W469" s="171"/>
      <c r="X469" s="1"/>
      <c r="Y469" s="1"/>
      <c r="Z469" s="1"/>
      <c r="AA469" s="120"/>
      <c r="AB469" s="120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2"/>
      <c r="V470" s="171"/>
      <c r="W470" s="171"/>
      <c r="X470" s="1"/>
      <c r="Y470" s="1"/>
      <c r="Z470" s="1"/>
      <c r="AA470" s="120"/>
      <c r="AB470" s="120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2"/>
      <c r="V471" s="171"/>
      <c r="W471" s="171"/>
      <c r="X471" s="1"/>
      <c r="Y471" s="1"/>
      <c r="Z471" s="1"/>
      <c r="AA471" s="120"/>
      <c r="AB471" s="120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2"/>
      <c r="V472" s="171"/>
      <c r="W472" s="171"/>
      <c r="X472" s="1"/>
      <c r="Y472" s="1"/>
      <c r="Z472" s="1"/>
      <c r="AA472" s="120"/>
      <c r="AB472" s="120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2"/>
      <c r="V473" s="171"/>
      <c r="W473" s="171"/>
      <c r="X473" s="1"/>
      <c r="Y473" s="1"/>
      <c r="Z473" s="1"/>
      <c r="AA473" s="120"/>
      <c r="AB473" s="120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2"/>
      <c r="V474" s="171"/>
      <c r="W474" s="171"/>
      <c r="X474" s="1"/>
      <c r="Y474" s="1"/>
      <c r="Z474" s="1"/>
      <c r="AA474" s="120"/>
      <c r="AB474" s="120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2"/>
      <c r="V475" s="171"/>
      <c r="W475" s="171"/>
      <c r="X475" s="1"/>
      <c r="Y475" s="1"/>
      <c r="Z475" s="1"/>
      <c r="AA475" s="120"/>
      <c r="AB475" s="120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2"/>
      <c r="V476" s="171"/>
      <c r="W476" s="171"/>
      <c r="X476" s="1"/>
      <c r="Y476" s="1"/>
      <c r="Z476" s="1"/>
      <c r="AA476" s="120"/>
      <c r="AB476" s="120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2"/>
      <c r="V477" s="171"/>
      <c r="W477" s="171"/>
      <c r="X477" s="1"/>
      <c r="Y477" s="1"/>
      <c r="Z477" s="1"/>
      <c r="AA477" s="120"/>
      <c r="AB477" s="120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2"/>
      <c r="V478" s="171"/>
      <c r="W478" s="171"/>
      <c r="X478" s="1"/>
      <c r="Y478" s="1"/>
      <c r="Z478" s="1"/>
      <c r="AA478" s="120"/>
      <c r="AB478" s="120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2"/>
      <c r="V479" s="171"/>
      <c r="W479" s="171"/>
      <c r="X479" s="1"/>
      <c r="Y479" s="1"/>
      <c r="Z479" s="1"/>
      <c r="AA479" s="120"/>
      <c r="AB479" s="120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2"/>
      <c r="V480" s="171"/>
      <c r="W480" s="171"/>
      <c r="X480" s="1"/>
      <c r="Y480" s="1"/>
      <c r="Z480" s="1"/>
      <c r="AA480" s="120"/>
      <c r="AB480" s="120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2"/>
      <c r="V481" s="171"/>
      <c r="W481" s="171"/>
      <c r="X481" s="1"/>
      <c r="Y481" s="1"/>
      <c r="Z481" s="1"/>
      <c r="AA481" s="120"/>
      <c r="AB481" s="120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2"/>
      <c r="V482" s="171"/>
      <c r="W482" s="171"/>
      <c r="X482" s="1"/>
      <c r="Y482" s="1"/>
      <c r="Z482" s="1"/>
      <c r="AA482" s="120"/>
      <c r="AB482" s="120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2"/>
      <c r="V483" s="171"/>
      <c r="W483" s="171"/>
      <c r="X483" s="1"/>
      <c r="Y483" s="1"/>
      <c r="Z483" s="1"/>
      <c r="AA483" s="120"/>
      <c r="AB483" s="120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2"/>
      <c r="V484" s="171"/>
      <c r="W484" s="171"/>
      <c r="X484" s="1"/>
      <c r="Y484" s="1"/>
      <c r="Z484" s="1"/>
      <c r="AA484" s="120"/>
      <c r="AB484" s="120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2"/>
      <c r="V485" s="171"/>
      <c r="W485" s="171"/>
      <c r="X485" s="1"/>
      <c r="Y485" s="1"/>
      <c r="Z485" s="1"/>
      <c r="AA485" s="120"/>
      <c r="AB485" s="120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2"/>
      <c r="V486" s="171"/>
      <c r="W486" s="171"/>
      <c r="X486" s="1"/>
      <c r="Y486" s="1"/>
      <c r="Z486" s="1"/>
      <c r="AA486" s="120"/>
      <c r="AB486" s="120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2"/>
      <c r="V487" s="171"/>
      <c r="W487" s="171"/>
      <c r="X487" s="1"/>
      <c r="Y487" s="1"/>
      <c r="Z487" s="1"/>
      <c r="AA487" s="120"/>
      <c r="AB487" s="120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2"/>
      <c r="V488" s="171"/>
      <c r="W488" s="171"/>
      <c r="X488" s="1"/>
      <c r="Y488" s="1"/>
      <c r="Z488" s="1"/>
      <c r="AA488" s="120"/>
      <c r="AB488" s="120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2"/>
      <c r="V489" s="171"/>
      <c r="W489" s="171"/>
      <c r="X489" s="1"/>
      <c r="Y489" s="1"/>
      <c r="Z489" s="1"/>
      <c r="AA489" s="120"/>
      <c r="AB489" s="120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2"/>
      <c r="V490" s="171"/>
      <c r="W490" s="171"/>
      <c r="X490" s="1"/>
      <c r="Y490" s="1"/>
      <c r="Z490" s="1"/>
      <c r="AA490" s="120"/>
      <c r="AB490" s="120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2"/>
      <c r="V491" s="171"/>
      <c r="W491" s="171"/>
      <c r="X491" s="1"/>
      <c r="Y491" s="1"/>
      <c r="Z491" s="1"/>
      <c r="AA491" s="120"/>
      <c r="AB491" s="120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2"/>
      <c r="V492" s="171"/>
      <c r="W492" s="171"/>
      <c r="X492" s="1"/>
      <c r="Y492" s="1"/>
      <c r="Z492" s="1"/>
      <c r="AA492" s="120"/>
      <c r="AB492" s="120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2"/>
      <c r="V493" s="171"/>
      <c r="W493" s="171"/>
      <c r="X493" s="1"/>
      <c r="Y493" s="1"/>
      <c r="Z493" s="1"/>
      <c r="AA493" s="120"/>
      <c r="AB493" s="120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2"/>
      <c r="V494" s="171"/>
      <c r="W494" s="171"/>
      <c r="X494" s="1"/>
      <c r="Y494" s="1"/>
      <c r="Z494" s="1"/>
      <c r="AA494" s="120"/>
      <c r="AB494" s="120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2"/>
      <c r="V495" s="171"/>
      <c r="W495" s="171"/>
      <c r="X495" s="1"/>
      <c r="Y495" s="1"/>
      <c r="Z495" s="1"/>
      <c r="AA495" s="120"/>
      <c r="AB495" s="120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2"/>
      <c r="V496" s="171"/>
      <c r="W496" s="171"/>
      <c r="X496" s="1"/>
      <c r="Y496" s="1"/>
      <c r="Z496" s="1"/>
      <c r="AA496" s="120"/>
      <c r="AB496" s="120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2"/>
      <c r="V497" s="171"/>
      <c r="W497" s="171"/>
      <c r="X497" s="1"/>
      <c r="Y497" s="1"/>
      <c r="Z497" s="1"/>
      <c r="AA497" s="120"/>
      <c r="AB497" s="120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2"/>
      <c r="V498" s="171"/>
      <c r="W498" s="171"/>
      <c r="X498" s="1"/>
      <c r="Y498" s="1"/>
      <c r="Z498" s="1"/>
      <c r="AA498" s="120"/>
      <c r="AB498" s="120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2"/>
      <c r="V499" s="171"/>
      <c r="W499" s="171"/>
      <c r="X499" s="1"/>
      <c r="Y499" s="1"/>
      <c r="Z499" s="1"/>
      <c r="AA499" s="120"/>
      <c r="AB499" s="120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2"/>
      <c r="V500" s="171"/>
      <c r="W500" s="171"/>
      <c r="X500" s="1"/>
      <c r="Y500" s="1"/>
      <c r="Z500" s="1"/>
      <c r="AA500" s="120"/>
      <c r="AB500" s="120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2"/>
      <c r="V501" s="171"/>
      <c r="W501" s="171"/>
      <c r="X501" s="1"/>
      <c r="Y501" s="1"/>
      <c r="Z501" s="1"/>
      <c r="AA501" s="120"/>
      <c r="AB501" s="120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2"/>
      <c r="V502" s="171"/>
      <c r="W502" s="171"/>
      <c r="X502" s="1"/>
      <c r="Y502" s="1"/>
      <c r="Z502" s="1"/>
      <c r="AA502" s="120"/>
      <c r="AB502" s="120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2"/>
      <c r="V503" s="171"/>
      <c r="W503" s="171"/>
      <c r="X503" s="1"/>
      <c r="Y503" s="1"/>
      <c r="Z503" s="1"/>
      <c r="AA503" s="120"/>
      <c r="AB503" s="120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2"/>
      <c r="V504" s="171"/>
      <c r="W504" s="171"/>
      <c r="X504" s="1"/>
      <c r="Y504" s="1"/>
      <c r="Z504" s="1"/>
      <c r="AA504" s="120"/>
      <c r="AB504" s="120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2"/>
      <c r="V505" s="171"/>
      <c r="W505" s="171"/>
      <c r="X505" s="1"/>
      <c r="Y505" s="1"/>
      <c r="Z505" s="1"/>
      <c r="AA505" s="120"/>
      <c r="AB505" s="120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2"/>
      <c r="V506" s="171"/>
      <c r="W506" s="171"/>
      <c r="X506" s="1"/>
      <c r="Y506" s="1"/>
      <c r="Z506" s="1"/>
      <c r="AA506" s="120"/>
      <c r="AB506" s="120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2"/>
      <c r="V507" s="171"/>
      <c r="W507" s="171"/>
      <c r="X507" s="1"/>
      <c r="Y507" s="1"/>
      <c r="Z507" s="1"/>
      <c r="AA507" s="120"/>
      <c r="AB507" s="120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2"/>
      <c r="V508" s="171"/>
      <c r="W508" s="171"/>
      <c r="X508" s="1"/>
      <c r="Y508" s="1"/>
      <c r="Z508" s="1"/>
      <c r="AA508" s="120"/>
      <c r="AB508" s="120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2"/>
      <c r="V509" s="171"/>
      <c r="W509" s="171"/>
      <c r="X509" s="1"/>
      <c r="Y509" s="1"/>
      <c r="Z509" s="1"/>
      <c r="AA509" s="120"/>
      <c r="AB509" s="120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2"/>
      <c r="V510" s="171"/>
      <c r="W510" s="171"/>
      <c r="X510" s="1"/>
      <c r="Y510" s="1"/>
      <c r="Z510" s="1"/>
      <c r="AA510" s="120"/>
      <c r="AB510" s="120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2"/>
      <c r="V511" s="171"/>
      <c r="W511" s="171"/>
      <c r="X511" s="1"/>
      <c r="Y511" s="1"/>
      <c r="Z511" s="1"/>
      <c r="AA511" s="120"/>
      <c r="AB511" s="120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2"/>
      <c r="V512" s="171"/>
      <c r="W512" s="171"/>
      <c r="X512" s="1"/>
      <c r="Y512" s="1"/>
      <c r="Z512" s="1"/>
      <c r="AA512" s="120"/>
      <c r="AB512" s="120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2"/>
      <c r="V513" s="171"/>
      <c r="W513" s="171"/>
      <c r="X513" s="1"/>
      <c r="Y513" s="1"/>
      <c r="Z513" s="1"/>
      <c r="AA513" s="120"/>
      <c r="AB513" s="120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2"/>
      <c r="V514" s="171"/>
      <c r="W514" s="171"/>
      <c r="X514" s="1"/>
      <c r="Y514" s="1"/>
      <c r="Z514" s="1"/>
      <c r="AA514" s="120"/>
      <c r="AB514" s="120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2"/>
      <c r="V515" s="171"/>
      <c r="W515" s="171"/>
      <c r="X515" s="1"/>
      <c r="Y515" s="1"/>
      <c r="Z515" s="1"/>
      <c r="AA515" s="120"/>
      <c r="AB515" s="120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2"/>
      <c r="V516" s="171"/>
      <c r="W516" s="171"/>
      <c r="X516" s="1"/>
      <c r="Y516" s="1"/>
      <c r="Z516" s="1"/>
      <c r="AA516" s="120"/>
      <c r="AB516" s="120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2"/>
      <c r="V517" s="171"/>
      <c r="W517" s="171"/>
      <c r="X517" s="1"/>
      <c r="Y517" s="1"/>
      <c r="Z517" s="1"/>
      <c r="AA517" s="120"/>
      <c r="AB517" s="120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2"/>
      <c r="V518" s="171"/>
      <c r="W518" s="171"/>
      <c r="X518" s="1"/>
      <c r="Y518" s="1"/>
      <c r="Z518" s="1"/>
      <c r="AA518" s="120"/>
      <c r="AB518" s="120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2"/>
      <c r="V519" s="171"/>
      <c r="W519" s="171"/>
      <c r="X519" s="1"/>
      <c r="Y519" s="1"/>
      <c r="Z519" s="1"/>
      <c r="AA519" s="120"/>
      <c r="AB519" s="120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2"/>
      <c r="V520" s="171"/>
      <c r="W520" s="171"/>
      <c r="X520" s="1"/>
      <c r="Y520" s="1"/>
      <c r="Z520" s="1"/>
      <c r="AA520" s="120"/>
      <c r="AB520" s="120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2"/>
      <c r="V521" s="171"/>
      <c r="W521" s="171"/>
      <c r="X521" s="1"/>
      <c r="Y521" s="1"/>
      <c r="Z521" s="1"/>
      <c r="AA521" s="120"/>
      <c r="AB521" s="120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2"/>
      <c r="V522" s="171"/>
      <c r="W522" s="171"/>
      <c r="X522" s="1"/>
      <c r="Y522" s="1"/>
      <c r="Z522" s="1"/>
      <c r="AA522" s="120"/>
      <c r="AB522" s="120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2"/>
      <c r="V523" s="171"/>
      <c r="W523" s="171"/>
      <c r="X523" s="1"/>
      <c r="Y523" s="1"/>
      <c r="Z523" s="1"/>
      <c r="AA523" s="120"/>
      <c r="AB523" s="120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2"/>
      <c r="V524" s="171"/>
      <c r="W524" s="171"/>
      <c r="X524" s="1"/>
      <c r="Y524" s="1"/>
      <c r="Z524" s="1"/>
      <c r="AA524" s="120"/>
      <c r="AB524" s="120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2"/>
      <c r="V525" s="171"/>
      <c r="W525" s="171"/>
      <c r="X525" s="1"/>
      <c r="Y525" s="1"/>
      <c r="Z525" s="1"/>
      <c r="AA525" s="120"/>
      <c r="AB525" s="120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2"/>
      <c r="V526" s="171"/>
      <c r="W526" s="171"/>
      <c r="X526" s="1"/>
      <c r="Y526" s="1"/>
      <c r="Z526" s="1"/>
      <c r="AA526" s="120"/>
      <c r="AB526" s="120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2"/>
      <c r="V527" s="171"/>
      <c r="W527" s="171"/>
      <c r="X527" s="1"/>
      <c r="Y527" s="1"/>
      <c r="Z527" s="1"/>
      <c r="AA527" s="120"/>
      <c r="AB527" s="120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2"/>
      <c r="V528" s="171"/>
      <c r="W528" s="171"/>
      <c r="X528" s="1"/>
      <c r="Y528" s="1"/>
      <c r="Z528" s="1"/>
      <c r="AA528" s="120"/>
      <c r="AB528" s="120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2"/>
      <c r="V529" s="171"/>
      <c r="W529" s="171"/>
      <c r="X529" s="1"/>
      <c r="Y529" s="1"/>
      <c r="Z529" s="1"/>
      <c r="AA529" s="120"/>
      <c r="AB529" s="120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2"/>
      <c r="V530" s="171"/>
      <c r="W530" s="171"/>
      <c r="X530" s="1"/>
      <c r="Y530" s="1"/>
      <c r="Z530" s="1"/>
      <c r="AA530" s="120"/>
      <c r="AB530" s="120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2"/>
      <c r="V531" s="171"/>
      <c r="W531" s="171"/>
      <c r="X531" s="1"/>
      <c r="Y531" s="1"/>
      <c r="Z531" s="1"/>
      <c r="AA531" s="120"/>
      <c r="AB531" s="120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2"/>
      <c r="V532" s="171"/>
      <c r="W532" s="171"/>
      <c r="X532" s="1"/>
      <c r="Y532" s="1"/>
      <c r="Z532" s="1"/>
      <c r="AA532" s="120"/>
      <c r="AB532" s="120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2"/>
      <c r="V533" s="171"/>
      <c r="W533" s="171"/>
      <c r="X533" s="1"/>
      <c r="Y533" s="1"/>
      <c r="Z533" s="1"/>
      <c r="AA533" s="120"/>
      <c r="AB533" s="120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2"/>
      <c r="V534" s="171"/>
      <c r="W534" s="171"/>
      <c r="X534" s="1"/>
      <c r="Y534" s="1"/>
      <c r="Z534" s="1"/>
      <c r="AA534" s="120"/>
      <c r="AB534" s="120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2"/>
      <c r="V535" s="171"/>
      <c r="W535" s="171"/>
      <c r="X535" s="1"/>
      <c r="Y535" s="1"/>
      <c r="Z535" s="1"/>
      <c r="AA535" s="120"/>
      <c r="AB535" s="120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2"/>
      <c r="V536" s="171"/>
      <c r="W536" s="171"/>
      <c r="X536" s="1"/>
      <c r="Y536" s="1"/>
      <c r="Z536" s="1"/>
      <c r="AA536" s="120"/>
      <c r="AB536" s="120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2"/>
      <c r="V537" s="171"/>
      <c r="W537" s="171"/>
      <c r="X537" s="1"/>
      <c r="Y537" s="1"/>
      <c r="Z537" s="1"/>
      <c r="AA537" s="120"/>
      <c r="AB537" s="120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2"/>
      <c r="V538" s="171"/>
      <c r="W538" s="171"/>
      <c r="X538" s="1"/>
      <c r="Y538" s="1"/>
      <c r="Z538" s="1"/>
      <c r="AA538" s="120"/>
      <c r="AB538" s="120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2"/>
      <c r="V539" s="171"/>
      <c r="W539" s="171"/>
      <c r="X539" s="1"/>
      <c r="Y539" s="1"/>
      <c r="Z539" s="1"/>
      <c r="AA539" s="120"/>
      <c r="AB539" s="120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2"/>
      <c r="V540" s="171"/>
      <c r="W540" s="171"/>
      <c r="X540" s="1"/>
      <c r="Y540" s="1"/>
      <c r="Z540" s="1"/>
      <c r="AA540" s="120"/>
      <c r="AB540" s="120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2"/>
      <c r="V541" s="171"/>
      <c r="W541" s="171"/>
      <c r="X541" s="1"/>
      <c r="Y541" s="1"/>
      <c r="Z541" s="1"/>
      <c r="AA541" s="120"/>
      <c r="AB541" s="120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2"/>
      <c r="V542" s="171"/>
      <c r="W542" s="171"/>
      <c r="X542" s="1"/>
      <c r="Y542" s="1"/>
      <c r="Z542" s="1"/>
      <c r="AA542" s="120"/>
      <c r="AB542" s="120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2"/>
      <c r="V543" s="171"/>
      <c r="W543" s="171"/>
      <c r="X543" s="1"/>
      <c r="Y543" s="1"/>
      <c r="Z543" s="1"/>
      <c r="AA543" s="120"/>
      <c r="AB543" s="120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2"/>
      <c r="V544" s="171"/>
      <c r="W544" s="171"/>
      <c r="X544" s="1"/>
      <c r="Y544" s="1"/>
      <c r="Z544" s="1"/>
      <c r="AA544" s="120"/>
      <c r="AB544" s="120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2"/>
      <c r="V545" s="171"/>
      <c r="W545" s="171"/>
      <c r="X545" s="1"/>
      <c r="Y545" s="1"/>
      <c r="Z545" s="1"/>
      <c r="AA545" s="120"/>
      <c r="AB545" s="120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2"/>
      <c r="V546" s="171"/>
      <c r="W546" s="171"/>
      <c r="X546" s="1"/>
      <c r="Y546" s="1"/>
      <c r="Z546" s="1"/>
      <c r="AA546" s="120"/>
      <c r="AB546" s="120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2"/>
      <c r="V547" s="171"/>
      <c r="W547" s="171"/>
      <c r="X547" s="1"/>
      <c r="Y547" s="1"/>
      <c r="Z547" s="1"/>
      <c r="AA547" s="120"/>
      <c r="AB547" s="120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2"/>
      <c r="V548" s="171"/>
      <c r="W548" s="171"/>
      <c r="X548" s="1"/>
      <c r="Y548" s="1"/>
      <c r="Z548" s="1"/>
      <c r="AA548" s="120"/>
      <c r="AB548" s="120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2"/>
      <c r="V549" s="171"/>
      <c r="W549" s="171"/>
      <c r="X549" s="1"/>
      <c r="Y549" s="1"/>
      <c r="Z549" s="1"/>
      <c r="AA549" s="120"/>
      <c r="AB549" s="120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2"/>
      <c r="V550" s="171"/>
      <c r="W550" s="171"/>
      <c r="X550" s="1"/>
      <c r="Y550" s="1"/>
      <c r="Z550" s="1"/>
      <c r="AA550" s="120"/>
      <c r="AB550" s="120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2"/>
      <c r="V551" s="171"/>
      <c r="W551" s="171"/>
      <c r="X551" s="1"/>
      <c r="Y551" s="1"/>
      <c r="Z551" s="1"/>
      <c r="AA551" s="120"/>
      <c r="AB551" s="120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2"/>
      <c r="V552" s="171"/>
      <c r="W552" s="171"/>
      <c r="X552" s="1"/>
      <c r="Y552" s="1"/>
      <c r="Z552" s="1"/>
      <c r="AA552" s="120"/>
      <c r="AB552" s="120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2"/>
      <c r="V553" s="171"/>
      <c r="W553" s="171"/>
      <c r="X553" s="1"/>
      <c r="Y553" s="1"/>
      <c r="Z553" s="1"/>
      <c r="AA553" s="120"/>
      <c r="AB553" s="120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2"/>
      <c r="V554" s="171"/>
      <c r="W554" s="171"/>
      <c r="X554" s="1"/>
      <c r="Y554" s="1"/>
      <c r="Z554" s="1"/>
      <c r="AA554" s="120"/>
      <c r="AB554" s="120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2"/>
      <c r="V555" s="171"/>
      <c r="W555" s="171"/>
      <c r="X555" s="1"/>
      <c r="Y555" s="1"/>
      <c r="Z555" s="1"/>
      <c r="AA555" s="120"/>
      <c r="AB555" s="120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2"/>
      <c r="V556" s="171"/>
      <c r="W556" s="171"/>
      <c r="X556" s="1"/>
      <c r="Y556" s="1"/>
      <c r="Z556" s="1"/>
      <c r="AA556" s="120"/>
      <c r="AB556" s="120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2"/>
      <c r="V557" s="171"/>
      <c r="W557" s="171"/>
      <c r="X557" s="1"/>
      <c r="Y557" s="1"/>
      <c r="Z557" s="1"/>
      <c r="AA557" s="120"/>
      <c r="AB557" s="120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2"/>
      <c r="V558" s="171"/>
      <c r="W558" s="171"/>
      <c r="X558" s="1"/>
      <c r="Y558" s="1"/>
      <c r="Z558" s="1"/>
      <c r="AA558" s="120"/>
      <c r="AB558" s="120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2"/>
      <c r="V559" s="171"/>
      <c r="W559" s="171"/>
      <c r="X559" s="1"/>
      <c r="Y559" s="1"/>
      <c r="Z559" s="1"/>
      <c r="AA559" s="120"/>
      <c r="AB559" s="120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2"/>
      <c r="V560" s="171"/>
      <c r="W560" s="171"/>
      <c r="X560" s="1"/>
      <c r="Y560" s="1"/>
      <c r="Z560" s="1"/>
      <c r="AA560" s="120"/>
      <c r="AB560" s="120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2"/>
      <c r="V561" s="171"/>
      <c r="W561" s="171"/>
      <c r="X561" s="1"/>
      <c r="Y561" s="1"/>
      <c r="Z561" s="1"/>
      <c r="AA561" s="120"/>
      <c r="AB561" s="120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2"/>
      <c r="V562" s="171"/>
      <c r="W562" s="171"/>
      <c r="X562" s="1"/>
      <c r="Y562" s="1"/>
      <c r="Z562" s="1"/>
      <c r="AA562" s="120"/>
      <c r="AB562" s="120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2"/>
      <c r="V563" s="171"/>
      <c r="W563" s="171"/>
      <c r="X563" s="1"/>
      <c r="Y563" s="1"/>
      <c r="Z563" s="1"/>
      <c r="AA563" s="120"/>
      <c r="AB563" s="120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2"/>
      <c r="V564" s="171"/>
      <c r="W564" s="171"/>
      <c r="X564" s="1"/>
      <c r="Y564" s="1"/>
      <c r="Z564" s="1"/>
      <c r="AA564" s="120"/>
      <c r="AB564" s="120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2"/>
      <c r="V565" s="171"/>
      <c r="W565" s="171"/>
      <c r="X565" s="1"/>
      <c r="Y565" s="1"/>
      <c r="Z565" s="1"/>
      <c r="AA565" s="120"/>
      <c r="AB565" s="120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2"/>
      <c r="V566" s="171"/>
      <c r="W566" s="171"/>
      <c r="X566" s="1"/>
      <c r="Y566" s="1"/>
      <c r="Z566" s="1"/>
      <c r="AA566" s="120"/>
      <c r="AB566" s="120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2"/>
      <c r="V567" s="171"/>
      <c r="W567" s="171"/>
      <c r="X567" s="1"/>
      <c r="Y567" s="1"/>
      <c r="Z567" s="1"/>
      <c r="AA567" s="120"/>
      <c r="AB567" s="120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2"/>
      <c r="V568" s="171"/>
      <c r="W568" s="171"/>
      <c r="X568" s="1"/>
      <c r="Y568" s="1"/>
      <c r="Z568" s="1"/>
      <c r="AA568" s="120"/>
      <c r="AB568" s="120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2"/>
      <c r="V569" s="171"/>
      <c r="W569" s="171"/>
      <c r="X569" s="1"/>
      <c r="Y569" s="1"/>
      <c r="Z569" s="1"/>
      <c r="AA569" s="120"/>
      <c r="AB569" s="120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2"/>
      <c r="V570" s="171"/>
      <c r="W570" s="171"/>
      <c r="X570" s="1"/>
      <c r="Y570" s="1"/>
      <c r="Z570" s="1"/>
      <c r="AA570" s="120"/>
      <c r="AB570" s="120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2"/>
      <c r="V571" s="171"/>
      <c r="W571" s="171"/>
      <c r="X571" s="1"/>
      <c r="Y571" s="1"/>
      <c r="Z571" s="1"/>
      <c r="AA571" s="120"/>
      <c r="AB571" s="120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2"/>
      <c r="V572" s="171"/>
      <c r="W572" s="171"/>
      <c r="X572" s="1"/>
      <c r="Y572" s="1"/>
      <c r="Z572" s="1"/>
      <c r="AA572" s="120"/>
      <c r="AB572" s="120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2"/>
      <c r="V573" s="171"/>
      <c r="W573" s="171"/>
      <c r="X573" s="1"/>
      <c r="Y573" s="1"/>
      <c r="Z573" s="1"/>
      <c r="AA573" s="120"/>
      <c r="AB573" s="120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2"/>
      <c r="V574" s="171"/>
      <c r="W574" s="171"/>
      <c r="X574" s="1"/>
      <c r="Y574" s="1"/>
      <c r="Z574" s="1"/>
      <c r="AA574" s="120"/>
      <c r="AB574" s="120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2"/>
      <c r="V575" s="171"/>
      <c r="W575" s="171"/>
      <c r="X575" s="1"/>
      <c r="Y575" s="1"/>
      <c r="Z575" s="1"/>
      <c r="AA575" s="120"/>
      <c r="AB575" s="120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2"/>
      <c r="V576" s="171"/>
      <c r="W576" s="171"/>
      <c r="X576" s="1"/>
      <c r="Y576" s="1"/>
      <c r="Z576" s="1"/>
      <c r="AA576" s="120"/>
      <c r="AB576" s="120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2"/>
      <c r="V577" s="171"/>
      <c r="W577" s="171"/>
      <c r="X577" s="1"/>
      <c r="Y577" s="1"/>
      <c r="Z577" s="1"/>
      <c r="AA577" s="120"/>
      <c r="AB577" s="120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2"/>
      <c r="V578" s="171"/>
      <c r="W578" s="171"/>
      <c r="X578" s="1"/>
      <c r="Y578" s="1"/>
      <c r="Z578" s="1"/>
      <c r="AA578" s="120"/>
      <c r="AB578" s="120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2"/>
      <c r="V579" s="171"/>
      <c r="W579" s="171"/>
      <c r="X579" s="1"/>
      <c r="Y579" s="1"/>
      <c r="Z579" s="1"/>
      <c r="AA579" s="120"/>
      <c r="AB579" s="120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2"/>
      <c r="V580" s="171"/>
      <c r="W580" s="171"/>
      <c r="X580" s="1"/>
      <c r="Y580" s="1"/>
      <c r="Z580" s="1"/>
      <c r="AA580" s="120"/>
      <c r="AB580" s="120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2"/>
      <c r="V581" s="171"/>
      <c r="W581" s="171"/>
      <c r="X581" s="1"/>
      <c r="Y581" s="1"/>
      <c r="Z581" s="1"/>
      <c r="AA581" s="120"/>
      <c r="AB581" s="120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2"/>
      <c r="V582" s="171"/>
      <c r="W582" s="171"/>
      <c r="X582" s="1"/>
      <c r="Y582" s="1"/>
      <c r="Z582" s="1"/>
      <c r="AA582" s="120"/>
      <c r="AB582" s="120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2"/>
      <c r="V583" s="171"/>
      <c r="W583" s="171"/>
      <c r="X583" s="1"/>
      <c r="Y583" s="1"/>
      <c r="Z583" s="1"/>
      <c r="AA583" s="120"/>
      <c r="AB583" s="120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2"/>
      <c r="V584" s="171"/>
      <c r="W584" s="171"/>
      <c r="X584" s="1"/>
      <c r="Y584" s="1"/>
      <c r="Z584" s="1"/>
      <c r="AA584" s="120"/>
      <c r="AB584" s="120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2"/>
      <c r="V585" s="171"/>
      <c r="W585" s="171"/>
      <c r="X585" s="1"/>
      <c r="Y585" s="1"/>
      <c r="Z585" s="1"/>
      <c r="AA585" s="120"/>
      <c r="AB585" s="120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2"/>
      <c r="V586" s="171"/>
      <c r="W586" s="171"/>
      <c r="X586" s="1"/>
      <c r="Y586" s="1"/>
      <c r="Z586" s="1"/>
      <c r="AA586" s="120"/>
      <c r="AB586" s="120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2"/>
      <c r="V587" s="171"/>
      <c r="W587" s="171"/>
      <c r="X587" s="1"/>
      <c r="Y587" s="1"/>
      <c r="Z587" s="1"/>
      <c r="AA587" s="120"/>
      <c r="AB587" s="120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2"/>
      <c r="V588" s="171"/>
      <c r="W588" s="171"/>
      <c r="X588" s="1"/>
      <c r="Y588" s="1"/>
      <c r="Z588" s="1"/>
      <c r="AA588" s="120"/>
      <c r="AB588" s="120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2"/>
      <c r="V589" s="171"/>
      <c r="W589" s="171"/>
      <c r="X589" s="1"/>
      <c r="Y589" s="1"/>
      <c r="Z589" s="1"/>
      <c r="AA589" s="120"/>
      <c r="AB589" s="120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2"/>
      <c r="V590" s="171"/>
      <c r="W590" s="171"/>
      <c r="X590" s="1"/>
      <c r="Y590" s="1"/>
      <c r="Z590" s="1"/>
      <c r="AA590" s="120"/>
      <c r="AB590" s="120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2"/>
      <c r="V591" s="171"/>
      <c r="W591" s="171"/>
      <c r="X591" s="1"/>
      <c r="Y591" s="1"/>
      <c r="Z591" s="1"/>
      <c r="AA591" s="120"/>
      <c r="AB591" s="120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2"/>
      <c r="V592" s="171"/>
      <c r="W592" s="171"/>
      <c r="X592" s="1"/>
      <c r="Y592" s="1"/>
      <c r="Z592" s="1"/>
      <c r="AA592" s="120"/>
      <c r="AB592" s="120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2"/>
      <c r="V593" s="171"/>
      <c r="W593" s="171"/>
      <c r="X593" s="1"/>
      <c r="Y593" s="1"/>
      <c r="Z593" s="1"/>
      <c r="AA593" s="120"/>
      <c r="AB593" s="120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2"/>
      <c r="V594" s="171"/>
      <c r="W594" s="171"/>
      <c r="X594" s="1"/>
      <c r="Y594" s="1"/>
      <c r="Z594" s="1"/>
      <c r="AA594" s="120"/>
      <c r="AB594" s="120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2"/>
      <c r="V595" s="171"/>
      <c r="W595" s="171"/>
      <c r="X595" s="1"/>
      <c r="Y595" s="1"/>
      <c r="Z595" s="1"/>
      <c r="AA595" s="120"/>
      <c r="AB595" s="120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2"/>
      <c r="V596" s="171"/>
      <c r="W596" s="171"/>
      <c r="X596" s="1"/>
      <c r="Y596" s="1"/>
      <c r="Z596" s="1"/>
      <c r="AA596" s="120"/>
      <c r="AB596" s="120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2"/>
      <c r="V597" s="171"/>
      <c r="W597" s="171"/>
      <c r="X597" s="1"/>
      <c r="Y597" s="1"/>
      <c r="Z597" s="1"/>
      <c r="AA597" s="120"/>
      <c r="AB597" s="120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2"/>
      <c r="V598" s="171"/>
      <c r="W598" s="171"/>
      <c r="X598" s="1"/>
      <c r="Y598" s="1"/>
      <c r="Z598" s="1"/>
      <c r="AA598" s="120"/>
      <c r="AB598" s="120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2"/>
      <c r="V599" s="171"/>
      <c r="W599" s="171"/>
      <c r="X599" s="1"/>
      <c r="Y599" s="1"/>
      <c r="Z599" s="1"/>
      <c r="AA599" s="120"/>
      <c r="AB599" s="120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2"/>
      <c r="V600" s="171"/>
      <c r="W600" s="171"/>
      <c r="X600" s="1"/>
      <c r="Y600" s="1"/>
      <c r="Z600" s="1"/>
      <c r="AA600" s="120"/>
      <c r="AB600" s="120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2"/>
      <c r="V601" s="171"/>
      <c r="W601" s="171"/>
      <c r="X601" s="1"/>
      <c r="Y601" s="1"/>
      <c r="Z601" s="1"/>
      <c r="AA601" s="120"/>
      <c r="AB601" s="120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2"/>
      <c r="V602" s="171"/>
      <c r="W602" s="171"/>
      <c r="X602" s="1"/>
      <c r="Y602" s="1"/>
      <c r="Z602" s="1"/>
      <c r="AA602" s="120"/>
      <c r="AB602" s="120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2"/>
      <c r="V603" s="171"/>
      <c r="W603" s="171"/>
      <c r="X603" s="1"/>
      <c r="Y603" s="1"/>
      <c r="Z603" s="1"/>
      <c r="AA603" s="120"/>
      <c r="AB603" s="120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2"/>
      <c r="V604" s="171"/>
      <c r="W604" s="171"/>
      <c r="X604" s="1"/>
      <c r="Y604" s="1"/>
      <c r="Z604" s="1"/>
      <c r="AA604" s="120"/>
      <c r="AB604" s="120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2"/>
      <c r="V605" s="171"/>
      <c r="W605" s="171"/>
      <c r="X605" s="1"/>
      <c r="Y605" s="1"/>
      <c r="Z605" s="1"/>
      <c r="AA605" s="120"/>
      <c r="AB605" s="120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2"/>
      <c r="V606" s="171"/>
      <c r="W606" s="171"/>
      <c r="X606" s="1"/>
      <c r="Y606" s="1"/>
      <c r="Z606" s="1"/>
      <c r="AA606" s="120"/>
      <c r="AB606" s="120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2"/>
      <c r="V607" s="171"/>
      <c r="W607" s="171"/>
      <c r="X607" s="1"/>
      <c r="Y607" s="1"/>
      <c r="Z607" s="1"/>
      <c r="AA607" s="120"/>
      <c r="AB607" s="120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2"/>
      <c r="V608" s="171"/>
      <c r="W608" s="171"/>
      <c r="X608" s="1"/>
      <c r="Y608" s="1"/>
      <c r="Z608" s="1"/>
      <c r="AA608" s="120"/>
      <c r="AB608" s="120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2"/>
      <c r="V609" s="171"/>
      <c r="W609" s="171"/>
      <c r="X609" s="1"/>
      <c r="Y609" s="1"/>
      <c r="Z609" s="1"/>
      <c r="AA609" s="120"/>
      <c r="AB609" s="120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2"/>
      <c r="V610" s="171"/>
      <c r="W610" s="171"/>
      <c r="X610" s="1"/>
      <c r="Y610" s="1"/>
      <c r="Z610" s="1"/>
      <c r="AA610" s="120"/>
      <c r="AB610" s="120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2"/>
      <c r="V611" s="171"/>
      <c r="W611" s="171"/>
      <c r="X611" s="1"/>
      <c r="Y611" s="1"/>
      <c r="Z611" s="1"/>
      <c r="AA611" s="120"/>
      <c r="AB611" s="120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2"/>
      <c r="V612" s="171"/>
      <c r="W612" s="171"/>
      <c r="X612" s="1"/>
      <c r="Y612" s="1"/>
      <c r="Z612" s="1"/>
      <c r="AA612" s="120"/>
      <c r="AB612" s="120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2"/>
      <c r="V613" s="171"/>
      <c r="W613" s="171"/>
      <c r="X613" s="1"/>
      <c r="Y613" s="1"/>
      <c r="Z613" s="1"/>
      <c r="AA613" s="120"/>
      <c r="AB613" s="120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2"/>
      <c r="V614" s="171"/>
      <c r="W614" s="171"/>
      <c r="X614" s="1"/>
      <c r="Y614" s="1"/>
      <c r="Z614" s="1"/>
      <c r="AA614" s="120"/>
      <c r="AB614" s="120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2"/>
      <c r="V615" s="171"/>
      <c r="W615" s="171"/>
      <c r="X615" s="1"/>
      <c r="Y615" s="1"/>
      <c r="Z615" s="1"/>
      <c r="AA615" s="120"/>
      <c r="AB615" s="120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2"/>
      <c r="V616" s="171"/>
      <c r="W616" s="171"/>
      <c r="X616" s="1"/>
      <c r="Y616" s="1"/>
      <c r="Z616" s="1"/>
      <c r="AA616" s="120"/>
      <c r="AB616" s="120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2"/>
      <c r="V617" s="171"/>
      <c r="W617" s="171"/>
      <c r="X617" s="1"/>
      <c r="Y617" s="1"/>
      <c r="Z617" s="1"/>
      <c r="AA617" s="120"/>
      <c r="AB617" s="120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2"/>
      <c r="V618" s="171"/>
      <c r="W618" s="171"/>
      <c r="X618" s="1"/>
      <c r="Y618" s="1"/>
      <c r="Z618" s="1"/>
      <c r="AA618" s="120"/>
      <c r="AB618" s="120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2"/>
      <c r="V619" s="171"/>
      <c r="W619" s="171"/>
      <c r="X619" s="1"/>
      <c r="Y619" s="1"/>
      <c r="Z619" s="1"/>
      <c r="AA619" s="120"/>
      <c r="AB619" s="120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2"/>
      <c r="V620" s="171"/>
      <c r="W620" s="171"/>
      <c r="X620" s="1"/>
      <c r="Y620" s="1"/>
      <c r="Z620" s="1"/>
      <c r="AA620" s="120"/>
      <c r="AB620" s="120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2"/>
      <c r="V621" s="171"/>
      <c r="W621" s="171"/>
      <c r="X621" s="1"/>
      <c r="Y621" s="1"/>
      <c r="Z621" s="1"/>
      <c r="AA621" s="120"/>
      <c r="AB621" s="120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2"/>
      <c r="V622" s="171"/>
      <c r="W622" s="171"/>
      <c r="X622" s="1"/>
      <c r="Y622" s="1"/>
      <c r="Z622" s="1"/>
      <c r="AA622" s="120"/>
      <c r="AB622" s="120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2"/>
      <c r="V623" s="171"/>
      <c r="W623" s="171"/>
      <c r="X623" s="1"/>
      <c r="Y623" s="1"/>
      <c r="Z623" s="1"/>
      <c r="AA623" s="120"/>
      <c r="AB623" s="120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2"/>
      <c r="V624" s="171"/>
      <c r="W624" s="171"/>
      <c r="X624" s="1"/>
      <c r="Y624" s="1"/>
      <c r="Z624" s="1"/>
      <c r="AA624" s="120"/>
      <c r="AB624" s="120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2"/>
      <c r="V625" s="171"/>
      <c r="W625" s="171"/>
      <c r="X625" s="1"/>
      <c r="Y625" s="1"/>
      <c r="Z625" s="1"/>
      <c r="AA625" s="120"/>
      <c r="AB625" s="120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2"/>
      <c r="V626" s="171"/>
      <c r="W626" s="171"/>
      <c r="X626" s="1"/>
      <c r="Y626" s="1"/>
      <c r="Z626" s="1"/>
      <c r="AA626" s="120"/>
      <c r="AB626" s="120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2"/>
      <c r="V627" s="171"/>
      <c r="W627" s="171"/>
      <c r="X627" s="1"/>
      <c r="Y627" s="1"/>
      <c r="Z627" s="1"/>
      <c r="AA627" s="120"/>
      <c r="AB627" s="120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2"/>
      <c r="V628" s="171"/>
      <c r="W628" s="171"/>
      <c r="X628" s="1"/>
      <c r="Y628" s="1"/>
      <c r="Z628" s="1"/>
      <c r="AA628" s="120"/>
      <c r="AB628" s="120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2"/>
      <c r="V629" s="171"/>
      <c r="W629" s="171"/>
      <c r="X629" s="1"/>
      <c r="Y629" s="1"/>
      <c r="Z629" s="1"/>
      <c r="AA629" s="120"/>
      <c r="AB629" s="120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2"/>
      <c r="V630" s="171"/>
      <c r="W630" s="171"/>
      <c r="X630" s="1"/>
      <c r="Y630" s="1"/>
      <c r="Z630" s="1"/>
      <c r="AA630" s="120"/>
      <c r="AB630" s="120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2"/>
      <c r="V631" s="171"/>
      <c r="W631" s="171"/>
      <c r="X631" s="1"/>
      <c r="Y631" s="1"/>
      <c r="Z631" s="1"/>
      <c r="AA631" s="120"/>
      <c r="AB631" s="120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2"/>
      <c r="V632" s="171"/>
      <c r="W632" s="171"/>
      <c r="X632" s="1"/>
      <c r="Y632" s="1"/>
      <c r="Z632" s="1"/>
      <c r="AA632" s="120"/>
      <c r="AB632" s="120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2"/>
      <c r="V633" s="171"/>
      <c r="W633" s="171"/>
      <c r="X633" s="1"/>
      <c r="Y633" s="1"/>
      <c r="Z633" s="1"/>
      <c r="AA633" s="120"/>
      <c r="AB633" s="120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2"/>
      <c r="V634" s="171"/>
      <c r="W634" s="171"/>
      <c r="X634" s="1"/>
      <c r="Y634" s="1"/>
      <c r="Z634" s="1"/>
      <c r="AA634" s="120"/>
      <c r="AB634" s="120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2"/>
      <c r="V635" s="171"/>
      <c r="W635" s="171"/>
      <c r="X635" s="1"/>
      <c r="Y635" s="1"/>
      <c r="Z635" s="1"/>
      <c r="AA635" s="120"/>
      <c r="AB635" s="120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2"/>
      <c r="V636" s="171"/>
      <c r="W636" s="171"/>
      <c r="X636" s="1"/>
      <c r="Y636" s="1"/>
      <c r="Z636" s="1"/>
      <c r="AA636" s="120"/>
      <c r="AB636" s="120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2"/>
      <c r="V637" s="171"/>
      <c r="W637" s="171"/>
      <c r="X637" s="1"/>
      <c r="Y637" s="1"/>
      <c r="Z637" s="1"/>
      <c r="AA637" s="120"/>
      <c r="AB637" s="120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2"/>
      <c r="V638" s="171"/>
      <c r="W638" s="171"/>
      <c r="X638" s="1"/>
      <c r="Y638" s="1"/>
      <c r="Z638" s="1"/>
      <c r="AA638" s="120"/>
      <c r="AB638" s="120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2"/>
      <c r="V639" s="171"/>
      <c r="W639" s="171"/>
      <c r="X639" s="1"/>
      <c r="Y639" s="1"/>
      <c r="Z639" s="1"/>
      <c r="AA639" s="120"/>
      <c r="AB639" s="120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2"/>
      <c r="V640" s="171"/>
      <c r="W640" s="171"/>
      <c r="X640" s="1"/>
      <c r="Y640" s="1"/>
      <c r="Z640" s="1"/>
      <c r="AA640" s="120"/>
      <c r="AB640" s="120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2"/>
      <c r="V641" s="171"/>
      <c r="W641" s="171"/>
      <c r="X641" s="1"/>
      <c r="Y641" s="1"/>
      <c r="Z641" s="1"/>
      <c r="AA641" s="120"/>
      <c r="AB641" s="120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2"/>
      <c r="V642" s="171"/>
      <c r="W642" s="171"/>
      <c r="X642" s="1"/>
      <c r="Y642" s="1"/>
      <c r="Z642" s="1"/>
      <c r="AA642" s="120"/>
      <c r="AB642" s="120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2"/>
      <c r="V643" s="171"/>
      <c r="W643" s="171"/>
      <c r="X643" s="1"/>
      <c r="Y643" s="1"/>
      <c r="Z643" s="1"/>
      <c r="AA643" s="120"/>
      <c r="AB643" s="120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2"/>
      <c r="V644" s="171"/>
      <c r="W644" s="171"/>
      <c r="X644" s="1"/>
      <c r="Y644" s="1"/>
      <c r="Z644" s="1"/>
      <c r="AA644" s="120"/>
      <c r="AB644" s="120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2"/>
      <c r="V645" s="171"/>
      <c r="W645" s="171"/>
      <c r="X645" s="1"/>
      <c r="Y645" s="1"/>
      <c r="Z645" s="1"/>
      <c r="AA645" s="120"/>
      <c r="AB645" s="120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2"/>
      <c r="V646" s="171"/>
      <c r="W646" s="171"/>
      <c r="X646" s="1"/>
      <c r="Y646" s="1"/>
      <c r="Z646" s="1"/>
      <c r="AA646" s="120"/>
      <c r="AB646" s="120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2"/>
      <c r="V647" s="171"/>
      <c r="W647" s="171"/>
      <c r="X647" s="1"/>
      <c r="Y647" s="1"/>
      <c r="Z647" s="1"/>
      <c r="AA647" s="120"/>
      <c r="AB647" s="120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2"/>
      <c r="V648" s="171"/>
      <c r="W648" s="171"/>
      <c r="X648" s="1"/>
      <c r="Y648" s="1"/>
      <c r="Z648" s="1"/>
      <c r="AA648" s="120"/>
      <c r="AB648" s="120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2"/>
      <c r="V649" s="171"/>
      <c r="W649" s="171"/>
      <c r="X649" s="1"/>
      <c r="Y649" s="1"/>
      <c r="Z649" s="1"/>
      <c r="AA649" s="120"/>
      <c r="AB649" s="120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2"/>
      <c r="V650" s="171"/>
      <c r="W650" s="171"/>
      <c r="X650" s="1"/>
      <c r="Y650" s="1"/>
      <c r="Z650" s="1"/>
      <c r="AA650" s="120"/>
      <c r="AB650" s="120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2"/>
      <c r="V651" s="171"/>
      <c r="W651" s="171"/>
      <c r="X651" s="1"/>
      <c r="Y651" s="1"/>
      <c r="Z651" s="1"/>
      <c r="AA651" s="120"/>
      <c r="AB651" s="120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2"/>
      <c r="V652" s="171"/>
      <c r="W652" s="171"/>
      <c r="X652" s="1"/>
      <c r="Y652" s="1"/>
      <c r="Z652" s="1"/>
      <c r="AA652" s="120"/>
      <c r="AB652" s="120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2"/>
      <c r="V653" s="171"/>
      <c r="W653" s="171"/>
      <c r="X653" s="1"/>
      <c r="Y653" s="1"/>
      <c r="Z653" s="1"/>
      <c r="AA653" s="120"/>
      <c r="AB653" s="120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2"/>
      <c r="V654" s="171"/>
      <c r="W654" s="171"/>
      <c r="X654" s="1"/>
      <c r="Y654" s="1"/>
      <c r="Z654" s="1"/>
      <c r="AA654" s="120"/>
      <c r="AB654" s="120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2"/>
      <c r="V655" s="171"/>
      <c r="W655" s="171"/>
      <c r="X655" s="1"/>
      <c r="Y655" s="1"/>
      <c r="Z655" s="1"/>
      <c r="AA655" s="120"/>
      <c r="AB655" s="120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2"/>
      <c r="V656" s="171"/>
      <c r="W656" s="171"/>
      <c r="X656" s="1"/>
      <c r="Y656" s="1"/>
      <c r="Z656" s="1"/>
      <c r="AA656" s="120"/>
      <c r="AB656" s="120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2"/>
      <c r="V657" s="171"/>
      <c r="W657" s="171"/>
      <c r="X657" s="1"/>
      <c r="Y657" s="1"/>
      <c r="Z657" s="1"/>
      <c r="AA657" s="120"/>
      <c r="AB657" s="120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2"/>
      <c r="V658" s="171"/>
      <c r="W658" s="171"/>
      <c r="X658" s="1"/>
      <c r="Y658" s="1"/>
      <c r="Z658" s="1"/>
      <c r="AA658" s="120"/>
      <c r="AB658" s="120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2"/>
      <c r="V659" s="171"/>
      <c r="W659" s="171"/>
      <c r="X659" s="1"/>
      <c r="Y659" s="1"/>
      <c r="Z659" s="1"/>
      <c r="AA659" s="120"/>
      <c r="AB659" s="120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2"/>
      <c r="V660" s="171"/>
      <c r="W660" s="171"/>
      <c r="X660" s="1"/>
      <c r="Y660" s="1"/>
      <c r="Z660" s="1"/>
      <c r="AA660" s="120"/>
      <c r="AB660" s="120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2"/>
      <c r="V661" s="171"/>
      <c r="W661" s="171"/>
      <c r="X661" s="1"/>
      <c r="Y661" s="1"/>
      <c r="Z661" s="1"/>
      <c r="AA661" s="120"/>
      <c r="AB661" s="120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2"/>
      <c r="V662" s="171"/>
      <c r="W662" s="171"/>
      <c r="X662" s="1"/>
      <c r="Y662" s="1"/>
      <c r="Z662" s="1"/>
      <c r="AA662" s="120"/>
      <c r="AB662" s="120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2"/>
      <c r="V663" s="171"/>
      <c r="W663" s="171"/>
      <c r="X663" s="1"/>
      <c r="Y663" s="1"/>
      <c r="Z663" s="1"/>
      <c r="AA663" s="120"/>
      <c r="AB663" s="120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2"/>
      <c r="V664" s="171"/>
      <c r="W664" s="171"/>
      <c r="X664" s="1"/>
      <c r="Y664" s="1"/>
      <c r="Z664" s="1"/>
      <c r="AA664" s="120"/>
      <c r="AB664" s="120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2"/>
      <c r="V665" s="171"/>
      <c r="W665" s="171"/>
      <c r="X665" s="1"/>
      <c r="Y665" s="1"/>
      <c r="Z665" s="1"/>
      <c r="AA665" s="120"/>
      <c r="AB665" s="120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2"/>
      <c r="V666" s="171"/>
      <c r="W666" s="171"/>
      <c r="X666" s="1"/>
      <c r="Y666" s="1"/>
      <c r="Z666" s="1"/>
      <c r="AA666" s="120"/>
      <c r="AB666" s="120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2"/>
      <c r="V667" s="171"/>
      <c r="W667" s="171"/>
      <c r="X667" s="1"/>
      <c r="Y667" s="1"/>
      <c r="Z667" s="1"/>
      <c r="AA667" s="120"/>
      <c r="AB667" s="120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2"/>
      <c r="V668" s="171"/>
      <c r="W668" s="171"/>
      <c r="X668" s="1"/>
      <c r="Y668" s="1"/>
      <c r="Z668" s="1"/>
      <c r="AA668" s="120"/>
      <c r="AB668" s="120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2"/>
      <c r="V669" s="171"/>
      <c r="W669" s="171"/>
      <c r="X669" s="1"/>
      <c r="Y669" s="1"/>
      <c r="Z669" s="1"/>
      <c r="AA669" s="120"/>
      <c r="AB669" s="120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2"/>
      <c r="V670" s="171"/>
      <c r="W670" s="171"/>
      <c r="X670" s="1"/>
      <c r="Y670" s="1"/>
      <c r="Z670" s="1"/>
      <c r="AA670" s="120"/>
      <c r="AB670" s="120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2"/>
      <c r="V671" s="171"/>
      <c r="W671" s="171"/>
      <c r="X671" s="1"/>
      <c r="Y671" s="1"/>
      <c r="Z671" s="1"/>
      <c r="AA671" s="120"/>
      <c r="AB671" s="120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2"/>
      <c r="V672" s="171"/>
      <c r="W672" s="171"/>
      <c r="X672" s="1"/>
      <c r="Y672" s="1"/>
      <c r="Z672" s="1"/>
      <c r="AA672" s="120"/>
      <c r="AB672" s="120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2"/>
      <c r="V673" s="171"/>
      <c r="W673" s="171"/>
      <c r="X673" s="1"/>
      <c r="Y673" s="1"/>
      <c r="Z673" s="1"/>
      <c r="AA673" s="120"/>
      <c r="AB673" s="120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2"/>
      <c r="V674" s="171"/>
      <c r="W674" s="171"/>
      <c r="X674" s="1"/>
      <c r="Y674" s="1"/>
      <c r="Z674" s="1"/>
      <c r="AA674" s="120"/>
      <c r="AB674" s="120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2"/>
      <c r="V675" s="171"/>
      <c r="W675" s="171"/>
      <c r="X675" s="1"/>
      <c r="Y675" s="1"/>
      <c r="Z675" s="1"/>
      <c r="AA675" s="120"/>
      <c r="AB675" s="120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2"/>
      <c r="V676" s="171"/>
      <c r="W676" s="171"/>
      <c r="X676" s="1"/>
      <c r="Y676" s="1"/>
      <c r="Z676" s="1"/>
      <c r="AA676" s="120"/>
      <c r="AB676" s="120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2"/>
      <c r="V677" s="171"/>
      <c r="W677" s="171"/>
      <c r="X677" s="1"/>
      <c r="Y677" s="1"/>
      <c r="Z677" s="1"/>
      <c r="AA677" s="120"/>
      <c r="AB677" s="120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2"/>
      <c r="V678" s="171"/>
      <c r="W678" s="171"/>
      <c r="X678" s="1"/>
      <c r="Y678" s="1"/>
      <c r="Z678" s="1"/>
      <c r="AA678" s="120"/>
      <c r="AB678" s="120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2"/>
      <c r="V679" s="171"/>
      <c r="W679" s="171"/>
      <c r="X679" s="1"/>
      <c r="Y679" s="1"/>
      <c r="Z679" s="1"/>
      <c r="AA679" s="120"/>
      <c r="AB679" s="120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2"/>
      <c r="V680" s="171"/>
      <c r="W680" s="171"/>
      <c r="X680" s="1"/>
      <c r="Y680" s="1"/>
      <c r="Z680" s="1"/>
      <c r="AA680" s="120"/>
      <c r="AB680" s="120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2"/>
      <c r="V681" s="171"/>
      <c r="W681" s="171"/>
      <c r="X681" s="1"/>
      <c r="Y681" s="1"/>
      <c r="Z681" s="1"/>
      <c r="AA681" s="120"/>
      <c r="AB681" s="120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2"/>
      <c r="V682" s="171"/>
      <c r="W682" s="171"/>
      <c r="X682" s="1"/>
      <c r="Y682" s="1"/>
      <c r="Z682" s="1"/>
      <c r="AA682" s="120"/>
      <c r="AB682" s="120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2"/>
      <c r="V683" s="171"/>
      <c r="W683" s="171"/>
      <c r="X683" s="1"/>
      <c r="Y683" s="1"/>
      <c r="Z683" s="1"/>
      <c r="AA683" s="120"/>
      <c r="AB683" s="120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2"/>
      <c r="V684" s="171"/>
      <c r="W684" s="171"/>
      <c r="X684" s="1"/>
      <c r="Y684" s="1"/>
      <c r="Z684" s="1"/>
      <c r="AA684" s="120"/>
      <c r="AB684" s="120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2"/>
      <c r="V685" s="171"/>
      <c r="W685" s="171"/>
      <c r="X685" s="1"/>
      <c r="Y685" s="1"/>
      <c r="Z685" s="1"/>
      <c r="AA685" s="120"/>
      <c r="AB685" s="120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2"/>
      <c r="V686" s="171"/>
      <c r="W686" s="171"/>
      <c r="X686" s="1"/>
      <c r="Y686" s="1"/>
      <c r="Z686" s="1"/>
      <c r="AA686" s="120"/>
      <c r="AB686" s="120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2"/>
      <c r="V687" s="171"/>
      <c r="W687" s="171"/>
      <c r="X687" s="1"/>
      <c r="Y687" s="1"/>
      <c r="Z687" s="1"/>
      <c r="AA687" s="120"/>
      <c r="AB687" s="120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2"/>
      <c r="V688" s="171"/>
      <c r="W688" s="171"/>
      <c r="X688" s="1"/>
      <c r="Y688" s="1"/>
      <c r="Z688" s="1"/>
      <c r="AA688" s="120"/>
      <c r="AB688" s="120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2"/>
      <c r="V689" s="171"/>
      <c r="W689" s="171"/>
      <c r="X689" s="1"/>
      <c r="Y689" s="1"/>
      <c r="Z689" s="1"/>
      <c r="AA689" s="120"/>
      <c r="AB689" s="120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2"/>
      <c r="V690" s="171"/>
      <c r="W690" s="171"/>
      <c r="X690" s="1"/>
      <c r="Y690" s="1"/>
      <c r="Z690" s="1"/>
      <c r="AA690" s="120"/>
      <c r="AB690" s="120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2"/>
      <c r="V691" s="171"/>
      <c r="W691" s="171"/>
      <c r="X691" s="1"/>
      <c r="Y691" s="1"/>
      <c r="Z691" s="1"/>
      <c r="AA691" s="120"/>
      <c r="AB691" s="120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2"/>
      <c r="V692" s="171"/>
      <c r="W692" s="171"/>
      <c r="X692" s="1"/>
      <c r="Y692" s="1"/>
      <c r="Z692" s="1"/>
      <c r="AA692" s="120"/>
      <c r="AB692" s="120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2"/>
      <c r="V693" s="171"/>
      <c r="W693" s="171"/>
      <c r="X693" s="1"/>
      <c r="Y693" s="1"/>
      <c r="Z693" s="1"/>
      <c r="AA693" s="120"/>
      <c r="AB693" s="120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2"/>
      <c r="V694" s="171"/>
      <c r="W694" s="171"/>
      <c r="X694" s="1"/>
      <c r="Y694" s="1"/>
      <c r="Z694" s="1"/>
      <c r="AA694" s="120"/>
      <c r="AB694" s="120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2"/>
      <c r="V695" s="171"/>
      <c r="W695" s="171"/>
      <c r="X695" s="1"/>
      <c r="Y695" s="1"/>
      <c r="Z695" s="1"/>
      <c r="AA695" s="120"/>
      <c r="AB695" s="120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2"/>
      <c r="V696" s="171"/>
      <c r="W696" s="171"/>
      <c r="X696" s="1"/>
      <c r="Y696" s="1"/>
      <c r="Z696" s="1"/>
      <c r="AA696" s="120"/>
      <c r="AB696" s="120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2"/>
      <c r="V697" s="171"/>
      <c r="W697" s="171"/>
      <c r="X697" s="1"/>
      <c r="Y697" s="1"/>
      <c r="Z697" s="1"/>
      <c r="AA697" s="120"/>
      <c r="AB697" s="120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2"/>
      <c r="V698" s="171"/>
      <c r="W698" s="171"/>
      <c r="X698" s="1"/>
      <c r="Y698" s="1"/>
      <c r="Z698" s="1"/>
      <c r="AA698" s="120"/>
      <c r="AB698" s="120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2"/>
      <c r="V699" s="171"/>
      <c r="W699" s="171"/>
      <c r="X699" s="1"/>
      <c r="Y699" s="1"/>
      <c r="Z699" s="1"/>
      <c r="AA699" s="120"/>
      <c r="AB699" s="120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2"/>
      <c r="V700" s="171"/>
      <c r="W700" s="171"/>
      <c r="X700" s="1"/>
      <c r="Y700" s="1"/>
      <c r="Z700" s="1"/>
      <c r="AA700" s="120"/>
      <c r="AB700" s="120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2"/>
      <c r="V701" s="171"/>
      <c r="W701" s="171"/>
      <c r="X701" s="1"/>
      <c r="Y701" s="1"/>
      <c r="Z701" s="1"/>
      <c r="AA701" s="120"/>
      <c r="AB701" s="120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2"/>
      <c r="V702" s="171"/>
      <c r="W702" s="171"/>
      <c r="X702" s="1"/>
      <c r="Y702" s="1"/>
      <c r="Z702" s="1"/>
      <c r="AA702" s="120"/>
      <c r="AB702" s="120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2"/>
      <c r="V703" s="171"/>
      <c r="W703" s="171"/>
      <c r="X703" s="1"/>
      <c r="Y703" s="1"/>
      <c r="Z703" s="1"/>
      <c r="AA703" s="120"/>
      <c r="AB703" s="120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2"/>
      <c r="V704" s="171"/>
      <c r="W704" s="171"/>
      <c r="X704" s="1"/>
      <c r="Y704" s="1"/>
      <c r="Z704" s="1"/>
      <c r="AA704" s="120"/>
      <c r="AB704" s="120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2"/>
      <c r="V705" s="171"/>
      <c r="W705" s="171"/>
      <c r="X705" s="1"/>
      <c r="Y705" s="1"/>
      <c r="Z705" s="1"/>
      <c r="AA705" s="120"/>
      <c r="AB705" s="120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2"/>
      <c r="V706" s="171"/>
      <c r="W706" s="171"/>
      <c r="X706" s="1"/>
      <c r="Y706" s="1"/>
      <c r="Z706" s="1"/>
      <c r="AA706" s="120"/>
      <c r="AB706" s="120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2"/>
      <c r="V707" s="171"/>
      <c r="W707" s="171"/>
      <c r="X707" s="1"/>
      <c r="Y707" s="1"/>
      <c r="Z707" s="1"/>
      <c r="AA707" s="120"/>
      <c r="AB707" s="120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2"/>
      <c r="V708" s="171"/>
      <c r="W708" s="171"/>
      <c r="X708" s="1"/>
      <c r="Y708" s="1"/>
      <c r="Z708" s="1"/>
      <c r="AA708" s="120"/>
      <c r="AB708" s="120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2"/>
      <c r="V709" s="171"/>
      <c r="W709" s="171"/>
      <c r="X709" s="1"/>
      <c r="Y709" s="1"/>
      <c r="Z709" s="1"/>
      <c r="AA709" s="120"/>
      <c r="AB709" s="120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2"/>
      <c r="V710" s="171"/>
      <c r="W710" s="171"/>
      <c r="X710" s="1"/>
      <c r="Y710" s="1"/>
      <c r="Z710" s="1"/>
      <c r="AA710" s="120"/>
      <c r="AB710" s="120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2"/>
      <c r="V711" s="171"/>
      <c r="W711" s="171"/>
      <c r="X711" s="1"/>
      <c r="Y711" s="1"/>
      <c r="Z711" s="1"/>
      <c r="AA711" s="120"/>
      <c r="AB711" s="120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2"/>
      <c r="V712" s="171"/>
      <c r="W712" s="171"/>
      <c r="X712" s="1"/>
      <c r="Y712" s="1"/>
      <c r="Z712" s="1"/>
      <c r="AA712" s="120"/>
      <c r="AB712" s="120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2"/>
      <c r="V713" s="171"/>
      <c r="W713" s="171"/>
      <c r="X713" s="1"/>
      <c r="Y713" s="1"/>
      <c r="Z713" s="1"/>
      <c r="AA713" s="120"/>
      <c r="AB713" s="120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2"/>
      <c r="V714" s="171"/>
      <c r="W714" s="171"/>
      <c r="X714" s="1"/>
      <c r="Y714" s="1"/>
      <c r="Z714" s="1"/>
      <c r="AA714" s="120"/>
      <c r="AB714" s="120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2"/>
      <c r="V715" s="171"/>
      <c r="W715" s="171"/>
      <c r="X715" s="1"/>
      <c r="Y715" s="1"/>
      <c r="Z715" s="1"/>
      <c r="AA715" s="120"/>
      <c r="AB715" s="120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2"/>
      <c r="V716" s="171"/>
      <c r="W716" s="171"/>
      <c r="X716" s="1"/>
      <c r="Y716" s="1"/>
      <c r="Z716" s="1"/>
      <c r="AA716" s="120"/>
      <c r="AB716" s="120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2"/>
      <c r="V717" s="171"/>
      <c r="W717" s="171"/>
      <c r="X717" s="1"/>
      <c r="Y717" s="1"/>
      <c r="Z717" s="1"/>
      <c r="AA717" s="120"/>
      <c r="AB717" s="120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2"/>
      <c r="V718" s="171"/>
      <c r="W718" s="171"/>
      <c r="X718" s="1"/>
      <c r="Y718" s="1"/>
      <c r="Z718" s="1"/>
      <c r="AA718" s="120"/>
      <c r="AB718" s="120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2"/>
      <c r="V719" s="171"/>
      <c r="W719" s="171"/>
      <c r="X719" s="1"/>
      <c r="Y719" s="1"/>
      <c r="Z719" s="1"/>
      <c r="AA719" s="120"/>
      <c r="AB719" s="120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2"/>
      <c r="V720" s="171"/>
      <c r="W720" s="171"/>
      <c r="X720" s="1"/>
      <c r="Y720" s="1"/>
      <c r="Z720" s="1"/>
      <c r="AA720" s="120"/>
      <c r="AB720" s="120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2"/>
      <c r="V721" s="171"/>
      <c r="W721" s="171"/>
      <c r="X721" s="1"/>
      <c r="Y721" s="1"/>
      <c r="Z721" s="1"/>
      <c r="AA721" s="120"/>
      <c r="AB721" s="120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2"/>
      <c r="V722" s="171"/>
      <c r="W722" s="171"/>
      <c r="X722" s="1"/>
      <c r="Y722" s="1"/>
      <c r="Z722" s="1"/>
      <c r="AA722" s="120"/>
      <c r="AB722" s="120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2"/>
      <c r="V723" s="171"/>
      <c r="W723" s="171"/>
      <c r="X723" s="1"/>
      <c r="Y723" s="1"/>
      <c r="Z723" s="1"/>
      <c r="AA723" s="120"/>
      <c r="AB723" s="120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2"/>
      <c r="V724" s="171"/>
      <c r="W724" s="171"/>
      <c r="X724" s="1"/>
      <c r="Y724" s="1"/>
      <c r="Z724" s="1"/>
      <c r="AA724" s="120"/>
      <c r="AB724" s="120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2"/>
      <c r="V725" s="171"/>
      <c r="W725" s="171"/>
      <c r="X725" s="1"/>
      <c r="Y725" s="1"/>
      <c r="Z725" s="1"/>
      <c r="AA725" s="120"/>
      <c r="AB725" s="120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2"/>
      <c r="V726" s="171"/>
      <c r="W726" s="171"/>
      <c r="X726" s="1"/>
      <c r="Y726" s="1"/>
      <c r="Z726" s="1"/>
      <c r="AA726" s="120"/>
      <c r="AB726" s="120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2"/>
      <c r="V727" s="171"/>
      <c r="W727" s="171"/>
      <c r="X727" s="1"/>
      <c r="Y727" s="1"/>
      <c r="Z727" s="1"/>
      <c r="AA727" s="120"/>
      <c r="AB727" s="120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2"/>
      <c r="V728" s="171"/>
      <c r="W728" s="171"/>
      <c r="X728" s="1"/>
      <c r="Y728" s="1"/>
      <c r="Z728" s="1"/>
      <c r="AA728" s="120"/>
      <c r="AB728" s="120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2"/>
      <c r="V729" s="171"/>
      <c r="W729" s="171"/>
      <c r="X729" s="1"/>
      <c r="Y729" s="1"/>
      <c r="Z729" s="1"/>
      <c r="AA729" s="120"/>
      <c r="AB729" s="120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2"/>
      <c r="V730" s="171"/>
      <c r="W730" s="171"/>
      <c r="X730" s="1"/>
      <c r="Y730" s="1"/>
      <c r="Z730" s="1"/>
      <c r="AA730" s="120"/>
      <c r="AB730" s="120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2"/>
      <c r="V731" s="171"/>
      <c r="W731" s="171"/>
      <c r="X731" s="1"/>
      <c r="Y731" s="1"/>
      <c r="Z731" s="1"/>
      <c r="AA731" s="120"/>
      <c r="AB731" s="120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2"/>
      <c r="V732" s="171"/>
      <c r="W732" s="171"/>
      <c r="X732" s="1"/>
      <c r="Y732" s="1"/>
      <c r="Z732" s="1"/>
      <c r="AA732" s="120"/>
      <c r="AB732" s="120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2"/>
      <c r="V733" s="171"/>
      <c r="W733" s="171"/>
      <c r="X733" s="1"/>
      <c r="Y733" s="1"/>
      <c r="Z733" s="1"/>
      <c r="AA733" s="120"/>
      <c r="AB733" s="120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2"/>
      <c r="V734" s="171"/>
      <c r="W734" s="171"/>
      <c r="X734" s="1"/>
      <c r="Y734" s="1"/>
      <c r="Z734" s="1"/>
      <c r="AA734" s="120"/>
      <c r="AB734" s="120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2"/>
      <c r="V735" s="171"/>
      <c r="W735" s="171"/>
      <c r="X735" s="1"/>
      <c r="Y735" s="1"/>
      <c r="Z735" s="1"/>
      <c r="AA735" s="120"/>
      <c r="AB735" s="120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2"/>
      <c r="V736" s="171"/>
      <c r="W736" s="171"/>
      <c r="X736" s="1"/>
      <c r="Y736" s="1"/>
      <c r="Z736" s="1"/>
      <c r="AA736" s="120"/>
      <c r="AB736" s="120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2"/>
      <c r="V737" s="171"/>
      <c r="W737" s="171"/>
      <c r="X737" s="1"/>
      <c r="Y737" s="1"/>
      <c r="Z737" s="1"/>
      <c r="AA737" s="120"/>
      <c r="AB737" s="120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2"/>
      <c r="V738" s="171"/>
      <c r="W738" s="171"/>
      <c r="X738" s="1"/>
      <c r="Y738" s="1"/>
      <c r="Z738" s="1"/>
      <c r="AA738" s="120"/>
      <c r="AB738" s="120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2"/>
      <c r="V739" s="171"/>
      <c r="W739" s="171"/>
      <c r="X739" s="1"/>
      <c r="Y739" s="1"/>
      <c r="Z739" s="1"/>
      <c r="AA739" s="120"/>
      <c r="AB739" s="120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2"/>
      <c r="V740" s="171"/>
      <c r="W740" s="171"/>
      <c r="X740" s="1"/>
      <c r="Y740" s="1"/>
      <c r="Z740" s="1"/>
      <c r="AA740" s="120"/>
      <c r="AB740" s="120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2"/>
      <c r="V741" s="171"/>
      <c r="W741" s="171"/>
      <c r="X741" s="1"/>
      <c r="Y741" s="1"/>
      <c r="Z741" s="1"/>
      <c r="AA741" s="120"/>
      <c r="AB741" s="120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2"/>
      <c r="V742" s="171"/>
      <c r="W742" s="171"/>
      <c r="X742" s="1"/>
      <c r="Y742" s="1"/>
      <c r="Z742" s="1"/>
      <c r="AA742" s="120"/>
      <c r="AB742" s="120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2"/>
      <c r="V743" s="171"/>
      <c r="W743" s="171"/>
      <c r="X743" s="1"/>
      <c r="Y743" s="1"/>
      <c r="Z743" s="1"/>
      <c r="AA743" s="120"/>
      <c r="AB743" s="120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2"/>
      <c r="V744" s="171"/>
      <c r="W744" s="171"/>
      <c r="X744" s="1"/>
      <c r="Y744" s="1"/>
      <c r="Z744" s="1"/>
      <c r="AA744" s="120"/>
      <c r="AB744" s="120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2"/>
      <c r="V745" s="171"/>
      <c r="W745" s="171"/>
      <c r="X745" s="1"/>
      <c r="Y745" s="1"/>
      <c r="Z745" s="1"/>
      <c r="AA745" s="120"/>
      <c r="AB745" s="120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2"/>
      <c r="V746" s="171"/>
      <c r="W746" s="171"/>
      <c r="X746" s="1"/>
      <c r="Y746" s="1"/>
      <c r="Z746" s="1"/>
      <c r="AA746" s="120"/>
      <c r="AB746" s="120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2"/>
      <c r="V747" s="171"/>
      <c r="W747" s="171"/>
      <c r="X747" s="1"/>
      <c r="Y747" s="1"/>
      <c r="Z747" s="1"/>
      <c r="AA747" s="120"/>
      <c r="AB747" s="120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2"/>
      <c r="V748" s="171"/>
      <c r="W748" s="171"/>
      <c r="X748" s="1"/>
      <c r="Y748" s="1"/>
      <c r="Z748" s="1"/>
      <c r="AA748" s="120"/>
      <c r="AB748" s="120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2"/>
      <c r="V749" s="171"/>
      <c r="W749" s="171"/>
      <c r="X749" s="1"/>
      <c r="Y749" s="1"/>
      <c r="Z749" s="1"/>
      <c r="AA749" s="120"/>
      <c r="AB749" s="120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2"/>
      <c r="V750" s="171"/>
      <c r="W750" s="171"/>
      <c r="X750" s="1"/>
      <c r="Y750" s="1"/>
      <c r="Z750" s="1"/>
      <c r="AA750" s="120"/>
      <c r="AB750" s="120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2"/>
      <c r="V751" s="171"/>
      <c r="W751" s="171"/>
      <c r="X751" s="1"/>
      <c r="Y751" s="1"/>
      <c r="Z751" s="1"/>
      <c r="AA751" s="120"/>
      <c r="AB751" s="120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2"/>
      <c r="V752" s="171"/>
      <c r="W752" s="171"/>
      <c r="X752" s="1"/>
      <c r="Y752" s="1"/>
      <c r="Z752" s="1"/>
      <c r="AA752" s="120"/>
      <c r="AB752" s="120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2"/>
      <c r="V753" s="171"/>
      <c r="W753" s="171"/>
      <c r="X753" s="1"/>
      <c r="Y753" s="1"/>
      <c r="Z753" s="1"/>
      <c r="AA753" s="120"/>
      <c r="AB753" s="120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2"/>
      <c r="V754" s="171"/>
      <c r="W754" s="171"/>
      <c r="X754" s="1"/>
      <c r="Y754" s="1"/>
      <c r="Z754" s="1"/>
      <c r="AA754" s="120"/>
      <c r="AB754" s="120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2"/>
      <c r="V755" s="171"/>
      <c r="W755" s="171"/>
      <c r="X755" s="1"/>
      <c r="Y755" s="1"/>
      <c r="Z755" s="1"/>
      <c r="AA755" s="120"/>
      <c r="AB755" s="120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2"/>
      <c r="V756" s="171"/>
      <c r="W756" s="171"/>
      <c r="X756" s="1"/>
      <c r="Y756" s="1"/>
      <c r="Z756" s="1"/>
      <c r="AA756" s="120"/>
      <c r="AB756" s="120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2"/>
      <c r="V757" s="171"/>
      <c r="W757" s="171"/>
      <c r="X757" s="1"/>
      <c r="Y757" s="1"/>
      <c r="Z757" s="1"/>
      <c r="AA757" s="120"/>
      <c r="AB757" s="120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2"/>
      <c r="V758" s="171"/>
      <c r="W758" s="171"/>
      <c r="X758" s="1"/>
      <c r="Y758" s="1"/>
      <c r="Z758" s="1"/>
      <c r="AA758" s="120"/>
      <c r="AB758" s="120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2"/>
      <c r="V759" s="171"/>
      <c r="W759" s="171"/>
      <c r="X759" s="1"/>
      <c r="Y759" s="1"/>
      <c r="Z759" s="1"/>
      <c r="AA759" s="120"/>
      <c r="AB759" s="120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2"/>
      <c r="V760" s="171"/>
      <c r="W760" s="171"/>
      <c r="X760" s="1"/>
      <c r="Y760" s="1"/>
      <c r="Z760" s="1"/>
      <c r="AA760" s="120"/>
      <c r="AB760" s="120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2"/>
      <c r="V761" s="171"/>
      <c r="W761" s="171"/>
      <c r="X761" s="1"/>
      <c r="Y761" s="1"/>
      <c r="Z761" s="1"/>
      <c r="AA761" s="120"/>
      <c r="AB761" s="120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2"/>
      <c r="V762" s="171"/>
      <c r="W762" s="171"/>
      <c r="X762" s="1"/>
      <c r="Y762" s="1"/>
      <c r="Z762" s="1"/>
      <c r="AA762" s="120"/>
      <c r="AB762" s="120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2"/>
      <c r="V763" s="171"/>
      <c r="W763" s="171"/>
      <c r="X763" s="1"/>
      <c r="Y763" s="1"/>
      <c r="Z763" s="1"/>
      <c r="AA763" s="120"/>
      <c r="AB763" s="120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2"/>
      <c r="V764" s="171"/>
      <c r="W764" s="171"/>
      <c r="X764" s="1"/>
      <c r="Y764" s="1"/>
      <c r="Z764" s="1"/>
      <c r="AA764" s="120"/>
      <c r="AB764" s="120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2"/>
      <c r="V765" s="171"/>
      <c r="W765" s="171"/>
      <c r="X765" s="1"/>
      <c r="Y765" s="1"/>
      <c r="Z765" s="1"/>
      <c r="AA765" s="120"/>
      <c r="AB765" s="120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2"/>
      <c r="V766" s="171"/>
      <c r="W766" s="171"/>
      <c r="X766" s="1"/>
      <c r="Y766" s="1"/>
      <c r="Z766" s="1"/>
      <c r="AA766" s="120"/>
      <c r="AB766" s="120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2"/>
      <c r="V767" s="171"/>
      <c r="W767" s="171"/>
      <c r="X767" s="1"/>
      <c r="Y767" s="1"/>
      <c r="Z767" s="1"/>
      <c r="AA767" s="120"/>
      <c r="AB767" s="120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2"/>
      <c r="V768" s="171"/>
      <c r="W768" s="171"/>
      <c r="X768" s="1"/>
      <c r="Y768" s="1"/>
      <c r="Z768" s="1"/>
      <c r="AA768" s="120"/>
      <c r="AB768" s="120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2"/>
      <c r="V769" s="171"/>
      <c r="W769" s="171"/>
      <c r="X769" s="1"/>
      <c r="Y769" s="1"/>
      <c r="Z769" s="1"/>
      <c r="AA769" s="120"/>
      <c r="AB769" s="120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2"/>
      <c r="V770" s="171"/>
      <c r="W770" s="171"/>
      <c r="X770" s="1"/>
      <c r="Y770" s="1"/>
      <c r="Z770" s="1"/>
      <c r="AA770" s="120"/>
      <c r="AB770" s="120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2"/>
      <c r="V771" s="171"/>
      <c r="W771" s="171"/>
      <c r="X771" s="1"/>
      <c r="Y771" s="1"/>
      <c r="Z771" s="1"/>
      <c r="AA771" s="120"/>
      <c r="AB771" s="120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2"/>
      <c r="V772" s="171"/>
      <c r="W772" s="171"/>
      <c r="X772" s="1"/>
      <c r="Y772" s="1"/>
      <c r="Z772" s="1"/>
      <c r="AA772" s="120"/>
      <c r="AB772" s="120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2"/>
      <c r="V773" s="171"/>
      <c r="W773" s="171"/>
      <c r="X773" s="1"/>
      <c r="Y773" s="1"/>
      <c r="Z773" s="1"/>
      <c r="AA773" s="120"/>
      <c r="AB773" s="120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2"/>
      <c r="V774" s="171"/>
      <c r="W774" s="171"/>
      <c r="X774" s="1"/>
      <c r="Y774" s="1"/>
      <c r="Z774" s="1"/>
      <c r="AA774" s="120"/>
      <c r="AB774" s="120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2"/>
      <c r="V775" s="171"/>
      <c r="W775" s="171"/>
      <c r="X775" s="1"/>
      <c r="Y775" s="1"/>
      <c r="Z775" s="1"/>
      <c r="AA775" s="120"/>
      <c r="AB775" s="120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2"/>
      <c r="V776" s="171"/>
      <c r="W776" s="171"/>
      <c r="X776" s="1"/>
      <c r="Y776" s="1"/>
      <c r="Z776" s="1"/>
      <c r="AA776" s="120"/>
      <c r="AB776" s="120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2"/>
      <c r="V777" s="171"/>
      <c r="W777" s="171"/>
      <c r="X777" s="1"/>
      <c r="Y777" s="1"/>
      <c r="Z777" s="1"/>
      <c r="AA777" s="120"/>
      <c r="AB777" s="120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2"/>
      <c r="V778" s="171"/>
      <c r="W778" s="171"/>
      <c r="X778" s="1"/>
      <c r="Y778" s="1"/>
      <c r="Z778" s="1"/>
      <c r="AA778" s="120"/>
      <c r="AB778" s="120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2"/>
      <c r="V779" s="171"/>
      <c r="W779" s="171"/>
      <c r="X779" s="1"/>
      <c r="Y779" s="1"/>
      <c r="Z779" s="1"/>
      <c r="AA779" s="120"/>
      <c r="AB779" s="120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2"/>
      <c r="V780" s="171"/>
      <c r="W780" s="171"/>
      <c r="X780" s="1"/>
      <c r="Y780" s="1"/>
      <c r="Z780" s="1"/>
      <c r="AA780" s="120"/>
      <c r="AB780" s="120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2"/>
      <c r="V781" s="171"/>
      <c r="W781" s="171"/>
      <c r="X781" s="1"/>
      <c r="Y781" s="1"/>
      <c r="Z781" s="1"/>
      <c r="AA781" s="120"/>
      <c r="AB781" s="120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2"/>
      <c r="V782" s="171"/>
      <c r="W782" s="171"/>
      <c r="X782" s="1"/>
      <c r="Y782" s="1"/>
      <c r="Z782" s="1"/>
      <c r="AA782" s="120"/>
      <c r="AB782" s="120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2"/>
      <c r="V783" s="171"/>
      <c r="W783" s="171"/>
      <c r="X783" s="1"/>
      <c r="Y783" s="1"/>
      <c r="Z783" s="1"/>
      <c r="AA783" s="120"/>
      <c r="AB783" s="120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2"/>
      <c r="V784" s="171"/>
      <c r="W784" s="171"/>
      <c r="X784" s="1"/>
      <c r="Y784" s="1"/>
      <c r="Z784" s="1"/>
      <c r="AA784" s="120"/>
      <c r="AB784" s="120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2"/>
      <c r="V785" s="171"/>
      <c r="W785" s="171"/>
      <c r="X785" s="1"/>
      <c r="Y785" s="1"/>
      <c r="Z785" s="1"/>
      <c r="AA785" s="120"/>
      <c r="AB785" s="120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2"/>
      <c r="V786" s="171"/>
      <c r="W786" s="171"/>
      <c r="X786" s="1"/>
      <c r="Y786" s="1"/>
      <c r="Z786" s="1"/>
      <c r="AA786" s="120"/>
      <c r="AB786" s="120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2"/>
      <c r="V787" s="171"/>
      <c r="W787" s="171"/>
      <c r="X787" s="1"/>
      <c r="Y787" s="1"/>
      <c r="Z787" s="1"/>
      <c r="AA787" s="120"/>
      <c r="AB787" s="120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2"/>
      <c r="V788" s="171"/>
      <c r="W788" s="171"/>
      <c r="X788" s="1"/>
      <c r="Y788" s="1"/>
      <c r="Z788" s="1"/>
      <c r="AA788" s="120"/>
      <c r="AB788" s="120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2"/>
      <c r="V789" s="171"/>
      <c r="W789" s="171"/>
      <c r="X789" s="1"/>
      <c r="Y789" s="1"/>
      <c r="Z789" s="1"/>
      <c r="AA789" s="120"/>
      <c r="AB789" s="120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2"/>
      <c r="V790" s="171"/>
      <c r="W790" s="171"/>
      <c r="X790" s="1"/>
      <c r="Y790" s="1"/>
      <c r="Z790" s="1"/>
      <c r="AA790" s="120"/>
      <c r="AB790" s="120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2"/>
      <c r="V791" s="171"/>
      <c r="W791" s="171"/>
      <c r="X791" s="1"/>
      <c r="Y791" s="1"/>
      <c r="Z791" s="1"/>
      <c r="AA791" s="120"/>
      <c r="AB791" s="120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2"/>
      <c r="V792" s="171"/>
      <c r="W792" s="171"/>
      <c r="X792" s="1"/>
      <c r="Y792" s="1"/>
      <c r="Z792" s="1"/>
      <c r="AA792" s="120"/>
      <c r="AB792" s="120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2"/>
      <c r="V793" s="171"/>
      <c r="W793" s="171"/>
      <c r="X793" s="1"/>
      <c r="Y793" s="1"/>
      <c r="Z793" s="1"/>
      <c r="AA793" s="120"/>
      <c r="AB793" s="120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2"/>
      <c r="V794" s="171"/>
      <c r="W794" s="171"/>
      <c r="X794" s="1"/>
      <c r="Y794" s="1"/>
      <c r="Z794" s="1"/>
      <c r="AA794" s="120"/>
      <c r="AB794" s="120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2"/>
      <c r="V795" s="171"/>
      <c r="W795" s="171"/>
      <c r="X795" s="1"/>
      <c r="Y795" s="1"/>
      <c r="Z795" s="1"/>
      <c r="AA795" s="120"/>
      <c r="AB795" s="120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2"/>
      <c r="V796" s="171"/>
      <c r="W796" s="171"/>
      <c r="X796" s="1"/>
      <c r="Y796" s="1"/>
      <c r="Z796" s="1"/>
      <c r="AA796" s="120"/>
      <c r="AB796" s="120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2"/>
      <c r="V797" s="171"/>
      <c r="W797" s="171"/>
      <c r="X797" s="1"/>
      <c r="Y797" s="1"/>
      <c r="Z797" s="1"/>
      <c r="AA797" s="120"/>
      <c r="AB797" s="120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2"/>
      <c r="V798" s="171"/>
      <c r="W798" s="171"/>
      <c r="X798" s="1"/>
      <c r="Y798" s="1"/>
      <c r="Z798" s="1"/>
      <c r="AA798" s="120"/>
      <c r="AB798" s="120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2"/>
      <c r="V799" s="171"/>
      <c r="W799" s="171"/>
      <c r="X799" s="1"/>
      <c r="Y799" s="1"/>
      <c r="Z799" s="1"/>
      <c r="AA799" s="120"/>
      <c r="AB799" s="120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2"/>
      <c r="V800" s="171"/>
      <c r="W800" s="171"/>
      <c r="X800" s="1"/>
      <c r="Y800" s="1"/>
      <c r="Z800" s="1"/>
      <c r="AA800" s="120"/>
      <c r="AB800" s="120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2"/>
      <c r="V801" s="171"/>
      <c r="W801" s="171"/>
      <c r="X801" s="1"/>
      <c r="Y801" s="1"/>
      <c r="Z801" s="1"/>
      <c r="AA801" s="120"/>
      <c r="AB801" s="120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2"/>
      <c r="V802" s="171"/>
      <c r="W802" s="171"/>
      <c r="X802" s="1"/>
      <c r="Y802" s="1"/>
      <c r="Z802" s="1"/>
      <c r="AA802" s="120"/>
      <c r="AB802" s="120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2"/>
      <c r="V803" s="171"/>
      <c r="W803" s="171"/>
      <c r="X803" s="1"/>
      <c r="Y803" s="1"/>
      <c r="Z803" s="1"/>
      <c r="AA803" s="120"/>
      <c r="AB803" s="120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2"/>
      <c r="V804" s="171"/>
      <c r="W804" s="171"/>
      <c r="X804" s="1"/>
      <c r="Y804" s="1"/>
      <c r="Z804" s="1"/>
      <c r="AA804" s="120"/>
      <c r="AB804" s="120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2"/>
      <c r="V805" s="171"/>
      <c r="W805" s="171"/>
      <c r="X805" s="1"/>
      <c r="Y805" s="1"/>
      <c r="Z805" s="1"/>
      <c r="AA805" s="120"/>
      <c r="AB805" s="120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2"/>
      <c r="V806" s="171"/>
      <c r="W806" s="171"/>
      <c r="X806" s="1"/>
      <c r="Y806" s="1"/>
      <c r="Z806" s="1"/>
      <c r="AA806" s="120"/>
      <c r="AB806" s="120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2"/>
      <c r="V807" s="171"/>
      <c r="W807" s="171"/>
      <c r="X807" s="1"/>
      <c r="Y807" s="1"/>
      <c r="Z807" s="1"/>
      <c r="AA807" s="120"/>
      <c r="AB807" s="120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2"/>
      <c r="V808" s="171"/>
      <c r="W808" s="171"/>
      <c r="X808" s="1"/>
      <c r="Y808" s="1"/>
      <c r="Z808" s="1"/>
      <c r="AA808" s="120"/>
      <c r="AB808" s="120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2"/>
      <c r="V809" s="171"/>
      <c r="W809" s="171"/>
      <c r="X809" s="1"/>
      <c r="Y809" s="1"/>
      <c r="Z809" s="1"/>
      <c r="AA809" s="120"/>
      <c r="AB809" s="120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2"/>
      <c r="V810" s="171"/>
      <c r="W810" s="171"/>
      <c r="X810" s="1"/>
      <c r="Y810" s="1"/>
      <c r="Z810" s="1"/>
      <c r="AA810" s="120"/>
      <c r="AB810" s="120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2"/>
      <c r="V811" s="171"/>
      <c r="W811" s="171"/>
      <c r="X811" s="1"/>
      <c r="Y811" s="1"/>
      <c r="Z811" s="1"/>
      <c r="AA811" s="120"/>
      <c r="AB811" s="120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2"/>
      <c r="V812" s="171"/>
      <c r="W812" s="171"/>
      <c r="X812" s="1"/>
      <c r="Y812" s="1"/>
      <c r="Z812" s="1"/>
      <c r="AA812" s="120"/>
      <c r="AB812" s="120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2"/>
      <c r="V813" s="171"/>
      <c r="W813" s="171"/>
      <c r="X813" s="1"/>
      <c r="Y813" s="1"/>
      <c r="Z813" s="1"/>
      <c r="AA813" s="120"/>
      <c r="AB813" s="120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2"/>
      <c r="V814" s="171"/>
      <c r="W814" s="171"/>
      <c r="X814" s="1"/>
      <c r="Y814" s="1"/>
      <c r="Z814" s="1"/>
      <c r="AA814" s="120"/>
      <c r="AB814" s="120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2"/>
      <c r="V815" s="171"/>
      <c r="W815" s="171"/>
      <c r="X815" s="1"/>
      <c r="Y815" s="1"/>
      <c r="Z815" s="1"/>
      <c r="AA815" s="120"/>
      <c r="AB815" s="120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2"/>
      <c r="V816" s="171"/>
      <c r="W816" s="171"/>
      <c r="X816" s="1"/>
      <c r="Y816" s="1"/>
      <c r="Z816" s="1"/>
      <c r="AA816" s="120"/>
      <c r="AB816" s="120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2"/>
      <c r="V817" s="171"/>
      <c r="W817" s="171"/>
      <c r="X817" s="1"/>
      <c r="Y817" s="1"/>
      <c r="Z817" s="1"/>
      <c r="AA817" s="120"/>
      <c r="AB817" s="120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2"/>
      <c r="V818" s="171"/>
      <c r="W818" s="171"/>
      <c r="X818" s="1"/>
      <c r="Y818" s="1"/>
      <c r="Z818" s="1"/>
      <c r="AA818" s="120"/>
      <c r="AB818" s="120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2"/>
      <c r="V819" s="171"/>
      <c r="W819" s="171"/>
      <c r="X819" s="1"/>
      <c r="Y819" s="1"/>
      <c r="Z819" s="1"/>
      <c r="AA819" s="120"/>
      <c r="AB819" s="120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2"/>
      <c r="V820" s="171"/>
      <c r="W820" s="171"/>
      <c r="X820" s="1"/>
      <c r="Y820" s="1"/>
      <c r="Z820" s="1"/>
      <c r="AA820" s="120"/>
      <c r="AB820" s="120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2"/>
      <c r="V821" s="171"/>
      <c r="W821" s="171"/>
      <c r="X821" s="1"/>
      <c r="Y821" s="1"/>
      <c r="Z821" s="1"/>
      <c r="AA821" s="120"/>
      <c r="AB821" s="120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2"/>
      <c r="V822" s="171"/>
      <c r="W822" s="171"/>
      <c r="X822" s="1"/>
      <c r="Y822" s="1"/>
      <c r="Z822" s="1"/>
      <c r="AA822" s="120"/>
      <c r="AB822" s="120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2"/>
      <c r="V823" s="171"/>
      <c r="W823" s="171"/>
      <c r="X823" s="1"/>
      <c r="Y823" s="1"/>
      <c r="Z823" s="1"/>
      <c r="AA823" s="120"/>
      <c r="AB823" s="120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2"/>
      <c r="V824" s="171"/>
      <c r="W824" s="171"/>
      <c r="X824" s="1"/>
      <c r="Y824" s="1"/>
      <c r="Z824" s="1"/>
      <c r="AA824" s="120"/>
      <c r="AB824" s="120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2"/>
      <c r="V825" s="171"/>
      <c r="W825" s="171"/>
      <c r="X825" s="1"/>
      <c r="Y825" s="1"/>
      <c r="Z825" s="1"/>
      <c r="AA825" s="120"/>
      <c r="AB825" s="120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2"/>
      <c r="V826" s="171"/>
      <c r="W826" s="171"/>
      <c r="X826" s="1"/>
      <c r="Y826" s="1"/>
      <c r="Z826" s="1"/>
      <c r="AA826" s="120"/>
      <c r="AB826" s="120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2"/>
      <c r="V827" s="171"/>
      <c r="W827" s="171"/>
      <c r="X827" s="1"/>
      <c r="Y827" s="1"/>
      <c r="Z827" s="1"/>
      <c r="AA827" s="120"/>
      <c r="AB827" s="120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2"/>
      <c r="V828" s="171"/>
      <c r="W828" s="171"/>
      <c r="X828" s="1"/>
      <c r="Y828" s="1"/>
      <c r="Z828" s="1"/>
      <c r="AA828" s="120"/>
      <c r="AB828" s="120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2"/>
      <c r="V829" s="171"/>
      <c r="W829" s="171"/>
      <c r="X829" s="1"/>
      <c r="Y829" s="1"/>
      <c r="Z829" s="1"/>
      <c r="AA829" s="120"/>
      <c r="AB829" s="120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2"/>
      <c r="V830" s="171"/>
      <c r="W830" s="171"/>
      <c r="X830" s="1"/>
      <c r="Y830" s="1"/>
      <c r="Z830" s="1"/>
      <c r="AA830" s="120"/>
      <c r="AB830" s="120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2"/>
      <c r="V831" s="171"/>
      <c r="W831" s="171"/>
      <c r="X831" s="1"/>
      <c r="Y831" s="1"/>
      <c r="Z831" s="1"/>
      <c r="AA831" s="120"/>
      <c r="AB831" s="120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2"/>
      <c r="V832" s="171"/>
      <c r="W832" s="171"/>
      <c r="X832" s="1"/>
      <c r="Y832" s="1"/>
      <c r="Z832" s="1"/>
      <c r="AA832" s="120"/>
      <c r="AB832" s="120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2"/>
      <c r="V833" s="171"/>
      <c r="W833" s="171"/>
      <c r="X833" s="1"/>
      <c r="Y833" s="1"/>
      <c r="Z833" s="1"/>
      <c r="AA833" s="120"/>
      <c r="AB833" s="120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2"/>
      <c r="V834" s="171"/>
      <c r="W834" s="171"/>
      <c r="X834" s="1"/>
      <c r="Y834" s="1"/>
      <c r="Z834" s="1"/>
      <c r="AA834" s="120"/>
      <c r="AB834" s="120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2"/>
      <c r="V835" s="171"/>
      <c r="W835" s="171"/>
      <c r="X835" s="1"/>
      <c r="Y835" s="1"/>
      <c r="Z835" s="1"/>
      <c r="AA835" s="120"/>
      <c r="AB835" s="120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2"/>
      <c r="V836" s="171"/>
      <c r="W836" s="171"/>
      <c r="X836" s="1"/>
      <c r="Y836" s="1"/>
      <c r="Z836" s="1"/>
      <c r="AA836" s="120"/>
      <c r="AB836" s="120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2"/>
      <c r="V837" s="171"/>
      <c r="W837" s="171"/>
      <c r="X837" s="1"/>
      <c r="Y837" s="1"/>
      <c r="Z837" s="1"/>
      <c r="AA837" s="120"/>
      <c r="AB837" s="120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2"/>
      <c r="V838" s="171"/>
      <c r="W838" s="171"/>
      <c r="X838" s="1"/>
      <c r="Y838" s="1"/>
      <c r="Z838" s="1"/>
      <c r="AA838" s="120"/>
      <c r="AB838" s="120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2"/>
      <c r="V839" s="171"/>
      <c r="W839" s="171"/>
      <c r="X839" s="1"/>
      <c r="Y839" s="1"/>
      <c r="Z839" s="1"/>
      <c r="AA839" s="120"/>
      <c r="AB839" s="120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2"/>
      <c r="V840" s="171"/>
      <c r="W840" s="171"/>
      <c r="X840" s="1"/>
      <c r="Y840" s="1"/>
      <c r="Z840" s="1"/>
      <c r="AA840" s="120"/>
      <c r="AB840" s="120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2"/>
      <c r="V841" s="171"/>
      <c r="W841" s="171"/>
      <c r="X841" s="1"/>
      <c r="Y841" s="1"/>
      <c r="Z841" s="1"/>
      <c r="AA841" s="120"/>
      <c r="AB841" s="120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2"/>
      <c r="V842" s="171"/>
      <c r="W842" s="171"/>
      <c r="X842" s="1"/>
      <c r="Y842" s="1"/>
      <c r="Z842" s="1"/>
      <c r="AA842" s="120"/>
      <c r="AB842" s="120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2"/>
      <c r="V843" s="171"/>
      <c r="W843" s="171"/>
      <c r="X843" s="1"/>
      <c r="Y843" s="1"/>
      <c r="Z843" s="1"/>
      <c r="AA843" s="120"/>
      <c r="AB843" s="120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2"/>
      <c r="V844" s="171"/>
      <c r="W844" s="171"/>
      <c r="X844" s="1"/>
      <c r="Y844" s="1"/>
      <c r="Z844" s="1"/>
      <c r="AA844" s="120"/>
      <c r="AB844" s="120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2"/>
      <c r="V845" s="171"/>
      <c r="W845" s="171"/>
      <c r="X845" s="1"/>
      <c r="Y845" s="1"/>
      <c r="Z845" s="1"/>
      <c r="AA845" s="120"/>
      <c r="AB845" s="120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2"/>
      <c r="V846" s="171"/>
      <c r="W846" s="171"/>
      <c r="X846" s="1"/>
      <c r="Y846" s="1"/>
      <c r="Z846" s="1"/>
      <c r="AA846" s="120"/>
      <c r="AB846" s="120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2"/>
      <c r="V847" s="171"/>
      <c r="W847" s="171"/>
      <c r="X847" s="1"/>
      <c r="Y847" s="1"/>
      <c r="Z847" s="1"/>
      <c r="AA847" s="120"/>
      <c r="AB847" s="120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2"/>
      <c r="V848" s="171"/>
      <c r="W848" s="171"/>
      <c r="X848" s="1"/>
      <c r="Y848" s="1"/>
      <c r="Z848" s="1"/>
      <c r="AA848" s="120"/>
      <c r="AB848" s="120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2"/>
      <c r="V849" s="171"/>
      <c r="W849" s="171"/>
      <c r="X849" s="1"/>
      <c r="Y849" s="1"/>
      <c r="Z849" s="1"/>
      <c r="AA849" s="120"/>
      <c r="AB849" s="120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2"/>
      <c r="V850" s="171"/>
      <c r="W850" s="171"/>
      <c r="X850" s="1"/>
      <c r="Y850" s="1"/>
      <c r="Z850" s="1"/>
      <c r="AA850" s="120"/>
      <c r="AB850" s="120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2"/>
      <c r="V851" s="171"/>
      <c r="W851" s="171"/>
      <c r="X851" s="1"/>
      <c r="Y851" s="1"/>
      <c r="Z851" s="1"/>
      <c r="AA851" s="120"/>
      <c r="AB851" s="120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2"/>
      <c r="V852" s="171"/>
      <c r="W852" s="171"/>
      <c r="X852" s="1"/>
      <c r="Y852" s="1"/>
      <c r="Z852" s="1"/>
      <c r="AA852" s="120"/>
      <c r="AB852" s="120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2"/>
      <c r="V853" s="171"/>
      <c r="W853" s="171"/>
      <c r="X853" s="1"/>
      <c r="Y853" s="1"/>
      <c r="Z853" s="1"/>
      <c r="AA853" s="120"/>
      <c r="AB853" s="120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2"/>
      <c r="V854" s="171"/>
      <c r="W854" s="171"/>
      <c r="X854" s="1"/>
      <c r="Y854" s="1"/>
      <c r="Z854" s="1"/>
      <c r="AA854" s="120"/>
      <c r="AB854" s="120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2"/>
      <c r="V855" s="171"/>
      <c r="W855" s="171"/>
      <c r="X855" s="1"/>
      <c r="Y855" s="1"/>
      <c r="Z855" s="1"/>
      <c r="AA855" s="120"/>
      <c r="AB855" s="120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2"/>
      <c r="V856" s="171"/>
      <c r="W856" s="171"/>
      <c r="X856" s="1"/>
      <c r="Y856" s="1"/>
      <c r="Z856" s="1"/>
      <c r="AA856" s="120"/>
      <c r="AB856" s="120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2"/>
      <c r="V857" s="171"/>
      <c r="W857" s="171"/>
      <c r="X857" s="1"/>
      <c r="Y857" s="1"/>
      <c r="Z857" s="1"/>
      <c r="AA857" s="120"/>
      <c r="AB857" s="120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2"/>
      <c r="V858" s="171"/>
      <c r="W858" s="171"/>
      <c r="X858" s="1"/>
      <c r="Y858" s="1"/>
      <c r="Z858" s="1"/>
      <c r="AA858" s="120"/>
      <c r="AB858" s="120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2"/>
      <c r="V859" s="171"/>
      <c r="W859" s="171"/>
      <c r="X859" s="1"/>
      <c r="Y859" s="1"/>
      <c r="Z859" s="1"/>
      <c r="AA859" s="120"/>
      <c r="AB859" s="120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2"/>
      <c r="V860" s="171"/>
      <c r="W860" s="171"/>
      <c r="X860" s="1"/>
      <c r="Y860" s="1"/>
      <c r="Z860" s="1"/>
      <c r="AA860" s="120"/>
      <c r="AB860" s="120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2"/>
      <c r="V861" s="171"/>
      <c r="W861" s="171"/>
      <c r="X861" s="1"/>
      <c r="Y861" s="1"/>
      <c r="Z861" s="1"/>
      <c r="AA861" s="120"/>
      <c r="AB861" s="120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2"/>
      <c r="V862" s="171"/>
      <c r="W862" s="171"/>
      <c r="X862" s="1"/>
      <c r="Y862" s="1"/>
      <c r="Z862" s="1"/>
      <c r="AA862" s="120"/>
      <c r="AB862" s="120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2"/>
      <c r="V863" s="171"/>
      <c r="W863" s="171"/>
      <c r="X863" s="1"/>
      <c r="Y863" s="1"/>
      <c r="Z863" s="1"/>
      <c r="AA863" s="120"/>
      <c r="AB863" s="120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2"/>
      <c r="V864" s="171"/>
      <c r="W864" s="171"/>
      <c r="X864" s="1"/>
      <c r="Y864" s="1"/>
      <c r="Z864" s="1"/>
      <c r="AA864" s="120"/>
      <c r="AB864" s="120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2"/>
      <c r="V865" s="171"/>
      <c r="W865" s="171"/>
      <c r="X865" s="1"/>
      <c r="Y865" s="1"/>
      <c r="Z865" s="1"/>
      <c r="AA865" s="120"/>
      <c r="AB865" s="120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2"/>
      <c r="V866" s="171"/>
      <c r="W866" s="171"/>
      <c r="X866" s="1"/>
      <c r="Y866" s="1"/>
      <c r="Z866" s="1"/>
      <c r="AA866" s="120"/>
      <c r="AB866" s="120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2"/>
      <c r="V867" s="171"/>
      <c r="W867" s="171"/>
      <c r="X867" s="1"/>
      <c r="Y867" s="1"/>
      <c r="Z867" s="1"/>
      <c r="AA867" s="120"/>
      <c r="AB867" s="120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2"/>
      <c r="V868" s="171"/>
      <c r="W868" s="171"/>
      <c r="X868" s="1"/>
      <c r="Y868" s="1"/>
      <c r="Z868" s="1"/>
      <c r="AA868" s="120"/>
      <c r="AB868" s="120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2"/>
      <c r="V869" s="171"/>
      <c r="W869" s="171"/>
      <c r="X869" s="1"/>
      <c r="Y869" s="1"/>
      <c r="Z869" s="1"/>
      <c r="AA869" s="120"/>
      <c r="AB869" s="120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2"/>
      <c r="V870" s="171"/>
      <c r="W870" s="171"/>
      <c r="X870" s="1"/>
      <c r="Y870" s="1"/>
      <c r="Z870" s="1"/>
      <c r="AA870" s="120"/>
      <c r="AB870" s="120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2"/>
      <c r="V871" s="171"/>
      <c r="W871" s="171"/>
      <c r="X871" s="1"/>
      <c r="Y871" s="1"/>
      <c r="Z871" s="1"/>
      <c r="AA871" s="120"/>
      <c r="AB871" s="120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2"/>
      <c r="V872" s="171"/>
      <c r="W872" s="171"/>
      <c r="X872" s="1"/>
      <c r="Y872" s="1"/>
      <c r="Z872" s="1"/>
      <c r="AA872" s="120"/>
      <c r="AB872" s="120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2"/>
      <c r="V873" s="171"/>
      <c r="W873" s="171"/>
      <c r="X873" s="1"/>
      <c r="Y873" s="1"/>
      <c r="Z873" s="1"/>
      <c r="AA873" s="120"/>
      <c r="AB873" s="120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2"/>
      <c r="V874" s="171"/>
      <c r="W874" s="171"/>
      <c r="X874" s="1"/>
      <c r="Y874" s="1"/>
      <c r="Z874" s="1"/>
      <c r="AA874" s="120"/>
      <c r="AB874" s="120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2"/>
      <c r="V875" s="171"/>
      <c r="W875" s="171"/>
      <c r="X875" s="1"/>
      <c r="Y875" s="1"/>
      <c r="Z875" s="1"/>
      <c r="AA875" s="120"/>
      <c r="AB875" s="120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2"/>
      <c r="V876" s="171"/>
      <c r="W876" s="171"/>
      <c r="X876" s="1"/>
      <c r="Y876" s="1"/>
      <c r="Z876" s="1"/>
      <c r="AA876" s="120"/>
      <c r="AB876" s="120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2"/>
      <c r="V877" s="171"/>
      <c r="W877" s="171"/>
      <c r="X877" s="1"/>
      <c r="Y877" s="1"/>
      <c r="Z877" s="1"/>
      <c r="AA877" s="120"/>
      <c r="AB877" s="120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2"/>
      <c r="V878" s="171"/>
      <c r="W878" s="171"/>
      <c r="X878" s="1"/>
      <c r="Y878" s="1"/>
      <c r="Z878" s="1"/>
      <c r="AA878" s="120"/>
      <c r="AB878" s="120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2"/>
      <c r="V879" s="171"/>
      <c r="W879" s="171"/>
      <c r="X879" s="1"/>
      <c r="Y879" s="1"/>
      <c r="Z879" s="1"/>
      <c r="AA879" s="120"/>
      <c r="AB879" s="120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2"/>
      <c r="V880" s="171"/>
      <c r="W880" s="171"/>
      <c r="X880" s="1"/>
      <c r="Y880" s="1"/>
      <c r="Z880" s="1"/>
      <c r="AA880" s="120"/>
      <c r="AB880" s="120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2"/>
      <c r="V881" s="171"/>
      <c r="W881" s="171"/>
      <c r="X881" s="1"/>
      <c r="Y881" s="1"/>
      <c r="Z881" s="1"/>
      <c r="AA881" s="120"/>
      <c r="AB881" s="120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2"/>
      <c r="V882" s="171"/>
      <c r="W882" s="171"/>
      <c r="X882" s="1"/>
      <c r="Y882" s="1"/>
      <c r="Z882" s="1"/>
      <c r="AA882" s="120"/>
      <c r="AB882" s="120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2"/>
      <c r="V883" s="171"/>
      <c r="W883" s="171"/>
      <c r="X883" s="1"/>
      <c r="Y883" s="1"/>
      <c r="Z883" s="1"/>
      <c r="AA883" s="120"/>
      <c r="AB883" s="120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2"/>
      <c r="V884" s="171"/>
      <c r="W884" s="171"/>
      <c r="X884" s="1"/>
      <c r="Y884" s="1"/>
      <c r="Z884" s="1"/>
      <c r="AA884" s="120"/>
      <c r="AB884" s="120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2"/>
      <c r="V885" s="171"/>
      <c r="W885" s="171"/>
      <c r="X885" s="1"/>
      <c r="Y885" s="1"/>
      <c r="Z885" s="1"/>
      <c r="AA885" s="120"/>
      <c r="AB885" s="120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2"/>
      <c r="V886" s="171"/>
      <c r="W886" s="171"/>
      <c r="X886" s="1"/>
      <c r="Y886" s="1"/>
      <c r="Z886" s="1"/>
      <c r="AA886" s="120"/>
      <c r="AB886" s="120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2"/>
      <c r="V887" s="171"/>
      <c r="W887" s="171"/>
      <c r="X887" s="1"/>
      <c r="Y887" s="1"/>
      <c r="Z887" s="1"/>
      <c r="AA887" s="120"/>
      <c r="AB887" s="120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2"/>
      <c r="V888" s="171"/>
      <c r="W888" s="171"/>
      <c r="X888" s="1"/>
      <c r="Y888" s="1"/>
      <c r="Z888" s="1"/>
      <c r="AA888" s="120"/>
      <c r="AB888" s="120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2"/>
      <c r="V889" s="171"/>
      <c r="W889" s="171"/>
      <c r="X889" s="1"/>
      <c r="Y889" s="1"/>
      <c r="Z889" s="1"/>
      <c r="AA889" s="120"/>
      <c r="AB889" s="120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2"/>
      <c r="V890" s="171"/>
      <c r="W890" s="171"/>
      <c r="X890" s="1"/>
      <c r="Y890" s="1"/>
      <c r="Z890" s="1"/>
      <c r="AA890" s="120"/>
      <c r="AB890" s="120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2"/>
      <c r="V891" s="171"/>
      <c r="W891" s="171"/>
      <c r="X891" s="1"/>
      <c r="Y891" s="1"/>
      <c r="Z891" s="1"/>
      <c r="AA891" s="120"/>
      <c r="AB891" s="120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2"/>
      <c r="V892" s="171"/>
      <c r="W892" s="171"/>
      <c r="X892" s="1"/>
      <c r="Y892" s="1"/>
      <c r="Z892" s="1"/>
      <c r="AA892" s="120"/>
      <c r="AB892" s="120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2"/>
      <c r="V893" s="171"/>
      <c r="W893" s="171"/>
      <c r="X893" s="1"/>
      <c r="Y893" s="1"/>
      <c r="Z893" s="1"/>
      <c r="AA893" s="120"/>
      <c r="AB893" s="120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2"/>
      <c r="V894" s="171"/>
      <c r="W894" s="171"/>
      <c r="X894" s="1"/>
      <c r="Y894" s="1"/>
      <c r="Z894" s="1"/>
      <c r="AA894" s="120"/>
      <c r="AB894" s="120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2"/>
      <c r="V895" s="171"/>
      <c r="W895" s="171"/>
      <c r="X895" s="1"/>
      <c r="Y895" s="1"/>
      <c r="Z895" s="1"/>
      <c r="AA895" s="120"/>
      <c r="AB895" s="120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2"/>
      <c r="V896" s="171"/>
      <c r="W896" s="171"/>
      <c r="X896" s="1"/>
      <c r="Y896" s="1"/>
      <c r="Z896" s="1"/>
      <c r="AA896" s="120"/>
      <c r="AB896" s="120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2"/>
      <c r="V897" s="171"/>
      <c r="W897" s="171"/>
      <c r="X897" s="1"/>
      <c r="Y897" s="1"/>
      <c r="Z897" s="1"/>
      <c r="AA897" s="120"/>
      <c r="AB897" s="120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2"/>
      <c r="V898" s="171"/>
      <c r="W898" s="171"/>
      <c r="X898" s="1"/>
      <c r="Y898" s="1"/>
      <c r="Z898" s="1"/>
      <c r="AA898" s="120"/>
      <c r="AB898" s="120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2"/>
      <c r="V899" s="171"/>
      <c r="W899" s="171"/>
      <c r="X899" s="1"/>
      <c r="Y899" s="1"/>
      <c r="Z899" s="1"/>
      <c r="AA899" s="120"/>
      <c r="AB899" s="120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2"/>
      <c r="V900" s="171"/>
      <c r="W900" s="171"/>
      <c r="X900" s="1"/>
      <c r="Y900" s="1"/>
      <c r="Z900" s="1"/>
      <c r="AA900" s="120"/>
      <c r="AB900" s="120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2"/>
      <c r="V901" s="171"/>
      <c r="W901" s="171"/>
      <c r="X901" s="1"/>
      <c r="Y901" s="1"/>
      <c r="Z901" s="1"/>
      <c r="AA901" s="120"/>
      <c r="AB901" s="120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2"/>
      <c r="V902" s="171"/>
      <c r="W902" s="171"/>
      <c r="X902" s="1"/>
      <c r="Y902" s="1"/>
      <c r="Z902" s="1"/>
      <c r="AA902" s="120"/>
      <c r="AB902" s="120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2"/>
      <c r="V903" s="171"/>
      <c r="W903" s="171"/>
      <c r="X903" s="1"/>
      <c r="Y903" s="1"/>
      <c r="Z903" s="1"/>
      <c r="AA903" s="120"/>
      <c r="AB903" s="120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2"/>
      <c r="V904" s="171"/>
      <c r="W904" s="171"/>
      <c r="X904" s="1"/>
      <c r="Y904" s="1"/>
      <c r="Z904" s="1"/>
      <c r="AA904" s="120"/>
      <c r="AB904" s="120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2"/>
      <c r="V905" s="171"/>
      <c r="W905" s="171"/>
      <c r="X905" s="1"/>
      <c r="Y905" s="1"/>
      <c r="Z905" s="1"/>
      <c r="AA905" s="120"/>
      <c r="AB905" s="120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2"/>
      <c r="V906" s="171"/>
      <c r="W906" s="171"/>
      <c r="X906" s="1"/>
      <c r="Y906" s="1"/>
      <c r="Z906" s="1"/>
      <c r="AA906" s="120"/>
      <c r="AB906" s="120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2"/>
      <c r="V907" s="171"/>
      <c r="W907" s="171"/>
      <c r="X907" s="1"/>
      <c r="Y907" s="1"/>
      <c r="Z907" s="1"/>
      <c r="AA907" s="120"/>
      <c r="AB907" s="120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2"/>
      <c r="V908" s="171"/>
      <c r="W908" s="171"/>
      <c r="X908" s="1"/>
      <c r="Y908" s="1"/>
      <c r="Z908" s="1"/>
      <c r="AA908" s="120"/>
      <c r="AB908" s="120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2"/>
      <c r="V909" s="171"/>
      <c r="W909" s="171"/>
      <c r="X909" s="1"/>
      <c r="Y909" s="1"/>
      <c r="Z909" s="1"/>
      <c r="AA909" s="120"/>
      <c r="AB909" s="120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2"/>
      <c r="V910" s="171"/>
      <c r="W910" s="171"/>
      <c r="X910" s="1"/>
      <c r="Y910" s="1"/>
      <c r="Z910" s="1"/>
      <c r="AA910" s="120"/>
      <c r="AB910" s="120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2"/>
      <c r="V911" s="171"/>
      <c r="W911" s="171"/>
      <c r="X911" s="1"/>
      <c r="Y911" s="1"/>
      <c r="Z911" s="1"/>
      <c r="AA911" s="120"/>
      <c r="AB911" s="120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2"/>
      <c r="V912" s="171"/>
      <c r="W912" s="171"/>
      <c r="X912" s="1"/>
      <c r="Y912" s="1"/>
      <c r="Z912" s="1"/>
      <c r="AA912" s="120"/>
      <c r="AB912" s="120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2"/>
      <c r="V913" s="171"/>
      <c r="W913" s="171"/>
      <c r="X913" s="1"/>
      <c r="Y913" s="1"/>
      <c r="Z913" s="1"/>
      <c r="AA913" s="120"/>
      <c r="AB913" s="120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2"/>
      <c r="V914" s="171"/>
      <c r="W914" s="171"/>
      <c r="X914" s="1"/>
      <c r="Y914" s="1"/>
      <c r="Z914" s="1"/>
      <c r="AA914" s="120"/>
      <c r="AB914" s="120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2"/>
      <c r="V915" s="171"/>
      <c r="W915" s="171"/>
      <c r="X915" s="1"/>
      <c r="Y915" s="1"/>
      <c r="Z915" s="1"/>
      <c r="AA915" s="120"/>
      <c r="AB915" s="120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2"/>
      <c r="V916" s="171"/>
      <c r="W916" s="171"/>
      <c r="X916" s="1"/>
      <c r="Y916" s="1"/>
      <c r="Z916" s="1"/>
      <c r="AA916" s="120"/>
      <c r="AB916" s="120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2"/>
      <c r="V917" s="171"/>
      <c r="W917" s="171"/>
      <c r="X917" s="1"/>
      <c r="Y917" s="1"/>
      <c r="Z917" s="1"/>
      <c r="AA917" s="120"/>
      <c r="AB917" s="120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2"/>
      <c r="V918" s="171"/>
      <c r="W918" s="171"/>
      <c r="X918" s="1"/>
      <c r="Y918" s="1"/>
      <c r="Z918" s="1"/>
      <c r="AA918" s="120"/>
      <c r="AB918" s="120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2"/>
      <c r="V919" s="171"/>
      <c r="W919" s="171"/>
      <c r="X919" s="1"/>
      <c r="Y919" s="1"/>
      <c r="Z919" s="1"/>
      <c r="AA919" s="120"/>
      <c r="AB919" s="120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2"/>
      <c r="V920" s="171"/>
      <c r="W920" s="171"/>
      <c r="X920" s="1"/>
      <c r="Y920" s="1"/>
      <c r="Z920" s="1"/>
      <c r="AA920" s="120"/>
      <c r="AB920" s="120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2"/>
      <c r="V921" s="171"/>
      <c r="W921" s="171"/>
      <c r="X921" s="1"/>
      <c r="Y921" s="1"/>
      <c r="Z921" s="1"/>
      <c r="AA921" s="120"/>
      <c r="AB921" s="120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2"/>
      <c r="V922" s="171"/>
      <c r="W922" s="171"/>
      <c r="X922" s="1"/>
      <c r="Y922" s="1"/>
      <c r="Z922" s="1"/>
      <c r="AA922" s="120"/>
      <c r="AB922" s="120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2"/>
      <c r="V923" s="171"/>
      <c r="W923" s="171"/>
      <c r="X923" s="1"/>
      <c r="Y923" s="1"/>
      <c r="Z923" s="1"/>
      <c r="AA923" s="120"/>
      <c r="AB923" s="120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2"/>
      <c r="V924" s="171"/>
      <c r="W924" s="171"/>
      <c r="X924" s="1"/>
      <c r="Y924" s="1"/>
      <c r="Z924" s="1"/>
      <c r="AA924" s="120"/>
      <c r="AB924" s="120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2"/>
      <c r="V925" s="171"/>
      <c r="W925" s="171"/>
      <c r="X925" s="1"/>
      <c r="Y925" s="1"/>
      <c r="Z925" s="1"/>
      <c r="AA925" s="120"/>
      <c r="AB925" s="120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2"/>
      <c r="V926" s="171"/>
      <c r="W926" s="171"/>
      <c r="X926" s="1"/>
      <c r="Y926" s="1"/>
      <c r="Z926" s="1"/>
      <c r="AA926" s="120"/>
      <c r="AB926" s="120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2"/>
      <c r="V927" s="171"/>
      <c r="W927" s="171"/>
      <c r="X927" s="1"/>
      <c r="Y927" s="1"/>
      <c r="Z927" s="1"/>
      <c r="AA927" s="120"/>
      <c r="AB927" s="120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2"/>
      <c r="V928" s="171"/>
      <c r="W928" s="171"/>
      <c r="X928" s="1"/>
      <c r="Y928" s="1"/>
      <c r="Z928" s="1"/>
      <c r="AA928" s="120"/>
      <c r="AB928" s="120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2"/>
      <c r="V929" s="171"/>
      <c r="W929" s="171"/>
      <c r="X929" s="1"/>
      <c r="Y929" s="1"/>
      <c r="Z929" s="1"/>
      <c r="AA929" s="120"/>
      <c r="AB929" s="120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2"/>
      <c r="V930" s="171"/>
      <c r="W930" s="171"/>
      <c r="X930" s="1"/>
      <c r="Y930" s="1"/>
      <c r="Z930" s="1"/>
      <c r="AA930" s="120"/>
      <c r="AB930" s="120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2"/>
      <c r="V931" s="171"/>
      <c r="W931" s="171"/>
      <c r="X931" s="1"/>
      <c r="Y931" s="1"/>
      <c r="Z931" s="1"/>
      <c r="AA931" s="120"/>
      <c r="AB931" s="120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2"/>
      <c r="V932" s="171"/>
      <c r="W932" s="171"/>
      <c r="X932" s="1"/>
      <c r="Y932" s="1"/>
      <c r="Z932" s="1"/>
      <c r="AA932" s="120"/>
      <c r="AB932" s="120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2"/>
      <c r="V933" s="171"/>
      <c r="W933" s="171"/>
      <c r="X933" s="1"/>
      <c r="Y933" s="1"/>
      <c r="Z933" s="1"/>
      <c r="AA933" s="120"/>
      <c r="AB933" s="120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2"/>
      <c r="V934" s="171"/>
      <c r="W934" s="171"/>
      <c r="X934" s="1"/>
      <c r="Y934" s="1"/>
      <c r="Z934" s="1"/>
      <c r="AA934" s="120"/>
      <c r="AB934" s="120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2"/>
      <c r="V935" s="171"/>
      <c r="W935" s="171"/>
      <c r="X935" s="1"/>
      <c r="Y935" s="1"/>
      <c r="Z935" s="1"/>
      <c r="AA935" s="120"/>
      <c r="AB935" s="120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2"/>
      <c r="V936" s="171"/>
      <c r="W936" s="171"/>
      <c r="X936" s="1"/>
      <c r="Y936" s="1"/>
      <c r="Z936" s="1"/>
      <c r="AA936" s="120"/>
      <c r="AB936" s="120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2"/>
      <c r="V937" s="171"/>
      <c r="W937" s="171"/>
      <c r="X937" s="1"/>
      <c r="Y937" s="1"/>
      <c r="Z937" s="1"/>
      <c r="AA937" s="120"/>
      <c r="AB937" s="120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2"/>
      <c r="V938" s="171"/>
      <c r="W938" s="171"/>
      <c r="X938" s="1"/>
      <c r="Y938" s="1"/>
      <c r="Z938" s="1"/>
      <c r="AA938" s="120"/>
      <c r="AB938" s="120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2"/>
      <c r="V939" s="171"/>
      <c r="W939" s="171"/>
      <c r="X939" s="1"/>
      <c r="Y939" s="1"/>
      <c r="Z939" s="1"/>
      <c r="AA939" s="120"/>
      <c r="AB939" s="120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2"/>
      <c r="V940" s="171"/>
      <c r="W940" s="171"/>
      <c r="X940" s="1"/>
      <c r="Y940" s="1"/>
      <c r="Z940" s="1"/>
      <c r="AA940" s="120"/>
      <c r="AB940" s="120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2"/>
      <c r="V941" s="171"/>
      <c r="W941" s="171"/>
      <c r="X941" s="1"/>
      <c r="Y941" s="1"/>
      <c r="Z941" s="1"/>
      <c r="AA941" s="120"/>
      <c r="AB941" s="120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2"/>
      <c r="V942" s="171"/>
      <c r="W942" s="171"/>
      <c r="X942" s="1"/>
      <c r="Y942" s="1"/>
      <c r="Z942" s="1"/>
      <c r="AA942" s="120"/>
      <c r="AB942" s="120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2"/>
      <c r="V943" s="171"/>
      <c r="W943" s="171"/>
      <c r="X943" s="1"/>
      <c r="Y943" s="1"/>
      <c r="Z943" s="1"/>
      <c r="AA943" s="120"/>
      <c r="AB943" s="120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2"/>
      <c r="V944" s="171"/>
      <c r="W944" s="171"/>
      <c r="X944" s="1"/>
      <c r="Y944" s="1"/>
      <c r="Z944" s="1"/>
      <c r="AA944" s="120"/>
      <c r="AB944" s="120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2"/>
      <c r="V945" s="171"/>
      <c r="W945" s="171"/>
      <c r="X945" s="1"/>
      <c r="Y945" s="1"/>
      <c r="Z945" s="1"/>
      <c r="AA945" s="120"/>
      <c r="AB945" s="120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2"/>
      <c r="V946" s="171"/>
      <c r="W946" s="171"/>
      <c r="X946" s="1"/>
      <c r="Y946" s="1"/>
      <c r="Z946" s="1"/>
      <c r="AA946" s="120"/>
      <c r="AB946" s="120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2"/>
      <c r="V947" s="171"/>
      <c r="W947" s="171"/>
      <c r="X947" s="1"/>
      <c r="Y947" s="1"/>
      <c r="Z947" s="1"/>
      <c r="AA947" s="120"/>
      <c r="AB947" s="120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2"/>
      <c r="V948" s="171"/>
      <c r="W948" s="171"/>
      <c r="X948" s="1"/>
      <c r="Y948" s="1"/>
      <c r="Z948" s="1"/>
      <c r="AA948" s="120"/>
      <c r="AB948" s="120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2"/>
      <c r="V949" s="171"/>
      <c r="W949" s="171"/>
      <c r="X949" s="1"/>
      <c r="Y949" s="1"/>
      <c r="Z949" s="1"/>
      <c r="AA949" s="120"/>
      <c r="AB949" s="120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2"/>
      <c r="V950" s="171"/>
      <c r="W950" s="171"/>
      <c r="X950" s="1"/>
      <c r="Y950" s="1"/>
      <c r="Z950" s="1"/>
      <c r="AA950" s="120"/>
      <c r="AB950" s="120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2"/>
      <c r="V951" s="171"/>
      <c r="W951" s="171"/>
      <c r="X951" s="1"/>
      <c r="Y951" s="1"/>
      <c r="Z951" s="1"/>
      <c r="AA951" s="120"/>
      <c r="AB951" s="120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2"/>
      <c r="V952" s="171"/>
      <c r="W952" s="171"/>
      <c r="X952" s="1"/>
      <c r="Y952" s="1"/>
      <c r="Z952" s="1"/>
      <c r="AA952" s="120"/>
      <c r="AB952" s="120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2"/>
      <c r="V953" s="171"/>
      <c r="W953" s="171"/>
      <c r="X953" s="1"/>
      <c r="Y953" s="1"/>
      <c r="Z953" s="1"/>
      <c r="AA953" s="120"/>
      <c r="AB953" s="120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2"/>
      <c r="V954" s="171"/>
      <c r="W954" s="171"/>
      <c r="X954" s="1"/>
      <c r="Y954" s="1"/>
      <c r="Z954" s="1"/>
      <c r="AA954" s="120"/>
      <c r="AB954" s="120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2"/>
      <c r="V955" s="171"/>
      <c r="W955" s="171"/>
      <c r="X955" s="1"/>
      <c r="Y955" s="1"/>
      <c r="Z955" s="1"/>
      <c r="AA955" s="120"/>
      <c r="AB955" s="120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2"/>
      <c r="V956" s="171"/>
      <c r="W956" s="171"/>
      <c r="X956" s="1"/>
      <c r="Y956" s="1"/>
      <c r="Z956" s="1"/>
      <c r="AA956" s="120"/>
      <c r="AB956" s="120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2"/>
      <c r="V957" s="171"/>
      <c r="W957" s="171"/>
      <c r="X957" s="1"/>
      <c r="Y957" s="1"/>
      <c r="Z957" s="1"/>
      <c r="AA957" s="120"/>
      <c r="AB957" s="120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2"/>
      <c r="V958" s="171"/>
      <c r="W958" s="171"/>
      <c r="X958" s="1"/>
      <c r="Y958" s="1"/>
      <c r="Z958" s="1"/>
      <c r="AA958" s="120"/>
      <c r="AB958" s="120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2"/>
      <c r="V959" s="171"/>
      <c r="W959" s="171"/>
      <c r="X959" s="1"/>
      <c r="Y959" s="1"/>
      <c r="Z959" s="1"/>
      <c r="AA959" s="120"/>
      <c r="AB959" s="120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2"/>
      <c r="V960" s="171"/>
      <c r="W960" s="171"/>
      <c r="X960" s="1"/>
      <c r="Y960" s="1"/>
      <c r="Z960" s="1"/>
      <c r="AA960" s="120"/>
      <c r="AB960" s="120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2"/>
      <c r="V961" s="171"/>
      <c r="W961" s="171"/>
      <c r="X961" s="1"/>
      <c r="Y961" s="1"/>
      <c r="Z961" s="1"/>
      <c r="AA961" s="120"/>
      <c r="AB961" s="120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2"/>
      <c r="V962" s="171"/>
      <c r="W962" s="171"/>
      <c r="X962" s="1"/>
      <c r="Y962" s="1"/>
      <c r="Z962" s="1"/>
      <c r="AA962" s="120"/>
      <c r="AB962" s="120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2"/>
      <c r="V963" s="171"/>
      <c r="W963" s="171"/>
      <c r="X963" s="1"/>
      <c r="Y963" s="1"/>
      <c r="Z963" s="1"/>
      <c r="AA963" s="120"/>
      <c r="AB963" s="120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2"/>
      <c r="V964" s="171"/>
      <c r="W964" s="171"/>
      <c r="X964" s="1"/>
      <c r="Y964" s="1"/>
      <c r="Z964" s="1"/>
      <c r="AA964" s="120"/>
      <c r="AB964" s="120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2"/>
      <c r="V965" s="171"/>
      <c r="W965" s="171"/>
      <c r="X965" s="1"/>
      <c r="Y965" s="1"/>
      <c r="Z965" s="1"/>
      <c r="AA965" s="120"/>
      <c r="AB965" s="120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2"/>
      <c r="V966" s="171"/>
      <c r="W966" s="171"/>
      <c r="X966" s="1"/>
      <c r="Y966" s="1"/>
      <c r="Z966" s="1"/>
      <c r="AA966" s="120"/>
      <c r="AB966" s="120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2"/>
      <c r="V967" s="171"/>
      <c r="W967" s="171"/>
      <c r="X967" s="1"/>
      <c r="Y967" s="1"/>
      <c r="Z967" s="1"/>
      <c r="AA967" s="120"/>
      <c r="AB967" s="120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2"/>
      <c r="V968" s="171"/>
      <c r="W968" s="171"/>
      <c r="X968" s="1"/>
      <c r="Y968" s="1"/>
      <c r="Z968" s="1"/>
      <c r="AA968" s="120"/>
      <c r="AB968" s="120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2"/>
      <c r="V969" s="171"/>
      <c r="W969" s="171"/>
      <c r="X969" s="1"/>
      <c r="Y969" s="1"/>
      <c r="Z969" s="1"/>
      <c r="AA969" s="120"/>
      <c r="AB969" s="120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2"/>
      <c r="V970" s="171"/>
      <c r="W970" s="171"/>
      <c r="X970" s="1"/>
      <c r="Y970" s="1"/>
      <c r="Z970" s="1"/>
      <c r="AA970" s="120"/>
      <c r="AB970" s="120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2"/>
      <c r="V971" s="171"/>
      <c r="W971" s="171"/>
      <c r="X971" s="1"/>
      <c r="Y971" s="1"/>
      <c r="Z971" s="1"/>
      <c r="AA971" s="120"/>
      <c r="AB971" s="120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2"/>
      <c r="V972" s="171"/>
      <c r="W972" s="171"/>
      <c r="X972" s="1"/>
      <c r="Y972" s="1"/>
      <c r="Z972" s="1"/>
      <c r="AA972" s="120"/>
      <c r="AB972" s="120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2"/>
      <c r="V973" s="171"/>
      <c r="W973" s="171"/>
      <c r="X973" s="1"/>
      <c r="Y973" s="1"/>
      <c r="Z973" s="1"/>
      <c r="AA973" s="120"/>
      <c r="AB973" s="120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2"/>
      <c r="V974" s="171"/>
      <c r="W974" s="171"/>
      <c r="X974" s="1"/>
      <c r="Y974" s="1"/>
      <c r="Z974" s="1"/>
      <c r="AA974" s="120"/>
      <c r="AB974" s="120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2"/>
      <c r="V975" s="171"/>
      <c r="W975" s="171"/>
      <c r="X975" s="1"/>
      <c r="Y975" s="1"/>
      <c r="Z975" s="1"/>
      <c r="AA975" s="120"/>
      <c r="AB975" s="120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2"/>
      <c r="V976" s="171"/>
      <c r="W976" s="171"/>
      <c r="X976" s="1"/>
      <c r="Y976" s="1"/>
      <c r="Z976" s="1"/>
      <c r="AA976" s="120"/>
      <c r="AB976" s="120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2"/>
      <c r="V977" s="171"/>
      <c r="W977" s="171"/>
      <c r="X977" s="1"/>
      <c r="Y977" s="1"/>
      <c r="Z977" s="1"/>
      <c r="AA977" s="120"/>
      <c r="AB977" s="120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2"/>
      <c r="V978" s="171"/>
      <c r="W978" s="171"/>
      <c r="X978" s="1"/>
      <c r="Y978" s="1"/>
      <c r="Z978" s="1"/>
      <c r="AA978" s="120"/>
      <c r="AB978" s="120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2"/>
      <c r="V979" s="171"/>
      <c r="W979" s="171"/>
      <c r="X979" s="1"/>
      <c r="Y979" s="1"/>
      <c r="Z979" s="1"/>
      <c r="AA979" s="120"/>
      <c r="AB979" s="120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2"/>
      <c r="V980" s="171"/>
      <c r="W980" s="171"/>
      <c r="X980" s="1"/>
      <c r="Y980" s="1"/>
      <c r="Z980" s="1"/>
      <c r="AA980" s="120"/>
      <c r="AB980" s="120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2"/>
      <c r="V981" s="171"/>
      <c r="W981" s="171"/>
      <c r="X981" s="1"/>
      <c r="Y981" s="1"/>
      <c r="Z981" s="1"/>
      <c r="AA981" s="120"/>
      <c r="AB981" s="120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2"/>
      <c r="V982" s="171"/>
      <c r="W982" s="171"/>
      <c r="X982" s="1"/>
      <c r="Y982" s="1"/>
      <c r="Z982" s="1"/>
      <c r="AA982" s="120"/>
      <c r="AB982" s="120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2"/>
      <c r="V983" s="171"/>
      <c r="W983" s="171"/>
      <c r="X983" s="1"/>
      <c r="Y983" s="1"/>
      <c r="Z983" s="1"/>
      <c r="AA983" s="120"/>
      <c r="AB983" s="120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2"/>
      <c r="V984" s="171"/>
      <c r="W984" s="171"/>
      <c r="X984" s="1"/>
      <c r="Y984" s="1"/>
      <c r="Z984" s="1"/>
      <c r="AA984" s="120"/>
      <c r="AB984" s="120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2"/>
      <c r="V985" s="171"/>
      <c r="W985" s="171"/>
      <c r="X985" s="1"/>
      <c r="Y985" s="1"/>
      <c r="Z985" s="1"/>
      <c r="AA985" s="120"/>
      <c r="AB985" s="120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2"/>
      <c r="V986" s="171"/>
      <c r="W986" s="171"/>
      <c r="X986" s="1"/>
      <c r="Y986" s="1"/>
      <c r="Z986" s="1"/>
      <c r="AA986" s="120"/>
      <c r="AB986" s="120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2"/>
      <c r="V987" s="171"/>
      <c r="W987" s="171"/>
      <c r="X987" s="1"/>
      <c r="Y987" s="1"/>
      <c r="Z987" s="1"/>
      <c r="AA987" s="120"/>
      <c r="AB987" s="120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2"/>
      <c r="V988" s="171"/>
      <c r="W988" s="171"/>
      <c r="X988" s="1"/>
      <c r="Y988" s="1"/>
      <c r="Z988" s="1"/>
      <c r="AA988" s="120"/>
      <c r="AB988" s="120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2"/>
      <c r="V989" s="171"/>
      <c r="W989" s="171"/>
      <c r="X989" s="1"/>
      <c r="Y989" s="1"/>
      <c r="Z989" s="1"/>
      <c r="AA989" s="120"/>
      <c r="AB989" s="120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2"/>
      <c r="V990" s="171"/>
      <c r="W990" s="171"/>
      <c r="X990" s="1"/>
      <c r="Y990" s="1"/>
      <c r="Z990" s="1"/>
      <c r="AA990" s="120"/>
      <c r="AB990" s="120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2"/>
      <c r="V991" s="171"/>
      <c r="W991" s="171"/>
      <c r="X991" s="1"/>
      <c r="Y991" s="1"/>
      <c r="Z991" s="1"/>
      <c r="AA991" s="120"/>
      <c r="AB991" s="120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2"/>
      <c r="V992" s="171"/>
      <c r="W992" s="171"/>
      <c r="X992" s="1"/>
      <c r="Y992" s="1"/>
      <c r="Z992" s="1"/>
      <c r="AA992" s="120"/>
      <c r="AB992" s="120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2"/>
      <c r="V993" s="171"/>
      <c r="W993" s="171"/>
      <c r="X993" s="1"/>
      <c r="Y993" s="1"/>
      <c r="Z993" s="1"/>
      <c r="AA993" s="120"/>
      <c r="AB993" s="120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2"/>
      <c r="V994" s="171"/>
      <c r="W994" s="171"/>
      <c r="X994" s="1"/>
      <c r="Y994" s="1"/>
      <c r="Z994" s="1"/>
      <c r="AA994" s="120"/>
      <c r="AB994" s="120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2"/>
      <c r="V995" s="171"/>
      <c r="W995" s="171"/>
      <c r="X995" s="1"/>
      <c r="Y995" s="1"/>
      <c r="Z995" s="1"/>
      <c r="AA995" s="120"/>
      <c r="AB995" s="120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</sheetData>
  <mergeCells count="5">
    <mergeCell ref="B1:Y1"/>
    <mergeCell ref="C2:D2"/>
    <mergeCell ref="E2:G2"/>
    <mergeCell ref="Q2:T2"/>
    <mergeCell ref="U2:X2"/>
  </mergeCells>
  <conditionalFormatting sqref="C5:C24">
    <cfRule type="cellIs" dxfId="10" priority="1" operator="equal">
      <formula>"SELL TODAY"</formula>
    </cfRule>
  </conditionalFormatting>
  <conditionalFormatting sqref="D5:D24">
    <cfRule type="cellIs" dxfId="8" priority="2" operator="equal">
      <formula>"BUY Today"</formula>
    </cfRule>
  </conditionalFormatting>
  <conditionalFormatting sqref="E5:G44 E47:G47 E50:G50 E53:G53 E56:G56 E59:G59">
    <cfRule type="cellIs" dxfId="8" priority="3" operator="greaterThan">
      <formula>"80%"</formula>
    </cfRule>
  </conditionalFormatting>
  <conditionalFormatting sqref="Q18">
    <cfRule type="cellIs" dxfId="11" priority="4" operator="equal">
      <formula>R5</formula>
    </cfRule>
  </conditionalFormatting>
  <conditionalFormatting sqref="Y5:Y45 Y47:Y48 Y50:Y51 Y53:Y54 Y56:Y57 Y59:Y60">
    <cfRule type="cellIs" dxfId="12" priority="5" operator="between">
      <formula>"85%"</formula>
      <formula>"110.00%"</formula>
    </cfRule>
  </conditionalFormatting>
  <conditionalFormatting sqref="Y5:Y45 Y47:Y48 Y50:Y51 Y53:Y54 Y56:Y57 Y59:Y60">
    <cfRule type="cellIs" dxfId="9" priority="6" operator="greaterThan">
      <formula>"110.00%"</formula>
    </cfRule>
  </conditionalFormatting>
  <conditionalFormatting sqref="AD5:AD24">
    <cfRule type="cellIs" dxfId="8" priority="7" operator="equal">
      <formula>"bUY"</formula>
    </cfRule>
  </conditionalFormatting>
  <conditionalFormatting sqref="AD5:AD24">
    <cfRule type="cellIs" dxfId="11" priority="8" operator="equal">
      <formula>"Sell Today"</formula>
    </cfRule>
  </conditionalFormatting>
  <conditionalFormatting sqref="AA5:AA24">
    <cfRule type="cellIs" dxfId="11" priority="9" operator="greaterThan">
      <formula>0</formula>
    </cfRule>
  </conditionalFormatting>
  <conditionalFormatting sqref="E5:G44 E47:G47 I47:L48 E50:G50 E53:G53 E56:G56 E59:G59">
    <cfRule type="cellIs" dxfId="13" priority="10" operator="lessThanOrEqual">
      <formula>"50%"</formula>
    </cfRule>
  </conditionalFormatting>
  <conditionalFormatting sqref="L5:L45 L47:L48 L50:L51 L53:L54 L56:L57 L60">
    <cfRule type="cellIs" dxfId="13" priority="11" operator="greaterThanOrEqual">
      <formula>1.8</formula>
    </cfRule>
  </conditionalFormatting>
  <conditionalFormatting sqref="L5:L45 L47:L48 L50:L51 L53:L54 L56:L57 L60">
    <cfRule type="cellIs" dxfId="8" priority="12" operator="lessThanOrEqual">
      <formula>-1.5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75"/>
    <col customWidth="1" min="3" max="3" width="12.0"/>
    <col customWidth="1" min="4" max="4" width="6.75"/>
    <col customWidth="1" min="5" max="5" width="8.0"/>
    <col customWidth="1" min="6" max="6" width="9.75"/>
    <col customWidth="1" min="7" max="7" width="7.63"/>
    <col customWidth="1" min="8" max="8" width="6.5"/>
    <col customWidth="1" min="9" max="9" width="4.38"/>
    <col customWidth="1" min="10" max="10" width="4.75"/>
    <col customWidth="1" min="11" max="11" width="7.88"/>
    <col customWidth="1" min="12" max="12" width="6.5"/>
    <col customWidth="1" min="13" max="14" width="4.75"/>
  </cols>
  <sheetData>
    <row r="1">
      <c r="A1" s="3">
        <f>IFERROR(__xludf.DUMMYFUNCTION("GOOGLEFINANCE(B3,""TRADETIME"")"),46311.6466087963)</f>
        <v>46311.64661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>
        <v>0.46597222222222223</v>
      </c>
      <c r="T1" s="5"/>
      <c r="U1" s="5"/>
      <c r="V1" s="5"/>
      <c r="W1" s="5"/>
      <c r="X1" s="5"/>
      <c r="Y1" s="5"/>
      <c r="Z1" s="5"/>
    </row>
    <row r="2">
      <c r="A2" s="10" t="s">
        <v>4</v>
      </c>
      <c r="B2" s="10" t="s">
        <v>8</v>
      </c>
      <c r="C2" s="12" t="s">
        <v>9</v>
      </c>
      <c r="D2" s="12" t="s">
        <v>13</v>
      </c>
      <c r="E2" s="12" t="s">
        <v>15</v>
      </c>
      <c r="F2" s="12" t="s">
        <v>16</v>
      </c>
      <c r="G2" s="12" t="s">
        <v>17</v>
      </c>
      <c r="H2" s="12" t="s">
        <v>18</v>
      </c>
      <c r="I2" s="5"/>
      <c r="J2" s="5"/>
      <c r="K2" s="5"/>
      <c r="L2" s="5"/>
      <c r="M2" s="5"/>
      <c r="N2" s="5"/>
      <c r="O2" s="5">
        <f>C3*9</f>
        <v>208315.35</v>
      </c>
      <c r="P2" s="5"/>
      <c r="Q2" s="20" t="s">
        <v>21</v>
      </c>
      <c r="R2" s="20">
        <v>19684.0</v>
      </c>
      <c r="S2" s="20">
        <v>18.0</v>
      </c>
      <c r="T2" s="20">
        <f t="shared" ref="T2:T3" si="1">C3</f>
        <v>23146.15</v>
      </c>
      <c r="U2" s="5">
        <f>R2-T2</f>
        <v>-3462.15</v>
      </c>
      <c r="V2" s="5">
        <f>U2*S2*50</f>
        <v>-3115935</v>
      </c>
      <c r="W2" s="5"/>
      <c r="X2" s="5"/>
      <c r="Y2" s="5"/>
      <c r="Z2" s="5"/>
    </row>
    <row r="3">
      <c r="A3" s="10" t="s">
        <v>27</v>
      </c>
      <c r="B3" s="31" t="s">
        <v>28</v>
      </c>
      <c r="C3" s="35">
        <f>IFERROR(__xludf.DUMMYFUNCTION("GOOGLEFINANCE(B3, ""PRICE"")"),23146.15)</f>
        <v>23146.15</v>
      </c>
      <c r="D3" s="35">
        <f>IFERROR(__xludf.DUMMYFUNCTION("GOOGLEFINANCE(B3, ""CHANGE"")"),148.8)</f>
        <v>148.8</v>
      </c>
      <c r="E3" s="35">
        <f>IFERROR(__xludf.DUMMYFUNCTION("GOOGLEFINANCE(B3, ""CHANGEPCT"")"),0.65)</f>
        <v>0.65</v>
      </c>
      <c r="F3" s="35">
        <f>IFERROR(__xludf.DUMMYFUNCTION("GOOGLEFINANCE(B3, ""PRICEOPEN"")"),23065.1)</f>
        <v>23065.1</v>
      </c>
      <c r="G3" s="35">
        <f>IFERROR(__xludf.DUMMYFUNCTION("GOOGLEFINANCE(B3, ""HIGH"")"),23149.85)</f>
        <v>23149.85</v>
      </c>
      <c r="H3" s="35">
        <f>IFERROR(__xludf.DUMMYFUNCTION("GOOGLEFINANCE(B3, ""LOW"")"),22913.8)</f>
        <v>22913.8</v>
      </c>
      <c r="I3" s="5"/>
      <c r="J3" s="5"/>
      <c r="K3" s="5"/>
      <c r="L3" s="5"/>
      <c r="M3" s="5"/>
      <c r="N3" s="5"/>
      <c r="O3" s="5">
        <f>C4*4</f>
        <v>223376</v>
      </c>
      <c r="P3" s="5"/>
      <c r="Q3" s="20" t="s">
        <v>49</v>
      </c>
      <c r="R3" s="20">
        <v>44698.0</v>
      </c>
      <c r="S3" s="20">
        <v>8.0</v>
      </c>
      <c r="T3" s="20">
        <f t="shared" si="1"/>
        <v>55844</v>
      </c>
      <c r="U3" s="5">
        <f>T3-R3</f>
        <v>11146</v>
      </c>
      <c r="V3" s="5">
        <f>U3*S3*15</f>
        <v>1337520</v>
      </c>
      <c r="W3" s="5"/>
      <c r="X3" s="5"/>
      <c r="Y3" s="5"/>
      <c r="Z3" s="5"/>
    </row>
    <row r="4">
      <c r="A4" s="10" t="s">
        <v>55</v>
      </c>
      <c r="B4" s="31" t="s">
        <v>56</v>
      </c>
      <c r="C4" s="35">
        <f>IFERROR(__xludf.DUMMYFUNCTION("GOOGLEFINANCE(B4, ""PRICE"")"),55844.0)</f>
        <v>55844</v>
      </c>
      <c r="D4" s="35">
        <f>IFERROR(__xludf.DUMMYFUNCTION("GOOGLEFINANCE(B4, ""CHANGE"")"),33.5)</f>
        <v>33.5</v>
      </c>
      <c r="E4" s="35">
        <f>IFERROR(__xludf.DUMMYFUNCTION("GOOGLEFINANCE(B4, ""CHANGEPCT"")"),0.06)</f>
        <v>0.06</v>
      </c>
      <c r="F4" s="35">
        <f>IFERROR(__xludf.DUMMYFUNCTION("GOOGLEFINANCE(B4, ""PRICEOPEN"")"),55927.15)</f>
        <v>55927.15</v>
      </c>
      <c r="G4" s="35">
        <f>IFERROR(__xludf.DUMMYFUNCTION("GOOGLEFINANCE(B4, ""HIGH"")"),55989.55)</f>
        <v>55989.55</v>
      </c>
      <c r="H4" s="35">
        <f>IFERROR(__xludf.DUMMYFUNCTION("GOOGLEFINANCE(B4, ""LOW"")"),55526.3)</f>
        <v>55526.3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>
        <f>V2+V3</f>
        <v>-1778415</v>
      </c>
      <c r="W4" s="5"/>
      <c r="X4" s="5"/>
      <c r="Y4" s="5"/>
      <c r="Z4" s="5"/>
    </row>
    <row r="5">
      <c r="A5" s="10" t="s">
        <v>62</v>
      </c>
      <c r="B5" s="31" t="s">
        <v>63</v>
      </c>
      <c r="C5" s="35">
        <f>IFERROR(__xludf.DUMMYFUNCTION("GOOGLEFINANCE(B5, ""PRICE"")"),1211.2)</f>
        <v>1211.2</v>
      </c>
      <c r="D5" s="35">
        <f>IFERROR(__xludf.DUMMYFUNCTION("GOOGLEFINANCE(B5, ""CHANGE"")"),-3.8)</f>
        <v>-3.8</v>
      </c>
      <c r="E5" s="35">
        <f>IFERROR(__xludf.DUMMYFUNCTION("GOOGLEFINANCE(B5, ""CHANGEPCT"")"),-0.31)</f>
        <v>-0.31</v>
      </c>
      <c r="F5" s="35">
        <f>IFERROR(__xludf.DUMMYFUNCTION("GOOGLEFINANCE(B5, ""PRICEOPEN"")"),1215.0)</f>
        <v>1215</v>
      </c>
      <c r="G5" s="35">
        <f>IFERROR(__xludf.DUMMYFUNCTION("GOOGLEFINANCE(B5, ""HIGH"")"),1215.4)</f>
        <v>1215.4</v>
      </c>
      <c r="H5" s="35">
        <f>IFERROR(__xludf.DUMMYFUNCTION("GOOGLEFINANCE(B5, ""LOW"")"),1193.0)</f>
        <v>1193</v>
      </c>
      <c r="I5" s="5"/>
      <c r="J5" s="5"/>
      <c r="K5" s="5"/>
      <c r="L5" s="5"/>
      <c r="M5" s="5"/>
      <c r="N5" s="5"/>
      <c r="O5" s="5"/>
      <c r="P5" s="5"/>
      <c r="Q5" s="5"/>
      <c r="R5" s="20"/>
      <c r="S5" s="5"/>
      <c r="T5" s="5"/>
      <c r="U5" s="5"/>
      <c r="V5" s="5"/>
      <c r="W5" s="5"/>
      <c r="X5" s="5"/>
      <c r="Y5" s="5"/>
      <c r="Z5" s="5"/>
    </row>
    <row r="6">
      <c r="A6" s="71" t="s">
        <v>66</v>
      </c>
      <c r="B6" s="31" t="s">
        <v>68</v>
      </c>
      <c r="C6" s="35">
        <f>IFERROR(__xludf.DUMMYFUNCTION("GOOGLEFINANCE(B6, ""PRICE"")"),728.85)</f>
        <v>728.85</v>
      </c>
      <c r="D6" s="35">
        <f>IFERROR(__xludf.DUMMYFUNCTION("GOOGLEFINANCE(B6, ""CHANGE"")"),2.0)</f>
        <v>2</v>
      </c>
      <c r="E6" s="35">
        <f>IFERROR(__xludf.DUMMYFUNCTION("GOOGLEFINANCE(B6, ""CHANGEPCT"")"),0.28)</f>
        <v>0.28</v>
      </c>
      <c r="F6" s="35">
        <f>IFERROR(__xludf.DUMMYFUNCTION("GOOGLEFINANCE(B6, ""PRICEOPEN"")"),727.9)</f>
        <v>727.9</v>
      </c>
      <c r="G6" s="35">
        <f>IFERROR(__xludf.DUMMYFUNCTION("GOOGLEFINANCE(B6, ""HIGH"")"),734.9)</f>
        <v>734.9</v>
      </c>
      <c r="H6" s="35">
        <f>IFERROR(__xludf.DUMMYFUNCTION("GOOGLEFINANCE(B6, ""LOW"")"),724.3)</f>
        <v>724.3</v>
      </c>
      <c r="I6" s="5"/>
      <c r="J6" s="5"/>
      <c r="K6" s="5"/>
      <c r="L6" s="71" t="s">
        <v>29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F7" s="5"/>
      <c r="G7" s="5"/>
      <c r="H7" s="5"/>
      <c r="I7" s="5"/>
      <c r="J7" s="73"/>
      <c r="K7" s="12" t="s">
        <v>69</v>
      </c>
      <c r="L7" s="74">
        <f>C3</f>
        <v>23146.15</v>
      </c>
      <c r="M7" s="73"/>
      <c r="N7" s="73"/>
      <c r="O7" s="5"/>
      <c r="T7" s="5"/>
      <c r="U7" s="5"/>
      <c r="V7" s="5"/>
      <c r="W7" s="5"/>
      <c r="X7" s="5"/>
      <c r="Y7" s="5"/>
      <c r="Z7" s="5"/>
    </row>
    <row r="8">
      <c r="A8" s="20" t="s">
        <v>70</v>
      </c>
      <c r="B8" s="76" t="str">
        <f>IFERROR(__xludf.DUMMYFUNCTION("GOOGLEFINANCE(""INDEXNSE:NIFTY_50"",""price"",TODAY()-120,TODAY())"),"Date")</f>
        <v>Date</v>
      </c>
      <c r="C8" s="5" t="str">
        <f>IFERROR(__xludf.DUMMYFUNCTION("""COMPUTED_VALUE"""),"Close")</f>
        <v>Close</v>
      </c>
      <c r="F8" s="5"/>
      <c r="G8" s="5"/>
      <c r="H8" s="5"/>
      <c r="I8" s="5"/>
      <c r="J8" s="78" t="s">
        <v>52</v>
      </c>
      <c r="K8" s="79" t="s">
        <v>72</v>
      </c>
      <c r="L8" s="31" t="s">
        <v>51</v>
      </c>
      <c r="M8" s="81" t="s">
        <v>74</v>
      </c>
      <c r="N8" s="82" t="s">
        <v>75</v>
      </c>
      <c r="O8" s="5"/>
      <c r="P8" s="20" t="s">
        <v>76</v>
      </c>
      <c r="Q8" s="76" t="str">
        <f>IFERROR(__xludf.DUMMYFUNCTION("GOOGLEFINANCE(""NSE:SBIN"",""price"",TODAY()-121,TODAY())"),"Date")</f>
        <v>Date</v>
      </c>
      <c r="R8" s="5" t="str">
        <f>IFERROR(__xludf.DUMMYFUNCTION("""COMPUTED_VALUE"""),"Close")</f>
        <v>Close</v>
      </c>
      <c r="S8" s="5"/>
      <c r="T8" s="5"/>
      <c r="U8" s="5"/>
      <c r="V8" s="5"/>
      <c r="W8" s="5"/>
      <c r="X8" s="5"/>
      <c r="Y8" s="5"/>
      <c r="Z8" s="5"/>
    </row>
    <row r="9">
      <c r="A9" s="5"/>
      <c r="B9" s="85">
        <f>IFERROR(__xludf.DUMMYFUNCTION("""COMPUTED_VALUE"""),46192.64583333333)</f>
        <v>46192.64583</v>
      </c>
      <c r="C9" s="5">
        <f>IFERROR(__xludf.DUMMYFUNCTION("""COMPUTED_VALUE"""),24013.1)</f>
        <v>24013.1</v>
      </c>
      <c r="F9" s="20" t="s">
        <v>78</v>
      </c>
      <c r="G9" s="87">
        <f>AVERAGE(C72:C91)</f>
        <v>22840.88</v>
      </c>
      <c r="H9" s="20" t="s">
        <v>80</v>
      </c>
      <c r="I9" s="88">
        <f>STDEV(C72:C91)</f>
        <v>369.5939982</v>
      </c>
      <c r="J9" s="90">
        <f>L9-2*I9</f>
        <v>22101.692</v>
      </c>
      <c r="K9" s="90">
        <f>L9-I9</f>
        <v>22471.286</v>
      </c>
      <c r="L9" s="90">
        <f>G9</f>
        <v>22840.88</v>
      </c>
      <c r="M9" s="90">
        <f>L9+I9</f>
        <v>23210.474</v>
      </c>
      <c r="N9" s="90">
        <f>L9+I9*2</f>
        <v>23580.068</v>
      </c>
      <c r="O9" s="5"/>
      <c r="P9" s="5"/>
      <c r="Q9" s="85">
        <f>IFERROR(__xludf.DUMMYFUNCTION("""COMPUTED_VALUE"""),46191.64583333333)</f>
        <v>46191.64583</v>
      </c>
      <c r="R9" s="5">
        <f>IFERROR(__xludf.DUMMYFUNCTION("""COMPUTED_VALUE"""),1042.7)</f>
        <v>1042.7</v>
      </c>
      <c r="S9" s="5"/>
      <c r="T9" s="20" t="s">
        <v>84</v>
      </c>
      <c r="U9" s="5">
        <f t="shared" ref="U9:U10" si="2">C3*S2</f>
        <v>416630.7</v>
      </c>
      <c r="V9" s="5">
        <f>U9/U10</f>
        <v>0.9325771345</v>
      </c>
      <c r="W9" s="5"/>
      <c r="X9" s="5"/>
      <c r="Y9" s="5"/>
      <c r="Z9" s="5"/>
    </row>
    <row r="10">
      <c r="A10" s="5"/>
      <c r="B10" s="85">
        <f>IFERROR(__xludf.DUMMYFUNCTION("""COMPUTED_VALUE"""),46195.64583333333)</f>
        <v>46195.64583</v>
      </c>
      <c r="C10" s="5">
        <f>IFERROR(__xludf.DUMMYFUNCTION("""COMPUTED_VALUE"""),24102.9)</f>
        <v>24102.9</v>
      </c>
      <c r="D10" s="97" t="str">
        <f t="shared" ref="D10:D92" si="3">if(C10&gt;C9,"UP","DOWN")</f>
        <v>UP</v>
      </c>
      <c r="F10" s="20" t="s">
        <v>85</v>
      </c>
      <c r="G10" s="87">
        <f>AVERAGE(C82:C91)</f>
        <v>22653.865</v>
      </c>
      <c r="H10" s="20" t="s">
        <v>86</v>
      </c>
      <c r="I10" s="88">
        <f>STDEV(C82:C91)</f>
        <v>273.5407334</v>
      </c>
      <c r="J10" s="73"/>
      <c r="K10" s="73"/>
      <c r="L10" s="73"/>
      <c r="M10" s="73"/>
      <c r="N10" s="73"/>
      <c r="O10" s="5"/>
      <c r="P10" s="5"/>
      <c r="Q10" s="85">
        <f>IFERROR(__xludf.DUMMYFUNCTION("""COMPUTED_VALUE"""),46192.64583333333)</f>
        <v>46192.64583</v>
      </c>
      <c r="R10" s="5">
        <f>IFERROR(__xludf.DUMMYFUNCTION("""COMPUTED_VALUE"""),1035.1)</f>
        <v>1035.1</v>
      </c>
      <c r="S10" s="97" t="str">
        <f t="shared" ref="S10:S91" si="4">if(R10&gt;R9,"UP","DOWN")</f>
        <v>DOWN</v>
      </c>
      <c r="T10" s="5"/>
      <c r="U10" s="5">
        <f t="shared" si="2"/>
        <v>446752</v>
      </c>
      <c r="V10" s="5"/>
      <c r="W10" s="5"/>
      <c r="X10" s="5"/>
      <c r="Y10" s="5"/>
      <c r="Z10" s="5"/>
    </row>
    <row r="11">
      <c r="A11" s="5"/>
      <c r="B11" s="85">
        <f>IFERROR(__xludf.DUMMYFUNCTION("""COMPUTED_VALUE"""),46196.64583333333)</f>
        <v>46196.64583</v>
      </c>
      <c r="C11" s="5">
        <f>IFERROR(__xludf.DUMMYFUNCTION("""COMPUTED_VALUE"""),23824.1)</f>
        <v>23824.1</v>
      </c>
      <c r="D11" s="103" t="str">
        <f t="shared" si="3"/>
        <v>DOWN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85">
        <f>IFERROR(__xludf.DUMMYFUNCTION("""COMPUTED_VALUE"""),46195.64583333333)</f>
        <v>46195.64583</v>
      </c>
      <c r="R11" s="5">
        <f>IFERROR(__xludf.DUMMYFUNCTION("""COMPUTED_VALUE"""),1040.75)</f>
        <v>1040.75</v>
      </c>
      <c r="S11" s="103" t="str">
        <f t="shared" si="4"/>
        <v>UP</v>
      </c>
      <c r="T11" s="5"/>
      <c r="U11" s="5"/>
      <c r="V11" s="5"/>
      <c r="W11" s="5"/>
      <c r="X11" s="5"/>
      <c r="Y11" s="5"/>
      <c r="Z11" s="5"/>
    </row>
    <row r="12">
      <c r="A12" s="5"/>
      <c r="B12" s="85">
        <f>IFERROR(__xludf.DUMMYFUNCTION("""COMPUTED_VALUE"""),46197.64583333333)</f>
        <v>46197.64583</v>
      </c>
      <c r="C12" s="5">
        <f>IFERROR(__xludf.DUMMYFUNCTION("""COMPUTED_VALUE"""),24021.65)</f>
        <v>24021.65</v>
      </c>
      <c r="D12" s="103" t="str">
        <f t="shared" si="3"/>
        <v>UP</v>
      </c>
      <c r="F12" s="5"/>
      <c r="G12" s="5"/>
      <c r="H12" s="5"/>
      <c r="I12" s="5"/>
      <c r="J12" s="5"/>
      <c r="K12" s="5"/>
      <c r="L12" s="71" t="s">
        <v>89</v>
      </c>
      <c r="M12" s="5"/>
      <c r="N12" s="5"/>
      <c r="O12" s="5"/>
      <c r="P12" s="5"/>
      <c r="Q12" s="85">
        <f>IFERROR(__xludf.DUMMYFUNCTION("""COMPUTED_VALUE"""),46196.64583333333)</f>
        <v>46196.64583</v>
      </c>
      <c r="R12" s="5">
        <f>IFERROR(__xludf.DUMMYFUNCTION("""COMPUTED_VALUE"""),1024.2)</f>
        <v>1024.2</v>
      </c>
      <c r="S12" s="103" t="str">
        <f t="shared" si="4"/>
        <v>DOWN</v>
      </c>
      <c r="T12" s="5"/>
      <c r="U12" s="5"/>
      <c r="V12" s="5"/>
      <c r="W12" s="5"/>
      <c r="X12" s="5"/>
      <c r="Y12" s="5"/>
      <c r="Z12" s="5"/>
    </row>
    <row r="13">
      <c r="A13" s="5"/>
      <c r="B13" s="85">
        <f>IFERROR(__xludf.DUMMYFUNCTION("""COMPUTED_VALUE"""),46198.64583333333)</f>
        <v>46198.64583</v>
      </c>
      <c r="C13" s="5">
        <f>IFERROR(__xludf.DUMMYFUNCTION("""COMPUTED_VALUE"""),24056.0)</f>
        <v>24056</v>
      </c>
      <c r="D13" s="97" t="str">
        <f t="shared" si="3"/>
        <v>UP</v>
      </c>
      <c r="F13" s="5"/>
      <c r="G13" s="5"/>
      <c r="H13" s="5"/>
      <c r="I13" s="5"/>
      <c r="J13" s="73"/>
      <c r="K13" s="12" t="s">
        <v>69</v>
      </c>
      <c r="L13" s="74">
        <f>C4</f>
        <v>55844</v>
      </c>
      <c r="M13" s="73"/>
      <c r="N13" s="73"/>
      <c r="O13" s="5"/>
      <c r="P13" s="5"/>
      <c r="Q13" s="85">
        <f>IFERROR(__xludf.DUMMYFUNCTION("""COMPUTED_VALUE"""),46197.64583333333)</f>
        <v>46197.64583</v>
      </c>
      <c r="R13" s="5">
        <f>IFERROR(__xludf.DUMMYFUNCTION("""COMPUTED_VALUE"""),1034.6)</f>
        <v>1034.6</v>
      </c>
      <c r="S13" s="97" t="str">
        <f t="shared" si="4"/>
        <v>UP</v>
      </c>
      <c r="T13" s="5"/>
      <c r="U13" s="5"/>
      <c r="V13" s="5"/>
      <c r="W13" s="5"/>
      <c r="X13" s="5"/>
      <c r="Y13" s="5"/>
      <c r="Z13" s="5"/>
    </row>
    <row r="14">
      <c r="A14" s="5"/>
      <c r="B14" s="85">
        <f>IFERROR(__xludf.DUMMYFUNCTION("""COMPUTED_VALUE"""),46202.64583333333)</f>
        <v>46202.64583</v>
      </c>
      <c r="C14" s="5">
        <f>IFERROR(__xludf.DUMMYFUNCTION("""COMPUTED_VALUE"""),23946.25)</f>
        <v>23946.25</v>
      </c>
      <c r="D14" s="97" t="str">
        <f t="shared" si="3"/>
        <v>DOWN</v>
      </c>
      <c r="F14" s="5"/>
      <c r="G14" s="5"/>
      <c r="H14" s="5"/>
      <c r="I14" s="5"/>
      <c r="J14" s="78" t="s">
        <v>52</v>
      </c>
      <c r="K14" s="79" t="s">
        <v>72</v>
      </c>
      <c r="L14" s="31" t="s">
        <v>51</v>
      </c>
      <c r="M14" s="81" t="s">
        <v>74</v>
      </c>
      <c r="N14" s="82" t="s">
        <v>75</v>
      </c>
      <c r="O14" s="5"/>
      <c r="P14" s="5"/>
      <c r="Q14" s="85">
        <f>IFERROR(__xludf.DUMMYFUNCTION("""COMPUTED_VALUE"""),46198.64583333333)</f>
        <v>46198.64583</v>
      </c>
      <c r="R14" s="5">
        <f>IFERROR(__xludf.DUMMYFUNCTION("""COMPUTED_VALUE"""),1045.4)</f>
        <v>1045.4</v>
      </c>
      <c r="S14" s="97" t="str">
        <f t="shared" si="4"/>
        <v>UP</v>
      </c>
      <c r="T14" s="5"/>
      <c r="U14" s="5"/>
      <c r="V14" s="5"/>
      <c r="W14" s="5"/>
      <c r="X14" s="5"/>
      <c r="Y14" s="5"/>
      <c r="Z14" s="5"/>
    </row>
    <row r="15">
      <c r="A15" s="5"/>
      <c r="B15" s="85">
        <f>IFERROR(__xludf.DUMMYFUNCTION("""COMPUTED_VALUE"""),46203.64583333333)</f>
        <v>46203.64583</v>
      </c>
      <c r="C15" s="5">
        <f>IFERROR(__xludf.DUMMYFUNCTION("""COMPUTED_VALUE"""),23865.75)</f>
        <v>23865.75</v>
      </c>
      <c r="D15" s="103" t="str">
        <f t="shared" si="3"/>
        <v>DOWN</v>
      </c>
      <c r="F15" s="20" t="s">
        <v>78</v>
      </c>
      <c r="G15" s="87">
        <f>AVERAGE(C158:C177)</f>
        <v>55333.9575</v>
      </c>
      <c r="H15" s="20" t="s">
        <v>80</v>
      </c>
      <c r="I15" s="88">
        <f>STDEV(C158:C177)</f>
        <v>723.9927377</v>
      </c>
      <c r="J15" s="90">
        <f>L15-2*I15</f>
        <v>53885.97202</v>
      </c>
      <c r="K15" s="90">
        <f>L15-I15</f>
        <v>54609.96476</v>
      </c>
      <c r="L15" s="90">
        <f>G15</f>
        <v>55333.9575</v>
      </c>
      <c r="M15" s="90">
        <f>L15+I15</f>
        <v>56057.95024</v>
      </c>
      <c r="N15" s="90">
        <f>L15+I15*2</f>
        <v>56781.94298</v>
      </c>
      <c r="O15" s="5"/>
      <c r="P15" s="5"/>
      <c r="Q15" s="85">
        <f>IFERROR(__xludf.DUMMYFUNCTION("""COMPUTED_VALUE"""),46202.64583333333)</f>
        <v>46202.64583</v>
      </c>
      <c r="R15" s="5">
        <f>IFERROR(__xludf.DUMMYFUNCTION("""COMPUTED_VALUE"""),1036.1)</f>
        <v>1036.1</v>
      </c>
      <c r="S15" s="103" t="str">
        <f t="shared" si="4"/>
        <v>DOWN</v>
      </c>
      <c r="T15" s="5"/>
      <c r="U15" s="5"/>
      <c r="V15" s="5"/>
      <c r="W15" s="5"/>
      <c r="X15" s="5"/>
      <c r="Y15" s="5"/>
      <c r="Z15" s="5"/>
    </row>
    <row r="16">
      <c r="A16" s="5"/>
      <c r="B16" s="85">
        <f>IFERROR(__xludf.DUMMYFUNCTION("""COMPUTED_VALUE"""),46204.64583333333)</f>
        <v>46204.64583</v>
      </c>
      <c r="C16" s="5">
        <f>IFERROR(__xludf.DUMMYFUNCTION("""COMPUTED_VALUE"""),24005.85)</f>
        <v>24005.85</v>
      </c>
      <c r="D16" s="97" t="str">
        <f t="shared" si="3"/>
        <v>UP</v>
      </c>
      <c r="F16" s="20" t="s">
        <v>85</v>
      </c>
      <c r="G16" s="87">
        <f>AVERAGE(C168:C177)</f>
        <v>55064.605</v>
      </c>
      <c r="H16" s="20" t="s">
        <v>86</v>
      </c>
      <c r="I16" s="88">
        <f>STDEV(C168:C177)</f>
        <v>429.1067922</v>
      </c>
      <c r="J16" s="73"/>
      <c r="K16" s="73"/>
      <c r="L16" s="73"/>
      <c r="M16" s="73"/>
      <c r="N16" s="73"/>
      <c r="O16" s="5"/>
      <c r="P16" s="5"/>
      <c r="Q16" s="85">
        <f>IFERROR(__xludf.DUMMYFUNCTION("""COMPUTED_VALUE"""),46203.64583333333)</f>
        <v>46203.64583</v>
      </c>
      <c r="R16" s="5">
        <f>IFERROR(__xludf.DUMMYFUNCTION("""COMPUTED_VALUE"""),1026.9)</f>
        <v>1026.9</v>
      </c>
      <c r="S16" s="97" t="str">
        <f t="shared" si="4"/>
        <v>DOWN</v>
      </c>
      <c r="T16" s="5"/>
      <c r="U16" s="5"/>
      <c r="V16" s="5"/>
      <c r="W16" s="5"/>
      <c r="X16" s="5"/>
      <c r="Y16" s="5"/>
      <c r="Z16" s="5"/>
    </row>
    <row r="17">
      <c r="A17" s="5"/>
      <c r="B17" s="85">
        <f>IFERROR(__xludf.DUMMYFUNCTION("""COMPUTED_VALUE"""),46205.64583333333)</f>
        <v>46205.64583</v>
      </c>
      <c r="C17" s="5">
        <f>IFERROR(__xludf.DUMMYFUNCTION("""COMPUTED_VALUE"""),24175.7)</f>
        <v>24175.7</v>
      </c>
      <c r="D17" s="103" t="str">
        <f t="shared" si="3"/>
        <v>UP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85">
        <f>IFERROR(__xludf.DUMMYFUNCTION("""COMPUTED_VALUE"""),46204.64583333333)</f>
        <v>46204.64583</v>
      </c>
      <c r="R17" s="5">
        <f>IFERROR(__xludf.DUMMYFUNCTION("""COMPUTED_VALUE"""),1047.4)</f>
        <v>1047.4</v>
      </c>
      <c r="S17" s="103" t="str">
        <f t="shared" si="4"/>
        <v>UP</v>
      </c>
      <c r="T17" s="5"/>
      <c r="U17" s="5"/>
      <c r="V17" s="5"/>
      <c r="W17" s="5"/>
      <c r="X17" s="5"/>
      <c r="Y17" s="5"/>
      <c r="Z17" s="5"/>
    </row>
    <row r="18">
      <c r="A18" s="5"/>
      <c r="B18" s="85">
        <f>IFERROR(__xludf.DUMMYFUNCTION("""COMPUTED_VALUE"""),46206.64583333333)</f>
        <v>46206.64583</v>
      </c>
      <c r="C18" s="5">
        <f>IFERROR(__xludf.DUMMYFUNCTION("""COMPUTED_VALUE"""),24270.85)</f>
        <v>24270.85</v>
      </c>
      <c r="D18" s="97" t="str">
        <f t="shared" si="3"/>
        <v>UP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85">
        <f>IFERROR(__xludf.DUMMYFUNCTION("""COMPUTED_VALUE"""),46205.64583333333)</f>
        <v>46205.64583</v>
      </c>
      <c r="R18" s="5">
        <f>IFERROR(__xludf.DUMMYFUNCTION("""COMPUTED_VALUE"""),1051.6)</f>
        <v>1051.6</v>
      </c>
      <c r="S18" s="97" t="str">
        <f t="shared" si="4"/>
        <v>UP</v>
      </c>
      <c r="T18" s="5"/>
      <c r="U18" s="5"/>
      <c r="V18" s="5"/>
      <c r="W18" s="5"/>
      <c r="X18" s="5"/>
      <c r="Y18" s="5"/>
      <c r="Z18" s="5"/>
    </row>
    <row r="19">
      <c r="A19" s="5"/>
      <c r="B19" s="85">
        <f>IFERROR(__xludf.DUMMYFUNCTION("""COMPUTED_VALUE"""),46209.64583333333)</f>
        <v>46209.64583</v>
      </c>
      <c r="C19" s="5">
        <f>IFERROR(__xludf.DUMMYFUNCTION("""COMPUTED_VALUE"""),24430.35)</f>
        <v>24430.35</v>
      </c>
      <c r="D19" s="97" t="str">
        <f t="shared" si="3"/>
        <v>UP</v>
      </c>
      <c r="E19" s="5"/>
      <c r="F19" s="5"/>
      <c r="G19" s="5"/>
      <c r="H19" s="5"/>
      <c r="I19" s="5"/>
      <c r="J19" s="5"/>
      <c r="K19" s="5"/>
      <c r="L19" s="71" t="s">
        <v>76</v>
      </c>
      <c r="M19" s="5"/>
      <c r="N19" s="5"/>
      <c r="O19" s="5"/>
      <c r="P19" s="5"/>
      <c r="Q19" s="85">
        <f>IFERROR(__xludf.DUMMYFUNCTION("""COMPUTED_VALUE"""),46206.64583333333)</f>
        <v>46206.64583</v>
      </c>
      <c r="R19" s="5">
        <f>IFERROR(__xludf.DUMMYFUNCTION("""COMPUTED_VALUE"""),1040.0)</f>
        <v>1040</v>
      </c>
      <c r="S19" s="97" t="str">
        <f t="shared" si="4"/>
        <v>DOWN</v>
      </c>
      <c r="T19" s="5"/>
      <c r="U19" s="5"/>
      <c r="V19" s="5"/>
      <c r="W19" s="5"/>
      <c r="X19" s="5"/>
      <c r="Y19" s="5"/>
      <c r="Z19" s="5"/>
    </row>
    <row r="20">
      <c r="A20" s="5"/>
      <c r="B20" s="85">
        <f>IFERROR(__xludf.DUMMYFUNCTION("""COMPUTED_VALUE"""),46210.64583333333)</f>
        <v>46210.64583</v>
      </c>
      <c r="C20" s="5">
        <f>IFERROR(__xludf.DUMMYFUNCTION("""COMPUTED_VALUE"""),24398.7)</f>
        <v>24398.7</v>
      </c>
      <c r="D20" s="97" t="str">
        <f t="shared" si="3"/>
        <v>DOWN</v>
      </c>
      <c r="E20" s="5"/>
      <c r="F20" s="5"/>
      <c r="G20" s="5"/>
      <c r="H20" s="5"/>
      <c r="I20" s="5"/>
      <c r="J20" s="73"/>
      <c r="K20" s="12" t="s">
        <v>69</v>
      </c>
      <c r="L20" s="74">
        <f>C5</f>
        <v>1211.2</v>
      </c>
      <c r="M20" s="73"/>
      <c r="N20" s="73"/>
      <c r="O20" s="5"/>
      <c r="P20" s="5"/>
      <c r="Q20" s="85">
        <f>IFERROR(__xludf.DUMMYFUNCTION("""COMPUTED_VALUE"""),46209.64583333333)</f>
        <v>46209.64583</v>
      </c>
      <c r="R20" s="5">
        <f>IFERROR(__xludf.DUMMYFUNCTION("""COMPUTED_VALUE"""),1037.7)</f>
        <v>1037.7</v>
      </c>
      <c r="S20" s="97" t="str">
        <f t="shared" si="4"/>
        <v>DOWN</v>
      </c>
      <c r="T20" s="5"/>
      <c r="U20" s="5"/>
      <c r="V20" s="5"/>
      <c r="W20" s="5"/>
      <c r="X20" s="5"/>
      <c r="Y20" s="5"/>
      <c r="Z20" s="5"/>
    </row>
    <row r="21">
      <c r="A21" s="5"/>
      <c r="B21" s="85">
        <f>IFERROR(__xludf.DUMMYFUNCTION("""COMPUTED_VALUE"""),46211.64583333333)</f>
        <v>46211.64583</v>
      </c>
      <c r="C21" s="5">
        <f>IFERROR(__xludf.DUMMYFUNCTION("""COMPUTED_VALUE"""),23882.05)</f>
        <v>23882.05</v>
      </c>
      <c r="D21" s="103" t="str">
        <f t="shared" si="3"/>
        <v>DOWN</v>
      </c>
      <c r="E21" s="5"/>
      <c r="F21" s="5"/>
      <c r="G21" s="5"/>
      <c r="H21" s="5"/>
      <c r="I21" s="5"/>
      <c r="J21" s="78" t="s">
        <v>52</v>
      </c>
      <c r="K21" s="79" t="s">
        <v>72</v>
      </c>
      <c r="L21" s="31" t="s">
        <v>51</v>
      </c>
      <c r="M21" s="81" t="s">
        <v>74</v>
      </c>
      <c r="N21" s="82" t="s">
        <v>75</v>
      </c>
      <c r="O21" s="5"/>
      <c r="P21" s="5"/>
      <c r="Q21" s="85">
        <f>IFERROR(__xludf.DUMMYFUNCTION("""COMPUTED_VALUE"""),46210.64583333333)</f>
        <v>46210.64583</v>
      </c>
      <c r="R21" s="5">
        <f>IFERROR(__xludf.DUMMYFUNCTION("""COMPUTED_VALUE"""),1038.1)</f>
        <v>1038.1</v>
      </c>
      <c r="S21" s="103" t="str">
        <f t="shared" si="4"/>
        <v>UP</v>
      </c>
      <c r="T21" s="5"/>
      <c r="U21" s="5"/>
      <c r="V21" s="5"/>
      <c r="W21" s="5"/>
      <c r="X21" s="5"/>
      <c r="Y21" s="5"/>
      <c r="Z21" s="5"/>
    </row>
    <row r="22">
      <c r="A22" s="5"/>
      <c r="B22" s="85">
        <f>IFERROR(__xludf.DUMMYFUNCTION("""COMPUTED_VALUE"""),46212.64583333333)</f>
        <v>46212.64583</v>
      </c>
      <c r="C22" s="5">
        <f>IFERROR(__xludf.DUMMYFUNCTION("""COMPUTED_VALUE"""),23962.8)</f>
        <v>23962.8</v>
      </c>
      <c r="D22" s="97" t="str">
        <f t="shared" si="3"/>
        <v>UP</v>
      </c>
      <c r="E22" s="5"/>
      <c r="F22" s="20" t="s">
        <v>78</v>
      </c>
      <c r="G22" s="87">
        <f>AVERAGE(R72:R91)</f>
        <v>967.3275</v>
      </c>
      <c r="H22" s="20" t="s">
        <v>80</v>
      </c>
      <c r="I22" s="88">
        <f>STDEV(R72:R91)</f>
        <v>17.79839936</v>
      </c>
      <c r="J22" s="90">
        <f>L22-2*I22</f>
        <v>931.7307013</v>
      </c>
      <c r="K22" s="90">
        <f>L22-I22</f>
        <v>949.5291006</v>
      </c>
      <c r="L22" s="90">
        <f>G22</f>
        <v>967.3275</v>
      </c>
      <c r="M22" s="90">
        <f>L22+I22</f>
        <v>985.1258994</v>
      </c>
      <c r="N22" s="90">
        <f>L22+I22*2</f>
        <v>1002.924299</v>
      </c>
      <c r="O22" s="5"/>
      <c r="P22" s="5"/>
      <c r="Q22" s="85">
        <f>IFERROR(__xludf.DUMMYFUNCTION("""COMPUTED_VALUE"""),46211.64583333333)</f>
        <v>46211.64583</v>
      </c>
      <c r="R22" s="5">
        <f>IFERROR(__xludf.DUMMYFUNCTION("""COMPUTED_VALUE"""),1016.9)</f>
        <v>1016.9</v>
      </c>
      <c r="S22" s="97" t="str">
        <f t="shared" si="4"/>
        <v>DOWN</v>
      </c>
      <c r="T22" s="5"/>
      <c r="U22" s="5"/>
      <c r="V22" s="5"/>
      <c r="W22" s="5"/>
      <c r="X22" s="5"/>
      <c r="Y22" s="5"/>
      <c r="Z22" s="5"/>
    </row>
    <row r="23">
      <c r="A23" s="5"/>
      <c r="B23" s="85">
        <f>IFERROR(__xludf.DUMMYFUNCTION("""COMPUTED_VALUE"""),46213.64583333333)</f>
        <v>46213.64583</v>
      </c>
      <c r="C23" s="5">
        <f>IFERROR(__xludf.DUMMYFUNCTION("""COMPUTED_VALUE"""),24206.9)</f>
        <v>24206.9</v>
      </c>
      <c r="D23" s="97" t="str">
        <f t="shared" si="3"/>
        <v>UP</v>
      </c>
      <c r="E23" s="5"/>
      <c r="F23" s="20" t="s">
        <v>85</v>
      </c>
      <c r="G23" s="87">
        <f>AVERAGE(R82:R91)</f>
        <v>953.685</v>
      </c>
      <c r="H23" s="20" t="s">
        <v>86</v>
      </c>
      <c r="I23" s="88">
        <f>STDEV(R82:R91)</f>
        <v>7.260243721</v>
      </c>
      <c r="J23" s="73"/>
      <c r="K23" s="73"/>
      <c r="L23" s="73"/>
      <c r="M23" s="73"/>
      <c r="N23" s="73"/>
      <c r="O23" s="5"/>
      <c r="P23" s="5"/>
      <c r="Q23" s="85">
        <f>IFERROR(__xludf.DUMMYFUNCTION("""COMPUTED_VALUE"""),46212.64583333333)</f>
        <v>46212.64583</v>
      </c>
      <c r="R23" s="5">
        <f>IFERROR(__xludf.DUMMYFUNCTION("""COMPUTED_VALUE"""),1022.1)</f>
        <v>1022.1</v>
      </c>
      <c r="S23" s="97" t="str">
        <f t="shared" si="4"/>
        <v>UP</v>
      </c>
      <c r="T23" s="5"/>
      <c r="U23" s="5"/>
      <c r="V23" s="5"/>
      <c r="W23" s="5"/>
      <c r="X23" s="5"/>
      <c r="Y23" s="5"/>
      <c r="Z23" s="5"/>
    </row>
    <row r="24">
      <c r="A24" s="5"/>
      <c r="B24" s="85">
        <f>IFERROR(__xludf.DUMMYFUNCTION("""COMPUTED_VALUE"""),46216.64583333333)</f>
        <v>46216.64583</v>
      </c>
      <c r="C24" s="5">
        <f>IFERROR(__xludf.DUMMYFUNCTION("""COMPUTED_VALUE"""),24211.0)</f>
        <v>24211</v>
      </c>
      <c r="D24" s="103" t="str">
        <f t="shared" si="3"/>
        <v>UP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85">
        <f>IFERROR(__xludf.DUMMYFUNCTION("""COMPUTED_VALUE"""),46213.64583333333)</f>
        <v>46213.64583</v>
      </c>
      <c r="R24" s="5">
        <f>IFERROR(__xludf.DUMMYFUNCTION("""COMPUTED_VALUE"""),1036.0)</f>
        <v>1036</v>
      </c>
      <c r="S24" s="103" t="str">
        <f t="shared" si="4"/>
        <v>UP</v>
      </c>
      <c r="T24" s="5"/>
      <c r="U24" s="5"/>
      <c r="V24" s="5"/>
      <c r="W24" s="5"/>
      <c r="X24" s="5"/>
      <c r="Y24" s="5"/>
      <c r="Z24" s="5"/>
    </row>
    <row r="25">
      <c r="A25" s="5"/>
      <c r="B25" s="85">
        <f>IFERROR(__xludf.DUMMYFUNCTION("""COMPUTED_VALUE"""),46217.64583333333)</f>
        <v>46217.64583</v>
      </c>
      <c r="C25" s="5">
        <f>IFERROR(__xludf.DUMMYFUNCTION("""COMPUTED_VALUE"""),24052.05)</f>
        <v>24052.05</v>
      </c>
      <c r="D25" s="103" t="str">
        <f t="shared" si="3"/>
        <v>DOWN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85">
        <f>IFERROR(__xludf.DUMMYFUNCTION("""COMPUTED_VALUE"""),46216.64583333333)</f>
        <v>46216.64583</v>
      </c>
      <c r="R25" s="5">
        <f>IFERROR(__xludf.DUMMYFUNCTION("""COMPUTED_VALUE"""),1037.0)</f>
        <v>1037</v>
      </c>
      <c r="S25" s="103" t="str">
        <f t="shared" si="4"/>
        <v>UP</v>
      </c>
      <c r="T25" s="5"/>
      <c r="U25" s="5"/>
      <c r="V25" s="5"/>
      <c r="W25" s="5"/>
      <c r="X25" s="5"/>
      <c r="Y25" s="5"/>
      <c r="Z25" s="5"/>
    </row>
    <row r="26">
      <c r="A26" s="5"/>
      <c r="B26" s="85">
        <f>IFERROR(__xludf.DUMMYFUNCTION("""COMPUTED_VALUE"""),46218.64583333333)</f>
        <v>46218.64583</v>
      </c>
      <c r="C26" s="5">
        <f>IFERROR(__xludf.DUMMYFUNCTION("""COMPUTED_VALUE"""),24078.5)</f>
        <v>24078.5</v>
      </c>
      <c r="D26" s="103" t="str">
        <f t="shared" si="3"/>
        <v>UP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85">
        <f>IFERROR(__xludf.DUMMYFUNCTION("""COMPUTED_VALUE"""),46217.64583333333)</f>
        <v>46217.64583</v>
      </c>
      <c r="R26" s="5">
        <f>IFERROR(__xludf.DUMMYFUNCTION("""COMPUTED_VALUE"""),1015.4)</f>
        <v>1015.4</v>
      </c>
      <c r="S26" s="103" t="str">
        <f t="shared" si="4"/>
        <v>DOWN</v>
      </c>
      <c r="T26" s="5"/>
      <c r="U26" s="5"/>
      <c r="V26" s="5"/>
      <c r="W26" s="5"/>
      <c r="X26" s="5"/>
      <c r="Y26" s="5"/>
      <c r="Z26" s="5"/>
    </row>
    <row r="27">
      <c r="A27" s="5"/>
      <c r="B27" s="85">
        <f>IFERROR(__xludf.DUMMYFUNCTION("""COMPUTED_VALUE"""),46219.64583333333)</f>
        <v>46219.64583</v>
      </c>
      <c r="C27" s="5">
        <f>IFERROR(__xludf.DUMMYFUNCTION("""COMPUTED_VALUE"""),24072.75)</f>
        <v>24072.75</v>
      </c>
      <c r="D27" s="97" t="str">
        <f t="shared" si="3"/>
        <v>DOWN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85">
        <f>IFERROR(__xludf.DUMMYFUNCTION("""COMPUTED_VALUE"""),46218.64583333333)</f>
        <v>46218.64583</v>
      </c>
      <c r="R27" s="5">
        <f>IFERROR(__xludf.DUMMYFUNCTION("""COMPUTED_VALUE"""),1030.1)</f>
        <v>1030.1</v>
      </c>
      <c r="S27" s="97" t="str">
        <f t="shared" si="4"/>
        <v>UP</v>
      </c>
      <c r="T27" s="5"/>
      <c r="U27" s="5"/>
      <c r="V27" s="5"/>
      <c r="W27" s="5"/>
      <c r="X27" s="5"/>
      <c r="Y27" s="5"/>
      <c r="Z27" s="5"/>
    </row>
    <row r="28">
      <c r="A28" s="5"/>
      <c r="B28" s="85">
        <f>IFERROR(__xludf.DUMMYFUNCTION("""COMPUTED_VALUE"""),46220.64583333333)</f>
        <v>46220.64583</v>
      </c>
      <c r="C28" s="5">
        <f>IFERROR(__xludf.DUMMYFUNCTION("""COMPUTED_VALUE"""),24334.3)</f>
        <v>24334.3</v>
      </c>
      <c r="D28" s="103" t="str">
        <f t="shared" si="3"/>
        <v>UP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85">
        <f>IFERROR(__xludf.DUMMYFUNCTION("""COMPUTED_VALUE"""),46219.64583333333)</f>
        <v>46219.64583</v>
      </c>
      <c r="R28" s="5">
        <f>IFERROR(__xludf.DUMMYFUNCTION("""COMPUTED_VALUE"""),1031.2)</f>
        <v>1031.2</v>
      </c>
      <c r="S28" s="103" t="str">
        <f t="shared" si="4"/>
        <v>UP</v>
      </c>
      <c r="T28" s="5"/>
      <c r="U28" s="5"/>
      <c r="V28" s="5"/>
      <c r="W28" s="5"/>
      <c r="X28" s="5"/>
      <c r="Y28" s="5"/>
      <c r="Z28" s="5"/>
    </row>
    <row r="29">
      <c r="A29" s="5"/>
      <c r="B29" s="85">
        <f>IFERROR(__xludf.DUMMYFUNCTION("""COMPUTED_VALUE"""),46223.64583333333)</f>
        <v>46223.64583</v>
      </c>
      <c r="C29" s="5">
        <f>IFERROR(__xludf.DUMMYFUNCTION("""COMPUTED_VALUE"""),24238.5)</f>
        <v>24238.5</v>
      </c>
      <c r="D29" s="103" t="str">
        <f t="shared" si="3"/>
        <v>DOWN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85">
        <f>IFERROR(__xludf.DUMMYFUNCTION("""COMPUTED_VALUE"""),46220.64583333333)</f>
        <v>46220.64583</v>
      </c>
      <c r="R29" s="5">
        <f>IFERROR(__xludf.DUMMYFUNCTION("""COMPUTED_VALUE"""),1044.3)</f>
        <v>1044.3</v>
      </c>
      <c r="S29" s="103" t="str">
        <f t="shared" si="4"/>
        <v>UP</v>
      </c>
      <c r="T29" s="5"/>
      <c r="U29" s="5"/>
      <c r="V29" s="5"/>
      <c r="W29" s="5"/>
      <c r="X29" s="5"/>
      <c r="Y29" s="5"/>
      <c r="Z29" s="5"/>
    </row>
    <row r="30">
      <c r="A30" s="5"/>
      <c r="B30" s="85">
        <f>IFERROR(__xludf.DUMMYFUNCTION("""COMPUTED_VALUE"""),46224.64583333333)</f>
        <v>46224.64583</v>
      </c>
      <c r="C30" s="5">
        <f>IFERROR(__xludf.DUMMYFUNCTION("""COMPUTED_VALUE"""),24187.7)</f>
        <v>24187.7</v>
      </c>
      <c r="D30" s="97" t="str">
        <f t="shared" si="3"/>
        <v>DOWN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85">
        <f>IFERROR(__xludf.DUMMYFUNCTION("""COMPUTED_VALUE"""),46223.64583333333)</f>
        <v>46223.64583</v>
      </c>
      <c r="R30" s="5">
        <f>IFERROR(__xludf.DUMMYFUNCTION("""COMPUTED_VALUE"""),1060.0)</f>
        <v>1060</v>
      </c>
      <c r="S30" s="97" t="str">
        <f t="shared" si="4"/>
        <v>UP</v>
      </c>
      <c r="T30" s="5"/>
      <c r="U30" s="5"/>
      <c r="V30" s="5"/>
      <c r="W30" s="5"/>
      <c r="X30" s="5"/>
      <c r="Y30" s="5"/>
      <c r="Z30" s="5"/>
    </row>
    <row r="31">
      <c r="A31" s="5"/>
      <c r="B31" s="85">
        <f>IFERROR(__xludf.DUMMYFUNCTION("""COMPUTED_VALUE"""),46225.64583333333)</f>
        <v>46225.64583</v>
      </c>
      <c r="C31" s="5">
        <f>IFERROR(__xludf.DUMMYFUNCTION("""COMPUTED_VALUE"""),23996.25)</f>
        <v>23996.25</v>
      </c>
      <c r="D31" s="103" t="str">
        <f t="shared" si="3"/>
        <v>DOWN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85">
        <f>IFERROR(__xludf.DUMMYFUNCTION("""COMPUTED_VALUE"""),46224.64583333333)</f>
        <v>46224.64583</v>
      </c>
      <c r="R31" s="5">
        <f>IFERROR(__xludf.DUMMYFUNCTION("""COMPUTED_VALUE"""),1044.4)</f>
        <v>1044.4</v>
      </c>
      <c r="S31" s="103" t="str">
        <f t="shared" si="4"/>
        <v>DOWN</v>
      </c>
      <c r="T31" s="5"/>
      <c r="U31" s="5"/>
      <c r="V31" s="5"/>
      <c r="W31" s="5"/>
      <c r="X31" s="5"/>
      <c r="Y31" s="5"/>
      <c r="Z31" s="5"/>
    </row>
    <row r="32">
      <c r="A32" s="5"/>
      <c r="B32" s="85">
        <f>IFERROR(__xludf.DUMMYFUNCTION("""COMPUTED_VALUE"""),46226.64583333333)</f>
        <v>46226.64583</v>
      </c>
      <c r="C32" s="5">
        <f>IFERROR(__xludf.DUMMYFUNCTION("""COMPUTED_VALUE"""),23869.6)</f>
        <v>23869.6</v>
      </c>
      <c r="D32" s="103" t="str">
        <f t="shared" si="3"/>
        <v>DOWN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85">
        <f>IFERROR(__xludf.DUMMYFUNCTION("""COMPUTED_VALUE"""),46225.64583333333)</f>
        <v>46225.64583</v>
      </c>
      <c r="R32" s="5">
        <f>IFERROR(__xludf.DUMMYFUNCTION("""COMPUTED_VALUE"""),1025.0)</f>
        <v>1025</v>
      </c>
      <c r="S32" s="103" t="str">
        <f t="shared" si="4"/>
        <v>DOWN</v>
      </c>
      <c r="T32" s="5"/>
      <c r="U32" s="5"/>
      <c r="V32" s="5"/>
      <c r="W32" s="5"/>
      <c r="X32" s="5"/>
      <c r="Y32" s="5"/>
      <c r="Z32" s="5"/>
    </row>
    <row r="33">
      <c r="A33" s="5"/>
      <c r="B33" s="85">
        <f>IFERROR(__xludf.DUMMYFUNCTION("""COMPUTED_VALUE"""),46227.64583333333)</f>
        <v>46227.64583</v>
      </c>
      <c r="C33" s="5">
        <f>IFERROR(__xludf.DUMMYFUNCTION("""COMPUTED_VALUE"""),23767.45)</f>
        <v>23767.45</v>
      </c>
      <c r="D33" s="97" t="str">
        <f t="shared" si="3"/>
        <v>DOWN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85">
        <f>IFERROR(__xludf.DUMMYFUNCTION("""COMPUTED_VALUE"""),46226.64583333333)</f>
        <v>46226.64583</v>
      </c>
      <c r="R33" s="5">
        <f>IFERROR(__xludf.DUMMYFUNCTION("""COMPUTED_VALUE"""),1012.6)</f>
        <v>1012.6</v>
      </c>
      <c r="S33" s="97" t="str">
        <f t="shared" si="4"/>
        <v>DOWN</v>
      </c>
      <c r="T33" s="5"/>
      <c r="U33" s="5"/>
      <c r="V33" s="5"/>
      <c r="W33" s="5"/>
      <c r="X33" s="5"/>
      <c r="Y33" s="5"/>
      <c r="Z33" s="5"/>
    </row>
    <row r="34">
      <c r="A34" s="5"/>
      <c r="B34" s="85">
        <f>IFERROR(__xludf.DUMMYFUNCTION("""COMPUTED_VALUE"""),46230.64583333333)</f>
        <v>46230.64583</v>
      </c>
      <c r="C34" s="5">
        <f>IFERROR(__xludf.DUMMYFUNCTION("""COMPUTED_VALUE"""),23995.95)</f>
        <v>23995.95</v>
      </c>
      <c r="D34" s="97" t="str">
        <f t="shared" si="3"/>
        <v>UP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85">
        <f>IFERROR(__xludf.DUMMYFUNCTION("""COMPUTED_VALUE"""),46227.64583333333)</f>
        <v>46227.64583</v>
      </c>
      <c r="R34" s="5">
        <f>IFERROR(__xludf.DUMMYFUNCTION("""COMPUTED_VALUE"""),1015.0)</f>
        <v>1015</v>
      </c>
      <c r="S34" s="97" t="str">
        <f t="shared" si="4"/>
        <v>UP</v>
      </c>
      <c r="T34" s="5"/>
      <c r="U34" s="5"/>
      <c r="V34" s="5"/>
      <c r="W34" s="5"/>
      <c r="X34" s="5"/>
      <c r="Y34" s="5"/>
      <c r="Z34" s="5"/>
    </row>
    <row r="35">
      <c r="A35" s="5"/>
      <c r="B35" s="85">
        <f>IFERROR(__xludf.DUMMYFUNCTION("""COMPUTED_VALUE"""),46231.64583333333)</f>
        <v>46231.64583</v>
      </c>
      <c r="C35" s="5">
        <f>IFERROR(__xludf.DUMMYFUNCTION("""COMPUTED_VALUE"""),23985.35)</f>
        <v>23985.35</v>
      </c>
      <c r="D35" s="97" t="str">
        <f t="shared" si="3"/>
        <v>DOWN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85">
        <f>IFERROR(__xludf.DUMMYFUNCTION("""COMPUTED_VALUE"""),46230.64583333333)</f>
        <v>46230.64583</v>
      </c>
      <c r="R35" s="5">
        <f>IFERROR(__xludf.DUMMYFUNCTION("""COMPUTED_VALUE"""),1020.6)</f>
        <v>1020.6</v>
      </c>
      <c r="S35" s="97" t="str">
        <f t="shared" si="4"/>
        <v>UP</v>
      </c>
      <c r="T35" s="5"/>
      <c r="U35" s="5"/>
      <c r="V35" s="5"/>
      <c r="W35" s="5"/>
      <c r="X35" s="5"/>
      <c r="Y35" s="5"/>
      <c r="Z35" s="5"/>
    </row>
    <row r="36">
      <c r="A36" s="5"/>
      <c r="B36" s="85">
        <f>IFERROR(__xludf.DUMMYFUNCTION("""COMPUTED_VALUE"""),46232.64583333333)</f>
        <v>46232.64583</v>
      </c>
      <c r="C36" s="5">
        <f>IFERROR(__xludf.DUMMYFUNCTION("""COMPUTED_VALUE"""),24250.2)</f>
        <v>24250.2</v>
      </c>
      <c r="D36" s="103" t="str">
        <f t="shared" si="3"/>
        <v>UP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85">
        <f>IFERROR(__xludf.DUMMYFUNCTION("""COMPUTED_VALUE"""),46231.64583333333)</f>
        <v>46231.64583</v>
      </c>
      <c r="R36" s="5">
        <f>IFERROR(__xludf.DUMMYFUNCTION("""COMPUTED_VALUE"""),1013.2)</f>
        <v>1013.2</v>
      </c>
      <c r="S36" s="103" t="str">
        <f t="shared" si="4"/>
        <v>DOWN</v>
      </c>
      <c r="T36" s="5"/>
      <c r="U36" s="5"/>
      <c r="V36" s="5"/>
      <c r="W36" s="5"/>
      <c r="X36" s="5"/>
      <c r="Y36" s="5"/>
      <c r="Z36" s="5"/>
    </row>
    <row r="37">
      <c r="A37" s="5"/>
      <c r="B37" s="85">
        <f>IFERROR(__xludf.DUMMYFUNCTION("""COMPUTED_VALUE"""),46233.64583333333)</f>
        <v>46233.64583</v>
      </c>
      <c r="C37" s="5">
        <f>IFERROR(__xludf.DUMMYFUNCTION("""COMPUTED_VALUE"""),24317.15)</f>
        <v>24317.15</v>
      </c>
      <c r="D37" s="103" t="str">
        <f t="shared" si="3"/>
        <v>UP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85">
        <f>IFERROR(__xludf.DUMMYFUNCTION("""COMPUTED_VALUE"""),46232.64583333333)</f>
        <v>46232.64583</v>
      </c>
      <c r="R37" s="5">
        <f>IFERROR(__xludf.DUMMYFUNCTION("""COMPUTED_VALUE"""),1013.7)</f>
        <v>1013.7</v>
      </c>
      <c r="S37" s="103" t="str">
        <f t="shared" si="4"/>
        <v>UP</v>
      </c>
      <c r="T37" s="5"/>
      <c r="U37" s="5"/>
      <c r="V37" s="5"/>
      <c r="W37" s="5"/>
      <c r="X37" s="5"/>
      <c r="Y37" s="5"/>
      <c r="Z37" s="5"/>
    </row>
    <row r="38">
      <c r="A38" s="5"/>
      <c r="B38" s="85">
        <f>IFERROR(__xludf.DUMMYFUNCTION("""COMPUTED_VALUE"""),46234.64583333333)</f>
        <v>46234.64583</v>
      </c>
      <c r="C38" s="5">
        <f>IFERROR(__xludf.DUMMYFUNCTION("""COMPUTED_VALUE"""),24383.6)</f>
        <v>24383.6</v>
      </c>
      <c r="D38" s="97" t="str">
        <f t="shared" si="3"/>
        <v>UP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85">
        <f>IFERROR(__xludf.DUMMYFUNCTION("""COMPUTED_VALUE"""),46233.64583333333)</f>
        <v>46233.64583</v>
      </c>
      <c r="R38" s="5">
        <f>IFERROR(__xludf.DUMMYFUNCTION("""COMPUTED_VALUE"""),1025.3)</f>
        <v>1025.3</v>
      </c>
      <c r="S38" s="97" t="str">
        <f t="shared" si="4"/>
        <v>UP</v>
      </c>
      <c r="T38" s="5"/>
      <c r="U38" s="5"/>
      <c r="V38" s="5"/>
      <c r="W38" s="5"/>
      <c r="X38" s="5"/>
      <c r="Y38" s="5"/>
      <c r="Z38" s="5"/>
    </row>
    <row r="39">
      <c r="A39" s="5"/>
      <c r="B39" s="85">
        <f>IFERROR(__xludf.DUMMYFUNCTION("""COMPUTED_VALUE"""),46237.64583333333)</f>
        <v>46237.64583</v>
      </c>
      <c r="C39" s="5">
        <f>IFERROR(__xludf.DUMMYFUNCTION("""COMPUTED_VALUE"""),24774.3)</f>
        <v>24774.3</v>
      </c>
      <c r="D39" s="103" t="str">
        <f t="shared" si="3"/>
        <v>UP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85">
        <f>IFERROR(__xludf.DUMMYFUNCTION("""COMPUTED_VALUE"""),46234.64583333333)</f>
        <v>46234.64583</v>
      </c>
      <c r="R39" s="5">
        <f>IFERROR(__xludf.DUMMYFUNCTION("""COMPUTED_VALUE"""),1027.4)</f>
        <v>1027.4</v>
      </c>
      <c r="S39" s="103" t="str">
        <f t="shared" si="4"/>
        <v>UP</v>
      </c>
      <c r="T39" s="5"/>
      <c r="U39" s="5"/>
      <c r="V39" s="5"/>
      <c r="W39" s="5"/>
      <c r="X39" s="5"/>
      <c r="Y39" s="5"/>
      <c r="Z39" s="5"/>
    </row>
    <row r="40">
      <c r="A40" s="5"/>
      <c r="B40" s="85">
        <f>IFERROR(__xludf.DUMMYFUNCTION("""COMPUTED_VALUE"""),46238.64583333333)</f>
        <v>46238.64583</v>
      </c>
      <c r="C40" s="5">
        <f>IFERROR(__xludf.DUMMYFUNCTION("""COMPUTED_VALUE"""),24614.9)</f>
        <v>24614.9</v>
      </c>
      <c r="D40" s="97" t="str">
        <f t="shared" si="3"/>
        <v>DOWN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85">
        <f>IFERROR(__xludf.DUMMYFUNCTION("""COMPUTED_VALUE"""),46237.64583333333)</f>
        <v>46237.64583</v>
      </c>
      <c r="R40" s="5">
        <f>IFERROR(__xludf.DUMMYFUNCTION("""COMPUTED_VALUE"""),1045.0)</f>
        <v>1045</v>
      </c>
      <c r="S40" s="97" t="str">
        <f t="shared" si="4"/>
        <v>UP</v>
      </c>
      <c r="T40" s="5"/>
      <c r="U40" s="5"/>
      <c r="V40" s="5"/>
      <c r="W40" s="5"/>
      <c r="X40" s="5"/>
      <c r="Y40" s="5"/>
      <c r="Z40" s="5"/>
    </row>
    <row r="41">
      <c r="A41" s="5"/>
      <c r="B41" s="85">
        <f>IFERROR(__xludf.DUMMYFUNCTION("""COMPUTED_VALUE"""),46239.64583333333)</f>
        <v>46239.64583</v>
      </c>
      <c r="C41" s="5">
        <f>IFERROR(__xludf.DUMMYFUNCTION("""COMPUTED_VALUE"""),24624.65)</f>
        <v>24624.65</v>
      </c>
      <c r="D41" s="103" t="str">
        <f t="shared" si="3"/>
        <v>UP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85">
        <f>IFERROR(__xludf.DUMMYFUNCTION("""COMPUTED_VALUE"""),46238.64583333333)</f>
        <v>46238.64583</v>
      </c>
      <c r="R41" s="5">
        <f>IFERROR(__xludf.DUMMYFUNCTION("""COMPUTED_VALUE"""),1042.7)</f>
        <v>1042.7</v>
      </c>
      <c r="S41" s="103" t="str">
        <f t="shared" si="4"/>
        <v>DOWN</v>
      </c>
      <c r="T41" s="5"/>
      <c r="U41" s="5"/>
      <c r="V41" s="5"/>
      <c r="W41" s="5"/>
      <c r="X41" s="5"/>
      <c r="Y41" s="5"/>
      <c r="Z41" s="5"/>
    </row>
    <row r="42">
      <c r="A42" s="5"/>
      <c r="B42" s="85">
        <f>IFERROR(__xludf.DUMMYFUNCTION("""COMPUTED_VALUE"""),46240.64583333333)</f>
        <v>46240.64583</v>
      </c>
      <c r="C42" s="5">
        <f>IFERROR(__xludf.DUMMYFUNCTION("""COMPUTED_VALUE"""),24636.0)</f>
        <v>24636</v>
      </c>
      <c r="D42" s="103" t="str">
        <f t="shared" si="3"/>
        <v>UP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85">
        <f>IFERROR(__xludf.DUMMYFUNCTION("""COMPUTED_VALUE"""),46239.64583333333)</f>
        <v>46239.64583</v>
      </c>
      <c r="R42" s="5">
        <f>IFERROR(__xludf.DUMMYFUNCTION("""COMPUTED_VALUE"""),1055.0)</f>
        <v>1055</v>
      </c>
      <c r="S42" s="103" t="str">
        <f t="shared" si="4"/>
        <v>UP</v>
      </c>
      <c r="T42" s="5"/>
      <c r="U42" s="5"/>
      <c r="V42" s="5"/>
      <c r="W42" s="5"/>
      <c r="X42" s="5"/>
      <c r="Y42" s="5"/>
      <c r="Z42" s="5"/>
    </row>
    <row r="43">
      <c r="A43" s="5"/>
      <c r="B43" s="85">
        <f>IFERROR(__xludf.DUMMYFUNCTION("""COMPUTED_VALUE"""),46241.64583333333)</f>
        <v>46241.64583</v>
      </c>
      <c r="C43" s="5">
        <f>IFERROR(__xludf.DUMMYFUNCTION("""COMPUTED_VALUE"""),24570.65)</f>
        <v>24570.65</v>
      </c>
      <c r="D43" s="97" t="str">
        <f t="shared" si="3"/>
        <v>DOWN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85">
        <f>IFERROR(__xludf.DUMMYFUNCTION("""COMPUTED_VALUE"""),46240.64583333333)</f>
        <v>46240.64583</v>
      </c>
      <c r="R43" s="5">
        <f>IFERROR(__xludf.DUMMYFUNCTION("""COMPUTED_VALUE"""),1085.0)</f>
        <v>1085</v>
      </c>
      <c r="S43" s="97" t="str">
        <f t="shared" si="4"/>
        <v>UP</v>
      </c>
      <c r="T43" s="5"/>
      <c r="U43" s="5"/>
      <c r="V43" s="5"/>
      <c r="W43" s="5"/>
      <c r="X43" s="5"/>
      <c r="Y43" s="5"/>
      <c r="Z43" s="5"/>
    </row>
    <row r="44">
      <c r="A44" s="5"/>
      <c r="B44" s="85">
        <f>IFERROR(__xludf.DUMMYFUNCTION("""COMPUTED_VALUE"""),46244.64583333333)</f>
        <v>46244.64583</v>
      </c>
      <c r="C44" s="5">
        <f>IFERROR(__xludf.DUMMYFUNCTION("""COMPUTED_VALUE"""),24583.8)</f>
        <v>24583.8</v>
      </c>
      <c r="D44" s="97" t="str">
        <f t="shared" si="3"/>
        <v>UP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85">
        <f>IFERROR(__xludf.DUMMYFUNCTION("""COMPUTED_VALUE"""),46241.64583333333)</f>
        <v>46241.64583</v>
      </c>
      <c r="R44" s="5">
        <f>IFERROR(__xludf.DUMMYFUNCTION("""COMPUTED_VALUE"""),1097.2)</f>
        <v>1097.2</v>
      </c>
      <c r="S44" s="97" t="str">
        <f t="shared" si="4"/>
        <v>UP</v>
      </c>
      <c r="T44" s="5"/>
      <c r="U44" s="5"/>
      <c r="V44" s="5"/>
      <c r="W44" s="5"/>
      <c r="X44" s="5"/>
      <c r="Y44" s="5"/>
      <c r="Z44" s="5"/>
    </row>
    <row r="45">
      <c r="A45" s="5"/>
      <c r="B45" s="85">
        <f>IFERROR(__xludf.DUMMYFUNCTION("""COMPUTED_VALUE"""),46245.64583333333)</f>
        <v>46245.64583</v>
      </c>
      <c r="C45" s="5">
        <f>IFERROR(__xludf.DUMMYFUNCTION("""COMPUTED_VALUE"""),24471.7)</f>
        <v>24471.7</v>
      </c>
      <c r="D45" s="97" t="str">
        <f t="shared" si="3"/>
        <v>DOWN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85">
        <f>IFERROR(__xludf.DUMMYFUNCTION("""COMPUTED_VALUE"""),46244.64583333333)</f>
        <v>46244.64583</v>
      </c>
      <c r="R45" s="5">
        <f>IFERROR(__xludf.DUMMYFUNCTION("""COMPUTED_VALUE"""),1071.0)</f>
        <v>1071</v>
      </c>
      <c r="S45" s="97" t="str">
        <f t="shared" si="4"/>
        <v>DOWN</v>
      </c>
      <c r="T45" s="5"/>
      <c r="U45" s="5"/>
      <c r="V45" s="5"/>
      <c r="W45" s="5"/>
      <c r="X45" s="5"/>
      <c r="Y45" s="5"/>
      <c r="Z45" s="5"/>
    </row>
    <row r="46">
      <c r="A46" s="5"/>
      <c r="B46" s="85">
        <f>IFERROR(__xludf.DUMMYFUNCTION("""COMPUTED_VALUE"""),46246.64583333333)</f>
        <v>46246.64583</v>
      </c>
      <c r="C46" s="5">
        <f>IFERROR(__xludf.DUMMYFUNCTION("""COMPUTED_VALUE"""),24435.95)</f>
        <v>24435.95</v>
      </c>
      <c r="D46" s="97" t="str">
        <f t="shared" si="3"/>
        <v>DOWN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85">
        <f>IFERROR(__xludf.DUMMYFUNCTION("""COMPUTED_VALUE"""),46245.64583333333)</f>
        <v>46245.64583</v>
      </c>
      <c r="R46" s="5">
        <f>IFERROR(__xludf.DUMMYFUNCTION("""COMPUTED_VALUE"""),1066.0)</f>
        <v>1066</v>
      </c>
      <c r="S46" s="97" t="str">
        <f t="shared" si="4"/>
        <v>DOWN</v>
      </c>
      <c r="T46" s="5"/>
      <c r="U46" s="5"/>
      <c r="V46" s="5"/>
      <c r="W46" s="5"/>
      <c r="X46" s="5"/>
      <c r="Y46" s="5"/>
      <c r="Z46" s="5"/>
    </row>
    <row r="47">
      <c r="A47" s="5"/>
      <c r="B47" s="85">
        <f>IFERROR(__xludf.DUMMYFUNCTION("""COMPUTED_VALUE"""),46247.64583333333)</f>
        <v>46247.64583</v>
      </c>
      <c r="C47" s="5">
        <f>IFERROR(__xludf.DUMMYFUNCTION("""COMPUTED_VALUE"""),24395.85)</f>
        <v>24395.85</v>
      </c>
      <c r="D47" s="103" t="str">
        <f t="shared" si="3"/>
        <v>DOWN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85">
        <f>IFERROR(__xludf.DUMMYFUNCTION("""COMPUTED_VALUE"""),46246.64583333333)</f>
        <v>46246.64583</v>
      </c>
      <c r="R47" s="5">
        <f>IFERROR(__xludf.DUMMYFUNCTION("""COMPUTED_VALUE"""),1082.0)</f>
        <v>1082</v>
      </c>
      <c r="S47" s="103" t="str">
        <f t="shared" si="4"/>
        <v>UP</v>
      </c>
      <c r="T47" s="5"/>
      <c r="U47" s="5"/>
      <c r="V47" s="5"/>
      <c r="W47" s="5"/>
      <c r="X47" s="5"/>
      <c r="Y47" s="5"/>
      <c r="Z47" s="5"/>
    </row>
    <row r="48">
      <c r="A48" s="5"/>
      <c r="B48" s="85">
        <f>IFERROR(__xludf.DUMMYFUNCTION("""COMPUTED_VALUE"""),46248.64583333333)</f>
        <v>46248.64583</v>
      </c>
      <c r="C48" s="5">
        <f>IFERROR(__xludf.DUMMYFUNCTION("""COMPUTED_VALUE"""),24366.0)</f>
        <v>24366</v>
      </c>
      <c r="D48" s="103" t="str">
        <f t="shared" si="3"/>
        <v>DOWN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85">
        <f>IFERROR(__xludf.DUMMYFUNCTION("""COMPUTED_VALUE"""),46247.64583333333)</f>
        <v>46247.64583</v>
      </c>
      <c r="R48" s="5">
        <f>IFERROR(__xludf.DUMMYFUNCTION("""COMPUTED_VALUE"""),1083.0)</f>
        <v>1083</v>
      </c>
      <c r="S48" s="103" t="str">
        <f t="shared" si="4"/>
        <v>UP</v>
      </c>
      <c r="T48" s="5"/>
      <c r="U48" s="5"/>
      <c r="V48" s="5"/>
      <c r="W48" s="5"/>
      <c r="X48" s="5"/>
      <c r="Y48" s="5"/>
      <c r="Z48" s="5"/>
    </row>
    <row r="49">
      <c r="A49" s="5"/>
      <c r="B49" s="85">
        <f>IFERROR(__xludf.DUMMYFUNCTION("""COMPUTED_VALUE"""),46251.64583333333)</f>
        <v>46251.64583</v>
      </c>
      <c r="C49" s="5">
        <f>IFERROR(__xludf.DUMMYFUNCTION("""COMPUTED_VALUE"""),24287.65)</f>
        <v>24287.65</v>
      </c>
      <c r="D49" s="103" t="str">
        <f t="shared" si="3"/>
        <v>DOWN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85">
        <f>IFERROR(__xludf.DUMMYFUNCTION("""COMPUTED_VALUE"""),46248.64583333333)</f>
        <v>46248.64583</v>
      </c>
      <c r="R49" s="5">
        <f>IFERROR(__xludf.DUMMYFUNCTION("""COMPUTED_VALUE"""),1067.7)</f>
        <v>1067.7</v>
      </c>
      <c r="S49" s="103" t="str">
        <f t="shared" si="4"/>
        <v>DOWN</v>
      </c>
      <c r="T49" s="5"/>
      <c r="U49" s="5"/>
      <c r="V49" s="5"/>
      <c r="W49" s="5"/>
      <c r="X49" s="5"/>
      <c r="Y49" s="5"/>
      <c r="Z49" s="5"/>
    </row>
    <row r="50">
      <c r="A50" s="5"/>
      <c r="B50" s="85">
        <f>IFERROR(__xludf.DUMMYFUNCTION("""COMPUTED_VALUE"""),46252.64583333333)</f>
        <v>46252.64583</v>
      </c>
      <c r="C50" s="5">
        <f>IFERROR(__xludf.DUMMYFUNCTION("""COMPUTED_VALUE"""),24154.9)</f>
        <v>24154.9</v>
      </c>
      <c r="D50" s="97" t="str">
        <f t="shared" si="3"/>
        <v>DOWN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85">
        <f>IFERROR(__xludf.DUMMYFUNCTION("""COMPUTED_VALUE"""),46251.64583333333)</f>
        <v>46251.64583</v>
      </c>
      <c r="R50" s="5">
        <f>IFERROR(__xludf.DUMMYFUNCTION("""COMPUTED_VALUE"""),1061.2)</f>
        <v>1061.2</v>
      </c>
      <c r="S50" s="97" t="str">
        <f t="shared" si="4"/>
        <v>DOWN</v>
      </c>
      <c r="T50" s="5"/>
      <c r="U50" s="5"/>
      <c r="V50" s="5"/>
      <c r="W50" s="5"/>
      <c r="X50" s="5"/>
      <c r="Y50" s="5"/>
      <c r="Z50" s="5"/>
    </row>
    <row r="51">
      <c r="A51" s="5"/>
      <c r="B51" s="85">
        <f>IFERROR(__xludf.DUMMYFUNCTION("""COMPUTED_VALUE"""),46253.64583333333)</f>
        <v>46253.64583</v>
      </c>
      <c r="C51" s="5">
        <f>IFERROR(__xludf.DUMMYFUNCTION("""COMPUTED_VALUE"""),24078.3)</f>
        <v>24078.3</v>
      </c>
      <c r="D51" s="103" t="str">
        <f t="shared" si="3"/>
        <v>DOWN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85">
        <f>IFERROR(__xludf.DUMMYFUNCTION("""COMPUTED_VALUE"""),46252.64583333333)</f>
        <v>46252.64583</v>
      </c>
      <c r="R51" s="5">
        <f>IFERROR(__xludf.DUMMYFUNCTION("""COMPUTED_VALUE"""),1053.0)</f>
        <v>1053</v>
      </c>
      <c r="S51" s="103" t="str">
        <f t="shared" si="4"/>
        <v>DOWN</v>
      </c>
      <c r="T51" s="5"/>
      <c r="U51" s="5"/>
      <c r="V51" s="5"/>
      <c r="W51" s="5"/>
      <c r="X51" s="5"/>
      <c r="Y51" s="5"/>
      <c r="Z51" s="5"/>
    </row>
    <row r="52">
      <c r="A52" s="5"/>
      <c r="B52" s="85">
        <f>IFERROR(__xludf.DUMMYFUNCTION("""COMPUTED_VALUE"""),46254.64583333333)</f>
        <v>46254.64583</v>
      </c>
      <c r="C52" s="5">
        <f>IFERROR(__xludf.DUMMYFUNCTION("""COMPUTED_VALUE"""),24231.85)</f>
        <v>24231.85</v>
      </c>
      <c r="D52" s="97" t="str">
        <f t="shared" si="3"/>
        <v>UP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85">
        <f>IFERROR(__xludf.DUMMYFUNCTION("""COMPUTED_VALUE"""),46253.64583333333)</f>
        <v>46253.64583</v>
      </c>
      <c r="R52" s="5">
        <f>IFERROR(__xludf.DUMMYFUNCTION("""COMPUTED_VALUE"""),1048.6)</f>
        <v>1048.6</v>
      </c>
      <c r="S52" s="97" t="str">
        <f t="shared" si="4"/>
        <v>DOWN</v>
      </c>
      <c r="T52" s="5"/>
      <c r="U52" s="5"/>
      <c r="V52" s="5"/>
      <c r="W52" s="5"/>
      <c r="X52" s="5"/>
      <c r="Y52" s="5"/>
      <c r="Z52" s="5"/>
    </row>
    <row r="53">
      <c r="A53" s="5"/>
      <c r="B53" s="85">
        <f>IFERROR(__xludf.DUMMYFUNCTION("""COMPUTED_VALUE"""),46255.64583333333)</f>
        <v>46255.64583</v>
      </c>
      <c r="C53" s="5">
        <f>IFERROR(__xludf.DUMMYFUNCTION("""COMPUTED_VALUE"""),24252.0)</f>
        <v>24252</v>
      </c>
      <c r="D53" s="103" t="str">
        <f t="shared" si="3"/>
        <v>UP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85">
        <f>IFERROR(__xludf.DUMMYFUNCTION("""COMPUTED_VALUE"""),46254.64583333333)</f>
        <v>46254.64583</v>
      </c>
      <c r="R53" s="5">
        <f>IFERROR(__xludf.DUMMYFUNCTION("""COMPUTED_VALUE"""),1048.0)</f>
        <v>1048</v>
      </c>
      <c r="S53" s="103" t="str">
        <f t="shared" si="4"/>
        <v>DOWN</v>
      </c>
      <c r="T53" s="5"/>
      <c r="U53" s="5"/>
      <c r="V53" s="5"/>
      <c r="W53" s="5"/>
      <c r="X53" s="5"/>
      <c r="Y53" s="5"/>
      <c r="Z53" s="5"/>
    </row>
    <row r="54">
      <c r="A54" s="5"/>
      <c r="B54" s="85">
        <f>IFERROR(__xludf.DUMMYFUNCTION("""COMPUTED_VALUE"""),46258.64583333333)</f>
        <v>46258.64583</v>
      </c>
      <c r="C54" s="5">
        <f>IFERROR(__xludf.DUMMYFUNCTION("""COMPUTED_VALUE"""),24219.05)</f>
        <v>24219.05</v>
      </c>
      <c r="D54" s="103" t="str">
        <f t="shared" si="3"/>
        <v>DOWN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85">
        <f>IFERROR(__xludf.DUMMYFUNCTION("""COMPUTED_VALUE"""),46255.64583333333)</f>
        <v>46255.64583</v>
      </c>
      <c r="R54" s="5">
        <f>IFERROR(__xludf.DUMMYFUNCTION("""COMPUTED_VALUE"""),1048.7)</f>
        <v>1048.7</v>
      </c>
      <c r="S54" s="103" t="str">
        <f t="shared" si="4"/>
        <v>UP</v>
      </c>
      <c r="T54" s="5"/>
      <c r="U54" s="5"/>
      <c r="V54" s="5"/>
      <c r="W54" s="5"/>
      <c r="X54" s="5"/>
      <c r="Y54" s="5"/>
      <c r="Z54" s="5"/>
    </row>
    <row r="55">
      <c r="A55" s="5"/>
      <c r="B55" s="85">
        <f>IFERROR(__xludf.DUMMYFUNCTION("""COMPUTED_VALUE"""),46259.64583333333)</f>
        <v>46259.64583</v>
      </c>
      <c r="C55" s="5">
        <f>IFERROR(__xludf.DUMMYFUNCTION("""COMPUTED_VALUE"""),24334.55)</f>
        <v>24334.55</v>
      </c>
      <c r="D55" s="103" t="str">
        <f t="shared" si="3"/>
        <v>UP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85">
        <f>IFERROR(__xludf.DUMMYFUNCTION("""COMPUTED_VALUE"""),46258.64583333333)</f>
        <v>46258.64583</v>
      </c>
      <c r="R55" s="5">
        <f>IFERROR(__xludf.DUMMYFUNCTION("""COMPUTED_VALUE"""),1039.5)</f>
        <v>1039.5</v>
      </c>
      <c r="S55" s="103" t="str">
        <f t="shared" si="4"/>
        <v>DOWN</v>
      </c>
      <c r="T55" s="5"/>
      <c r="U55" s="5"/>
      <c r="V55" s="5"/>
      <c r="W55" s="5"/>
      <c r="X55" s="5"/>
      <c r="Y55" s="5"/>
      <c r="Z55" s="5"/>
    </row>
    <row r="56">
      <c r="A56" s="5"/>
      <c r="B56" s="85">
        <f>IFERROR(__xludf.DUMMYFUNCTION("""COMPUTED_VALUE"""),46260.64583333333)</f>
        <v>46260.64583</v>
      </c>
      <c r="C56" s="5">
        <f>IFERROR(__xludf.DUMMYFUNCTION("""COMPUTED_VALUE"""),24207.75)</f>
        <v>24207.75</v>
      </c>
      <c r="D56" s="97" t="str">
        <f t="shared" si="3"/>
        <v>DOWN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85">
        <f>IFERROR(__xludf.DUMMYFUNCTION("""COMPUTED_VALUE"""),46259.64583333333)</f>
        <v>46259.64583</v>
      </c>
      <c r="R56" s="5">
        <f>IFERROR(__xludf.DUMMYFUNCTION("""COMPUTED_VALUE"""),1048.0)</f>
        <v>1048</v>
      </c>
      <c r="S56" s="97" t="str">
        <f t="shared" si="4"/>
        <v>UP</v>
      </c>
      <c r="T56" s="5"/>
      <c r="U56" s="5"/>
      <c r="V56" s="5"/>
      <c r="W56" s="5"/>
      <c r="X56" s="5"/>
      <c r="Y56" s="5"/>
      <c r="Z56" s="5"/>
    </row>
    <row r="57">
      <c r="A57" s="5"/>
      <c r="B57" s="85">
        <f>IFERROR(__xludf.DUMMYFUNCTION("""COMPUTED_VALUE"""),46261.64583333333)</f>
        <v>46261.64583</v>
      </c>
      <c r="C57" s="5">
        <f>IFERROR(__xludf.DUMMYFUNCTION("""COMPUTED_VALUE"""),24090.85)</f>
        <v>24090.85</v>
      </c>
      <c r="D57" s="103" t="str">
        <f t="shared" si="3"/>
        <v>DOWN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85">
        <f>IFERROR(__xludf.DUMMYFUNCTION("""COMPUTED_VALUE"""),46260.64583333333)</f>
        <v>46260.64583</v>
      </c>
      <c r="R57" s="5">
        <f>IFERROR(__xludf.DUMMYFUNCTION("""COMPUTED_VALUE"""),1052.0)</f>
        <v>1052</v>
      </c>
      <c r="S57" s="103" t="str">
        <f t="shared" si="4"/>
        <v>UP</v>
      </c>
      <c r="T57" s="5"/>
      <c r="U57" s="5"/>
      <c r="V57" s="5"/>
      <c r="W57" s="5"/>
      <c r="X57" s="5"/>
      <c r="Y57" s="5"/>
      <c r="Z57" s="5"/>
    </row>
    <row r="58">
      <c r="A58" s="5"/>
      <c r="B58" s="85">
        <f>IFERROR(__xludf.DUMMYFUNCTION("""COMPUTED_VALUE"""),46262.64583333333)</f>
        <v>46262.64583</v>
      </c>
      <c r="C58" s="5">
        <f>IFERROR(__xludf.DUMMYFUNCTION("""COMPUTED_VALUE"""),24175.65)</f>
        <v>24175.65</v>
      </c>
      <c r="D58" s="103" t="str">
        <f t="shared" si="3"/>
        <v>UP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85">
        <f>IFERROR(__xludf.DUMMYFUNCTION("""COMPUTED_VALUE"""),46261.64583333333)</f>
        <v>46261.64583</v>
      </c>
      <c r="R58" s="5">
        <f>IFERROR(__xludf.DUMMYFUNCTION("""COMPUTED_VALUE"""),1042.9)</f>
        <v>1042.9</v>
      </c>
      <c r="S58" s="103" t="str">
        <f t="shared" si="4"/>
        <v>DOWN</v>
      </c>
      <c r="T58" s="5"/>
      <c r="U58" s="5"/>
      <c r="V58" s="5"/>
      <c r="W58" s="5"/>
      <c r="X58" s="5"/>
      <c r="Y58" s="5"/>
      <c r="Z58" s="5"/>
    </row>
    <row r="59">
      <c r="A59" s="5"/>
      <c r="B59" s="85">
        <f>IFERROR(__xludf.DUMMYFUNCTION("""COMPUTED_VALUE"""),46265.64583333333)</f>
        <v>46265.64583</v>
      </c>
      <c r="C59" s="5">
        <f>IFERROR(__xludf.DUMMYFUNCTION("""COMPUTED_VALUE"""),24080.4)</f>
        <v>24080.4</v>
      </c>
      <c r="D59" s="103" t="str">
        <f t="shared" si="3"/>
        <v>DOWN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85">
        <f>IFERROR(__xludf.DUMMYFUNCTION("""COMPUTED_VALUE"""),46262.64583333333)</f>
        <v>46262.64583</v>
      </c>
      <c r="R59" s="5">
        <f>IFERROR(__xludf.DUMMYFUNCTION("""COMPUTED_VALUE"""),1047.5)</f>
        <v>1047.5</v>
      </c>
      <c r="S59" s="103" t="str">
        <f t="shared" si="4"/>
        <v>UP</v>
      </c>
      <c r="T59" s="5"/>
      <c r="U59" s="5"/>
      <c r="V59" s="5"/>
      <c r="W59" s="5"/>
      <c r="X59" s="5"/>
      <c r="Y59" s="5"/>
      <c r="Z59" s="5"/>
    </row>
    <row r="60">
      <c r="A60" s="5"/>
      <c r="B60" s="85">
        <f>IFERROR(__xludf.DUMMYFUNCTION("""COMPUTED_VALUE"""),46266.64583333333)</f>
        <v>46266.64583</v>
      </c>
      <c r="C60" s="5">
        <f>IFERROR(__xludf.DUMMYFUNCTION("""COMPUTED_VALUE"""),24055.8)</f>
        <v>24055.8</v>
      </c>
      <c r="D60" s="103" t="str">
        <f t="shared" si="3"/>
        <v>DOWN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85">
        <f>IFERROR(__xludf.DUMMYFUNCTION("""COMPUTED_VALUE"""),46265.64583333333)</f>
        <v>46265.64583</v>
      </c>
      <c r="R60" s="5">
        <f>IFERROR(__xludf.DUMMYFUNCTION("""COMPUTED_VALUE"""),1060.0)</f>
        <v>1060</v>
      </c>
      <c r="S60" s="103" t="str">
        <f t="shared" si="4"/>
        <v>UP</v>
      </c>
      <c r="T60" s="5"/>
      <c r="U60" s="5"/>
      <c r="V60" s="5"/>
      <c r="W60" s="5"/>
      <c r="X60" s="5"/>
      <c r="Y60" s="5"/>
      <c r="Z60" s="5"/>
    </row>
    <row r="61">
      <c r="A61" s="5"/>
      <c r="B61" s="85">
        <f>IFERROR(__xludf.DUMMYFUNCTION("""COMPUTED_VALUE"""),46267.64583333333)</f>
        <v>46267.64583</v>
      </c>
      <c r="C61" s="5">
        <f>IFERROR(__xludf.DUMMYFUNCTION("""COMPUTED_VALUE"""),23914.45)</f>
        <v>23914.45</v>
      </c>
      <c r="D61" s="103" t="str">
        <f t="shared" si="3"/>
        <v>DOWN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85">
        <f>IFERROR(__xludf.DUMMYFUNCTION("""COMPUTED_VALUE"""),46266.64583333333)</f>
        <v>46266.64583</v>
      </c>
      <c r="R61" s="5">
        <f>IFERROR(__xludf.DUMMYFUNCTION("""COMPUTED_VALUE"""),1034.5)</f>
        <v>1034.5</v>
      </c>
      <c r="S61" s="103" t="str">
        <f t="shared" si="4"/>
        <v>DOWN</v>
      </c>
      <c r="T61" s="5"/>
      <c r="U61" s="5"/>
      <c r="V61" s="5"/>
      <c r="W61" s="5"/>
      <c r="X61" s="5"/>
      <c r="Y61" s="5"/>
      <c r="Z61" s="5"/>
    </row>
    <row r="62">
      <c r="A62" s="5"/>
      <c r="B62" s="85">
        <f>IFERROR(__xludf.DUMMYFUNCTION("""COMPUTED_VALUE"""),46268.64583333333)</f>
        <v>46268.64583</v>
      </c>
      <c r="C62" s="5">
        <f>IFERROR(__xludf.DUMMYFUNCTION("""COMPUTED_VALUE"""),23873.45)</f>
        <v>23873.45</v>
      </c>
      <c r="D62" s="97" t="str">
        <f t="shared" si="3"/>
        <v>DOWN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85">
        <f>IFERROR(__xludf.DUMMYFUNCTION("""COMPUTED_VALUE"""),46267.64583333333)</f>
        <v>46267.64583</v>
      </c>
      <c r="R62" s="5">
        <f>IFERROR(__xludf.DUMMYFUNCTION("""COMPUTED_VALUE"""),1020.9)</f>
        <v>1020.9</v>
      </c>
      <c r="S62" s="97" t="str">
        <f t="shared" si="4"/>
        <v>DOWN</v>
      </c>
      <c r="T62" s="5"/>
      <c r="U62" s="5"/>
      <c r="V62" s="5"/>
      <c r="W62" s="5"/>
      <c r="X62" s="5"/>
      <c r="Y62" s="5"/>
      <c r="Z62" s="5"/>
    </row>
    <row r="63">
      <c r="A63" s="5"/>
      <c r="B63" s="85">
        <f>IFERROR(__xludf.DUMMYFUNCTION("""COMPUTED_VALUE"""),46269.64583333333)</f>
        <v>46269.64583</v>
      </c>
      <c r="C63" s="5">
        <f>IFERROR(__xludf.DUMMYFUNCTION("""COMPUTED_VALUE"""),23897.7)</f>
        <v>23897.7</v>
      </c>
      <c r="D63" s="97" t="str">
        <f t="shared" si="3"/>
        <v>UP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85">
        <f>IFERROR(__xludf.DUMMYFUNCTION("""COMPUTED_VALUE"""),46268.64583333333)</f>
        <v>46268.64583</v>
      </c>
      <c r="R63" s="5">
        <f>IFERROR(__xludf.DUMMYFUNCTION("""COMPUTED_VALUE"""),1023.4)</f>
        <v>1023.4</v>
      </c>
      <c r="S63" s="97" t="str">
        <f t="shared" si="4"/>
        <v>UP</v>
      </c>
      <c r="T63" s="5"/>
      <c r="U63" s="5"/>
      <c r="V63" s="5"/>
      <c r="W63" s="5"/>
      <c r="X63" s="5"/>
      <c r="Y63" s="5"/>
      <c r="Z63" s="5"/>
    </row>
    <row r="64">
      <c r="A64" s="5"/>
      <c r="B64" s="85">
        <f>IFERROR(__xludf.DUMMYFUNCTION("""COMPUTED_VALUE"""),46272.64583333333)</f>
        <v>46272.64583</v>
      </c>
      <c r="C64" s="5">
        <f>IFERROR(__xludf.DUMMYFUNCTION("""COMPUTED_VALUE"""),23779.15)</f>
        <v>23779.15</v>
      </c>
      <c r="D64" s="97" t="str">
        <f t="shared" si="3"/>
        <v>DOWN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85">
        <f>IFERROR(__xludf.DUMMYFUNCTION("""COMPUTED_VALUE"""),46269.64583333333)</f>
        <v>46269.64583</v>
      </c>
      <c r="R64" s="5">
        <f>IFERROR(__xludf.DUMMYFUNCTION("""COMPUTED_VALUE"""),1016.1)</f>
        <v>1016.1</v>
      </c>
      <c r="S64" s="97" t="str">
        <f t="shared" si="4"/>
        <v>DOWN</v>
      </c>
      <c r="T64" s="5"/>
      <c r="U64" s="5"/>
      <c r="V64" s="5"/>
      <c r="W64" s="5"/>
      <c r="X64" s="5"/>
      <c r="Y64" s="5"/>
      <c r="Z64" s="5"/>
    </row>
    <row r="65">
      <c r="A65" s="5"/>
      <c r="B65" s="85">
        <f>IFERROR(__xludf.DUMMYFUNCTION("""COMPUTED_VALUE"""),46273.64583333333)</f>
        <v>46273.64583</v>
      </c>
      <c r="C65" s="5">
        <f>IFERROR(__xludf.DUMMYFUNCTION("""COMPUTED_VALUE"""),23635.1)</f>
        <v>23635.1</v>
      </c>
      <c r="D65" s="97" t="str">
        <f t="shared" si="3"/>
        <v>DOWN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85">
        <f>IFERROR(__xludf.DUMMYFUNCTION("""COMPUTED_VALUE"""),46272.64583333333)</f>
        <v>46272.64583</v>
      </c>
      <c r="R65" s="5">
        <f>IFERROR(__xludf.DUMMYFUNCTION("""COMPUTED_VALUE"""),1005.9)</f>
        <v>1005.9</v>
      </c>
      <c r="S65" s="97" t="str">
        <f t="shared" si="4"/>
        <v>DOWN</v>
      </c>
      <c r="T65" s="5"/>
      <c r="U65" s="5"/>
      <c r="V65" s="5"/>
      <c r="W65" s="5"/>
      <c r="X65" s="5"/>
      <c r="Y65" s="5"/>
      <c r="Z65" s="5"/>
    </row>
    <row r="66">
      <c r="A66" s="5"/>
      <c r="B66" s="85">
        <f>IFERROR(__xludf.DUMMYFUNCTION("""COMPUTED_VALUE"""),46274.64583333333)</f>
        <v>46274.64583</v>
      </c>
      <c r="C66" s="5">
        <f>IFERROR(__xludf.DUMMYFUNCTION("""COMPUTED_VALUE"""),23431.5)</f>
        <v>23431.5</v>
      </c>
      <c r="D66" s="103" t="str">
        <f t="shared" si="3"/>
        <v>DOWN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85">
        <f>IFERROR(__xludf.DUMMYFUNCTION("""COMPUTED_VALUE"""),46273.64583333333)</f>
        <v>46273.64583</v>
      </c>
      <c r="R66" s="5">
        <f>IFERROR(__xludf.DUMMYFUNCTION("""COMPUTED_VALUE"""),1008.0)</f>
        <v>1008</v>
      </c>
      <c r="S66" s="103" t="str">
        <f t="shared" si="4"/>
        <v>UP</v>
      </c>
      <c r="T66" s="5"/>
      <c r="U66" s="5"/>
      <c r="V66" s="5"/>
      <c r="W66" s="5"/>
      <c r="X66" s="5"/>
      <c r="Y66" s="5"/>
      <c r="Z66" s="5"/>
    </row>
    <row r="67">
      <c r="A67" s="5"/>
      <c r="B67" s="85">
        <f>IFERROR(__xludf.DUMMYFUNCTION("""COMPUTED_VALUE"""),46275.64583333333)</f>
        <v>46275.64583</v>
      </c>
      <c r="C67" s="5">
        <f>IFERROR(__xludf.DUMMYFUNCTION("""COMPUTED_VALUE"""),23477.8)</f>
        <v>23477.8</v>
      </c>
      <c r="D67" s="103" t="str">
        <f t="shared" si="3"/>
        <v>UP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85">
        <f>IFERROR(__xludf.DUMMYFUNCTION("""COMPUTED_VALUE"""),46274.64583333333)</f>
        <v>46274.64583</v>
      </c>
      <c r="R67" s="5">
        <f>IFERROR(__xludf.DUMMYFUNCTION("""COMPUTED_VALUE"""),1000.5)</f>
        <v>1000.5</v>
      </c>
      <c r="S67" s="103" t="str">
        <f t="shared" si="4"/>
        <v>DOWN</v>
      </c>
      <c r="T67" s="5"/>
      <c r="U67" s="5"/>
      <c r="V67" s="5"/>
      <c r="W67" s="5"/>
      <c r="X67" s="5"/>
      <c r="Y67" s="5"/>
      <c r="Z67" s="5"/>
    </row>
    <row r="68">
      <c r="A68" s="5"/>
      <c r="B68" s="85">
        <f>IFERROR(__xludf.DUMMYFUNCTION("""COMPUTED_VALUE"""),46276.64583333333)</f>
        <v>46276.64583</v>
      </c>
      <c r="C68" s="5">
        <f>IFERROR(__xludf.DUMMYFUNCTION("""COMPUTED_VALUE"""),23398.1)</f>
        <v>23398.1</v>
      </c>
      <c r="D68" s="103" t="str">
        <f t="shared" si="3"/>
        <v>DOWN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85">
        <f>IFERROR(__xludf.DUMMYFUNCTION("""COMPUTED_VALUE"""),46275.64583333333)</f>
        <v>46275.64583</v>
      </c>
      <c r="R68" s="5">
        <f>IFERROR(__xludf.DUMMYFUNCTION("""COMPUTED_VALUE"""),1009.7)</f>
        <v>1009.7</v>
      </c>
      <c r="S68" s="103" t="str">
        <f t="shared" si="4"/>
        <v>UP</v>
      </c>
      <c r="T68" s="5"/>
      <c r="U68" s="5"/>
      <c r="V68" s="5"/>
      <c r="W68" s="5"/>
      <c r="X68" s="5"/>
      <c r="Y68" s="5"/>
      <c r="Z68" s="5"/>
    </row>
    <row r="69">
      <c r="A69" s="5"/>
      <c r="B69" s="85">
        <f>IFERROR(__xludf.DUMMYFUNCTION("""COMPUTED_VALUE"""),46280.64583333333)</f>
        <v>46280.64583</v>
      </c>
      <c r="C69" s="5">
        <f>IFERROR(__xludf.DUMMYFUNCTION("""COMPUTED_VALUE"""),23118.6)</f>
        <v>23118.6</v>
      </c>
      <c r="D69" s="97" t="str">
        <f t="shared" si="3"/>
        <v>DOWN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85">
        <f>IFERROR(__xludf.DUMMYFUNCTION("""COMPUTED_VALUE"""),46276.64583333333)</f>
        <v>46276.64583</v>
      </c>
      <c r="R69" s="5">
        <f>IFERROR(__xludf.DUMMYFUNCTION("""COMPUTED_VALUE"""),995.7)</f>
        <v>995.7</v>
      </c>
      <c r="S69" s="97" t="str">
        <f t="shared" si="4"/>
        <v>DOWN</v>
      </c>
      <c r="T69" s="5"/>
      <c r="U69" s="5"/>
      <c r="V69" s="5"/>
      <c r="W69" s="5"/>
      <c r="X69" s="5"/>
      <c r="Y69" s="5"/>
      <c r="Z69" s="5"/>
    </row>
    <row r="70">
      <c r="A70" s="5"/>
      <c r="B70" s="85">
        <f>IFERROR(__xludf.DUMMYFUNCTION("""COMPUTED_VALUE"""),46281.64583333333)</f>
        <v>46281.64583</v>
      </c>
      <c r="C70" s="5">
        <f>IFERROR(__xludf.DUMMYFUNCTION("""COMPUTED_VALUE"""),23217.6)</f>
        <v>23217.6</v>
      </c>
      <c r="D70" s="103" t="str">
        <f t="shared" si="3"/>
        <v>UP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85">
        <f>IFERROR(__xludf.DUMMYFUNCTION("""COMPUTED_VALUE"""),46280.64583333333)</f>
        <v>46280.64583</v>
      </c>
      <c r="R70" s="5">
        <f>IFERROR(__xludf.DUMMYFUNCTION("""COMPUTED_VALUE"""),968.0)</f>
        <v>968</v>
      </c>
      <c r="S70" s="103" t="str">
        <f t="shared" si="4"/>
        <v>DOWN</v>
      </c>
      <c r="T70" s="5"/>
      <c r="U70" s="5"/>
      <c r="V70" s="5"/>
      <c r="W70" s="5"/>
      <c r="X70" s="5"/>
      <c r="Y70" s="5"/>
      <c r="Z70" s="5"/>
    </row>
    <row r="71">
      <c r="A71" s="5"/>
      <c r="B71" s="85">
        <f>IFERROR(__xludf.DUMMYFUNCTION("""COMPUTED_VALUE"""),46282.64583333333)</f>
        <v>46282.64583</v>
      </c>
      <c r="C71" s="5">
        <f>IFERROR(__xludf.DUMMYFUNCTION("""COMPUTED_VALUE"""),23270.6)</f>
        <v>23270.6</v>
      </c>
      <c r="D71" s="97" t="str">
        <f t="shared" si="3"/>
        <v>UP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85">
        <f>IFERROR(__xludf.DUMMYFUNCTION("""COMPUTED_VALUE"""),46281.64583333333)</f>
        <v>46281.64583</v>
      </c>
      <c r="R71" s="5">
        <f>IFERROR(__xludf.DUMMYFUNCTION("""COMPUTED_VALUE"""),991.4)</f>
        <v>991.4</v>
      </c>
      <c r="S71" s="97" t="str">
        <f t="shared" si="4"/>
        <v>UP</v>
      </c>
      <c r="T71" s="5"/>
      <c r="U71" s="5"/>
      <c r="V71" s="5"/>
      <c r="W71" s="5"/>
      <c r="X71" s="5"/>
      <c r="Y71" s="5"/>
      <c r="Z71" s="5"/>
    </row>
    <row r="72">
      <c r="A72" s="5"/>
      <c r="B72" s="85">
        <f>IFERROR(__xludf.DUMMYFUNCTION("""COMPUTED_VALUE"""),46283.64583333333)</f>
        <v>46283.64583</v>
      </c>
      <c r="C72" s="5">
        <f>IFERROR(__xludf.DUMMYFUNCTION("""COMPUTED_VALUE"""),23346.4)</f>
        <v>23346.4</v>
      </c>
      <c r="D72" s="97" t="str">
        <f t="shared" si="3"/>
        <v>UP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85">
        <f>IFERROR(__xludf.DUMMYFUNCTION("""COMPUTED_VALUE"""),46282.64583333333)</f>
        <v>46282.64583</v>
      </c>
      <c r="R72" s="5">
        <f>IFERROR(__xludf.DUMMYFUNCTION("""COMPUTED_VALUE"""),988.7)</f>
        <v>988.7</v>
      </c>
      <c r="S72" s="97" t="str">
        <f t="shared" si="4"/>
        <v>DOWN</v>
      </c>
      <c r="T72" s="5"/>
      <c r="U72" s="5"/>
      <c r="V72" s="5"/>
      <c r="W72" s="5"/>
      <c r="X72" s="5"/>
      <c r="Y72" s="5"/>
      <c r="Z72" s="5"/>
    </row>
    <row r="73">
      <c r="A73" s="5"/>
      <c r="B73" s="85">
        <f>IFERROR(__xludf.DUMMYFUNCTION("""COMPUTED_VALUE"""),46286.64583333333)</f>
        <v>46286.64583</v>
      </c>
      <c r="C73" s="5">
        <f>IFERROR(__xludf.DUMMYFUNCTION("""COMPUTED_VALUE"""),23414.3)</f>
        <v>23414.3</v>
      </c>
      <c r="D73" s="97" t="str">
        <f t="shared" si="3"/>
        <v>UP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85">
        <f>IFERROR(__xludf.DUMMYFUNCTION("""COMPUTED_VALUE"""),46283.64583333333)</f>
        <v>46283.64583</v>
      </c>
      <c r="R73" s="5">
        <f>IFERROR(__xludf.DUMMYFUNCTION("""COMPUTED_VALUE"""),996.2)</f>
        <v>996.2</v>
      </c>
      <c r="S73" s="97" t="str">
        <f t="shared" si="4"/>
        <v>UP</v>
      </c>
      <c r="T73" s="5"/>
      <c r="U73" s="5"/>
      <c r="V73" s="5"/>
      <c r="W73" s="5"/>
      <c r="X73" s="5"/>
      <c r="Y73" s="5"/>
      <c r="Z73" s="5"/>
    </row>
    <row r="74">
      <c r="A74" s="5"/>
      <c r="B74" s="85">
        <f>IFERROR(__xludf.DUMMYFUNCTION("""COMPUTED_VALUE"""),46287.64583333333)</f>
        <v>46287.64583</v>
      </c>
      <c r="C74" s="5">
        <f>IFERROR(__xludf.DUMMYFUNCTION("""COMPUTED_VALUE"""),23329.0)</f>
        <v>23329</v>
      </c>
      <c r="D74" s="97" t="str">
        <f t="shared" si="3"/>
        <v>DOWN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85">
        <f>IFERROR(__xludf.DUMMYFUNCTION("""COMPUTED_VALUE"""),46286.64583333333)</f>
        <v>46286.64583</v>
      </c>
      <c r="R74" s="5">
        <f>IFERROR(__xludf.DUMMYFUNCTION("""COMPUTED_VALUE"""),996.0)</f>
        <v>996</v>
      </c>
      <c r="S74" s="97" t="str">
        <f t="shared" si="4"/>
        <v>DOWN</v>
      </c>
      <c r="T74" s="5"/>
      <c r="U74" s="5"/>
      <c r="V74" s="5"/>
      <c r="W74" s="5"/>
      <c r="X74" s="5"/>
      <c r="Y74" s="5"/>
      <c r="Z74" s="5"/>
    </row>
    <row r="75">
      <c r="A75" s="5"/>
      <c r="B75" s="85">
        <f>IFERROR(__xludf.DUMMYFUNCTION("""COMPUTED_VALUE"""),46288.64583333333)</f>
        <v>46288.64583</v>
      </c>
      <c r="C75" s="5">
        <f>IFERROR(__xludf.DUMMYFUNCTION("""COMPUTED_VALUE"""),23446.8)</f>
        <v>23446.8</v>
      </c>
      <c r="D75" s="103" t="str">
        <f t="shared" si="3"/>
        <v>UP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85">
        <f>IFERROR(__xludf.DUMMYFUNCTION("""COMPUTED_VALUE"""),46287.64583333333)</f>
        <v>46287.64583</v>
      </c>
      <c r="R75" s="5">
        <f>IFERROR(__xludf.DUMMYFUNCTION("""COMPUTED_VALUE"""),987.0)</f>
        <v>987</v>
      </c>
      <c r="S75" s="103" t="str">
        <f t="shared" si="4"/>
        <v>DOWN</v>
      </c>
      <c r="T75" s="5"/>
      <c r="U75" s="5"/>
      <c r="V75" s="5"/>
      <c r="W75" s="5"/>
      <c r="X75" s="5"/>
      <c r="Y75" s="5"/>
      <c r="Z75" s="5"/>
    </row>
    <row r="76">
      <c r="A76" s="5"/>
      <c r="B76" s="85">
        <f>IFERROR(__xludf.DUMMYFUNCTION("""COMPUTED_VALUE"""),46289.64583333333)</f>
        <v>46289.64583</v>
      </c>
      <c r="C76" s="5">
        <f>IFERROR(__xludf.DUMMYFUNCTION("""COMPUTED_VALUE"""),23063.1)</f>
        <v>23063.1</v>
      </c>
      <c r="D76" s="97" t="str">
        <f t="shared" si="3"/>
        <v>DOWN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85">
        <f>IFERROR(__xludf.DUMMYFUNCTION("""COMPUTED_VALUE"""),46288.64583333333)</f>
        <v>46288.64583</v>
      </c>
      <c r="R76" s="5">
        <f>IFERROR(__xludf.DUMMYFUNCTION("""COMPUTED_VALUE"""),994.1)</f>
        <v>994.1</v>
      </c>
      <c r="S76" s="97" t="str">
        <f t="shared" si="4"/>
        <v>UP</v>
      </c>
      <c r="T76" s="5"/>
      <c r="U76" s="5"/>
      <c r="V76" s="5"/>
      <c r="W76" s="5"/>
      <c r="X76" s="5"/>
      <c r="Y76" s="5"/>
      <c r="Z76" s="5"/>
    </row>
    <row r="77">
      <c r="A77" s="5"/>
      <c r="B77" s="85">
        <f>IFERROR(__xludf.DUMMYFUNCTION("""COMPUTED_VALUE"""),46290.64583333333)</f>
        <v>46290.64583</v>
      </c>
      <c r="C77" s="5">
        <f>IFERROR(__xludf.DUMMYFUNCTION("""COMPUTED_VALUE"""),23140.5)</f>
        <v>23140.5</v>
      </c>
      <c r="D77" s="103" t="str">
        <f t="shared" si="3"/>
        <v>UP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85">
        <f>IFERROR(__xludf.DUMMYFUNCTION("""COMPUTED_VALUE"""),46289.64583333333)</f>
        <v>46289.64583</v>
      </c>
      <c r="R77" s="5">
        <f>IFERROR(__xludf.DUMMYFUNCTION("""COMPUTED_VALUE"""),978.5)</f>
        <v>978.5</v>
      </c>
      <c r="S77" s="103" t="str">
        <f t="shared" si="4"/>
        <v>DOWN</v>
      </c>
      <c r="T77" s="5"/>
      <c r="U77" s="5"/>
      <c r="V77" s="5"/>
      <c r="W77" s="5"/>
      <c r="X77" s="5"/>
      <c r="Y77" s="5"/>
      <c r="Z77" s="5"/>
    </row>
    <row r="78">
      <c r="A78" s="5"/>
      <c r="B78" s="85">
        <f>IFERROR(__xludf.DUMMYFUNCTION("""COMPUTED_VALUE"""),46293.64583333333)</f>
        <v>46293.64583</v>
      </c>
      <c r="C78" s="5">
        <f>IFERROR(__xludf.DUMMYFUNCTION("""COMPUTED_VALUE"""),22780.25)</f>
        <v>22780.25</v>
      </c>
      <c r="D78" s="103" t="str">
        <f t="shared" si="3"/>
        <v>DOWN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85">
        <f>IFERROR(__xludf.DUMMYFUNCTION("""COMPUTED_VALUE"""),46290.64583333333)</f>
        <v>46290.64583</v>
      </c>
      <c r="R78" s="5">
        <f>IFERROR(__xludf.DUMMYFUNCTION("""COMPUTED_VALUE"""),983.0)</f>
        <v>983</v>
      </c>
      <c r="S78" s="103" t="str">
        <f t="shared" si="4"/>
        <v>UP</v>
      </c>
      <c r="T78" s="5"/>
      <c r="U78" s="5"/>
      <c r="V78" s="5"/>
      <c r="W78" s="5"/>
      <c r="X78" s="5"/>
      <c r="Y78" s="5"/>
      <c r="Z78" s="5"/>
    </row>
    <row r="79">
      <c r="A79" s="5"/>
      <c r="B79" s="85">
        <f>IFERROR(__xludf.DUMMYFUNCTION("""COMPUTED_VALUE"""),46294.64583333333)</f>
        <v>46294.64583</v>
      </c>
      <c r="C79" s="5">
        <f>IFERROR(__xludf.DUMMYFUNCTION("""COMPUTED_VALUE"""),22716.2)</f>
        <v>22716.2</v>
      </c>
      <c r="D79" s="97" t="str">
        <f t="shared" si="3"/>
        <v>DOWN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85">
        <f>IFERROR(__xludf.DUMMYFUNCTION("""COMPUTED_VALUE"""),46293.64583333333)</f>
        <v>46293.64583</v>
      </c>
      <c r="R79" s="5">
        <f>IFERROR(__xludf.DUMMYFUNCTION("""COMPUTED_VALUE"""),962.0)</f>
        <v>962</v>
      </c>
      <c r="S79" s="97" t="str">
        <f t="shared" si="4"/>
        <v>DOWN</v>
      </c>
      <c r="T79" s="5"/>
      <c r="U79" s="5"/>
      <c r="V79" s="5"/>
      <c r="W79" s="5"/>
      <c r="X79" s="5"/>
      <c r="Y79" s="5"/>
      <c r="Z79" s="5"/>
    </row>
    <row r="80">
      <c r="A80" s="5"/>
      <c r="B80" s="85">
        <f>IFERROR(__xludf.DUMMYFUNCTION("""COMPUTED_VALUE"""),46295.64583333333)</f>
        <v>46295.64583</v>
      </c>
      <c r="C80" s="5">
        <f>IFERROR(__xludf.DUMMYFUNCTION("""COMPUTED_VALUE"""),22620.45)</f>
        <v>22620.45</v>
      </c>
      <c r="D80" s="97" t="str">
        <f t="shared" si="3"/>
        <v>DOWN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85">
        <f>IFERROR(__xludf.DUMMYFUNCTION("""COMPUTED_VALUE"""),46294.64583333333)</f>
        <v>46294.64583</v>
      </c>
      <c r="R80" s="5">
        <f>IFERROR(__xludf.DUMMYFUNCTION("""COMPUTED_VALUE"""),964.7)</f>
        <v>964.7</v>
      </c>
      <c r="S80" s="97" t="str">
        <f t="shared" si="4"/>
        <v>UP</v>
      </c>
      <c r="T80" s="5"/>
      <c r="U80" s="5"/>
      <c r="V80" s="5"/>
      <c r="W80" s="5"/>
      <c r="X80" s="5"/>
      <c r="Y80" s="5"/>
      <c r="Z80" s="5"/>
    </row>
    <row r="81">
      <c r="A81" s="5"/>
      <c r="B81" s="85">
        <f>IFERROR(__xludf.DUMMYFUNCTION("""COMPUTED_VALUE"""),46296.64583333333)</f>
        <v>46296.64583</v>
      </c>
      <c r="C81" s="5">
        <f>IFERROR(__xludf.DUMMYFUNCTION("""COMPUTED_VALUE"""),22421.95)</f>
        <v>22421.95</v>
      </c>
      <c r="D81" s="97" t="str">
        <f t="shared" si="3"/>
        <v>DOWN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85">
        <f>IFERROR(__xludf.DUMMYFUNCTION("""COMPUTED_VALUE"""),46295.64583333333)</f>
        <v>46295.64583</v>
      </c>
      <c r="R81" s="5">
        <f>IFERROR(__xludf.DUMMYFUNCTION("""COMPUTED_VALUE"""),959.5)</f>
        <v>959.5</v>
      </c>
      <c r="S81" s="97" t="str">
        <f t="shared" si="4"/>
        <v>DOWN</v>
      </c>
      <c r="T81" s="5"/>
      <c r="U81" s="5"/>
      <c r="V81" s="5"/>
      <c r="W81" s="5"/>
      <c r="X81" s="5"/>
      <c r="Y81" s="5"/>
      <c r="Z81" s="5"/>
    </row>
    <row r="82">
      <c r="A82" s="5"/>
      <c r="B82" s="85">
        <f>IFERROR(__xludf.DUMMYFUNCTION("""COMPUTED_VALUE"""),46300.64583333333)</f>
        <v>46300.64583</v>
      </c>
      <c r="C82" s="5">
        <f>IFERROR(__xludf.DUMMYFUNCTION("""COMPUTED_VALUE"""),22555.75)</f>
        <v>22555.75</v>
      </c>
      <c r="D82" s="97" t="str">
        <f t="shared" si="3"/>
        <v>UP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85">
        <f>IFERROR(__xludf.DUMMYFUNCTION("""COMPUTED_VALUE"""),46296.64583333333)</f>
        <v>46296.64583</v>
      </c>
      <c r="R82" s="5">
        <f>IFERROR(__xludf.DUMMYFUNCTION("""COMPUTED_VALUE"""),954.1)</f>
        <v>954.1</v>
      </c>
      <c r="S82" s="97" t="str">
        <f t="shared" si="4"/>
        <v>DOWN</v>
      </c>
      <c r="T82" s="5"/>
      <c r="U82" s="5"/>
      <c r="V82" s="5"/>
      <c r="W82" s="5"/>
      <c r="X82" s="5"/>
      <c r="Y82" s="5"/>
      <c r="Z82" s="5"/>
    </row>
    <row r="83">
      <c r="A83" s="5"/>
      <c r="B83" s="85">
        <f>IFERROR(__xludf.DUMMYFUNCTION("""COMPUTED_VALUE"""),46301.64583333333)</f>
        <v>46301.64583</v>
      </c>
      <c r="C83" s="5">
        <f>IFERROR(__xludf.DUMMYFUNCTION("""COMPUTED_VALUE"""),22776.1)</f>
        <v>22776.1</v>
      </c>
      <c r="D83" s="97" t="str">
        <f t="shared" si="3"/>
        <v>UP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85">
        <f>IFERROR(__xludf.DUMMYFUNCTION("""COMPUTED_VALUE"""),46300.64583333333)</f>
        <v>46300.64583</v>
      </c>
      <c r="R83" s="5">
        <f>IFERROR(__xludf.DUMMYFUNCTION("""COMPUTED_VALUE"""),958.0)</f>
        <v>958</v>
      </c>
      <c r="S83" s="97" t="str">
        <f t="shared" si="4"/>
        <v>UP</v>
      </c>
      <c r="T83" s="5"/>
      <c r="U83" s="5"/>
      <c r="V83" s="5"/>
      <c r="W83" s="5"/>
      <c r="X83" s="5"/>
      <c r="Y83" s="5"/>
      <c r="Z83" s="5"/>
    </row>
    <row r="84">
      <c r="A84" s="5"/>
      <c r="B84" s="85">
        <f>IFERROR(__xludf.DUMMYFUNCTION("""COMPUTED_VALUE"""),46302.64583333333)</f>
        <v>46302.64583</v>
      </c>
      <c r="C84" s="5">
        <f>IFERROR(__xludf.DUMMYFUNCTION("""COMPUTED_VALUE"""),22603.05)</f>
        <v>22603.05</v>
      </c>
      <c r="D84" s="103" t="str">
        <f t="shared" si="3"/>
        <v>DOWN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85">
        <f>IFERROR(__xludf.DUMMYFUNCTION("""COMPUTED_VALUE"""),46301.64583333333)</f>
        <v>46301.64583</v>
      </c>
      <c r="R84" s="5">
        <f>IFERROR(__xludf.DUMMYFUNCTION("""COMPUTED_VALUE"""),958.75)</f>
        <v>958.75</v>
      </c>
      <c r="S84" s="103" t="str">
        <f t="shared" si="4"/>
        <v>UP</v>
      </c>
      <c r="T84" s="5"/>
      <c r="U84" s="5"/>
      <c r="V84" s="5"/>
      <c r="W84" s="5"/>
      <c r="X84" s="5"/>
      <c r="Y84" s="5"/>
      <c r="Z84" s="5"/>
    </row>
    <row r="85">
      <c r="A85" s="5"/>
      <c r="B85" s="85">
        <f>IFERROR(__xludf.DUMMYFUNCTION("""COMPUTED_VALUE"""),46303.64583333333)</f>
        <v>46303.64583</v>
      </c>
      <c r="C85" s="5">
        <f>IFERROR(__xludf.DUMMYFUNCTION("""COMPUTED_VALUE"""),22231.8)</f>
        <v>22231.8</v>
      </c>
      <c r="D85" s="97" t="str">
        <f t="shared" si="3"/>
        <v>DOWN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85">
        <f>IFERROR(__xludf.DUMMYFUNCTION("""COMPUTED_VALUE"""),46302.64583333333)</f>
        <v>46302.64583</v>
      </c>
      <c r="R85" s="5">
        <f>IFERROR(__xludf.DUMMYFUNCTION("""COMPUTED_VALUE"""),954.0)</f>
        <v>954</v>
      </c>
      <c r="S85" s="97" t="str">
        <f t="shared" si="4"/>
        <v>DOWN</v>
      </c>
      <c r="T85" s="5"/>
      <c r="U85" s="5"/>
      <c r="V85" s="5"/>
      <c r="W85" s="5"/>
      <c r="X85" s="5"/>
      <c r="Y85" s="5"/>
      <c r="Z85" s="5"/>
    </row>
    <row r="86">
      <c r="A86" s="5"/>
      <c r="B86" s="85">
        <f>IFERROR(__xludf.DUMMYFUNCTION("""COMPUTED_VALUE"""),46304.64583333333)</f>
        <v>46304.64583</v>
      </c>
      <c r="C86" s="5">
        <f>IFERROR(__xludf.DUMMYFUNCTION("""COMPUTED_VALUE"""),22520.45)</f>
        <v>22520.45</v>
      </c>
      <c r="D86" s="97" t="str">
        <f t="shared" si="3"/>
        <v>UP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85">
        <f>IFERROR(__xludf.DUMMYFUNCTION("""COMPUTED_VALUE"""),46303.64583333333)</f>
        <v>46303.64583</v>
      </c>
      <c r="R86" s="5">
        <f>IFERROR(__xludf.DUMMYFUNCTION("""COMPUTED_VALUE"""),940.0)</f>
        <v>940</v>
      </c>
      <c r="S86" s="97" t="str">
        <f t="shared" si="4"/>
        <v>DOWN</v>
      </c>
      <c r="T86" s="5"/>
      <c r="U86" s="5"/>
      <c r="V86" s="5"/>
      <c r="W86" s="5"/>
      <c r="X86" s="5"/>
      <c r="Y86" s="5"/>
      <c r="Z86" s="5"/>
    </row>
    <row r="87">
      <c r="A87" s="5"/>
      <c r="B87" s="85">
        <f>IFERROR(__xludf.DUMMYFUNCTION("""COMPUTED_VALUE"""),46307.64583333333)</f>
        <v>46307.64583</v>
      </c>
      <c r="C87" s="5">
        <f>IFERROR(__xludf.DUMMYFUNCTION("""COMPUTED_VALUE"""),22363.35)</f>
        <v>22363.35</v>
      </c>
      <c r="D87" s="97" t="str">
        <f t="shared" si="3"/>
        <v>DOWN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85">
        <f>IFERROR(__xludf.DUMMYFUNCTION("""COMPUTED_VALUE"""),46304.64583333333)</f>
        <v>46304.64583</v>
      </c>
      <c r="R87" s="5">
        <f>IFERROR(__xludf.DUMMYFUNCTION("""COMPUTED_VALUE"""),959.1)</f>
        <v>959.1</v>
      </c>
      <c r="S87" s="97" t="str">
        <f t="shared" si="4"/>
        <v>UP</v>
      </c>
      <c r="T87" s="5"/>
      <c r="U87" s="5"/>
      <c r="V87" s="5"/>
      <c r="W87" s="5"/>
      <c r="X87" s="5"/>
      <c r="Y87" s="5"/>
      <c r="Z87" s="5"/>
    </row>
    <row r="88">
      <c r="A88" s="5"/>
      <c r="B88" s="85">
        <f>IFERROR(__xludf.DUMMYFUNCTION("""COMPUTED_VALUE"""),46308.64583333333)</f>
        <v>46308.64583</v>
      </c>
      <c r="C88" s="5">
        <f>IFERROR(__xludf.DUMMYFUNCTION("""COMPUTED_VALUE"""),22721.95)</f>
        <v>22721.95</v>
      </c>
      <c r="D88" s="97" t="str">
        <f t="shared" si="3"/>
        <v>UP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85">
        <f>IFERROR(__xludf.DUMMYFUNCTION("""COMPUTED_VALUE"""),46307.64583333333)</f>
        <v>46307.64583</v>
      </c>
      <c r="R88" s="5">
        <f>IFERROR(__xludf.DUMMYFUNCTION("""COMPUTED_VALUE"""),941.0)</f>
        <v>941</v>
      </c>
      <c r="S88" s="97" t="str">
        <f t="shared" si="4"/>
        <v>DOWN</v>
      </c>
      <c r="T88" s="5"/>
      <c r="U88" s="5"/>
      <c r="V88" s="5"/>
      <c r="W88" s="5"/>
      <c r="X88" s="5"/>
      <c r="Y88" s="5"/>
      <c r="Z88" s="5"/>
    </row>
    <row r="89">
      <c r="A89" s="5"/>
      <c r="B89" s="85">
        <f>IFERROR(__xludf.DUMMYFUNCTION("""COMPUTED_VALUE"""),46309.64583333333)</f>
        <v>46309.64583</v>
      </c>
      <c r="C89" s="5">
        <f>IFERROR(__xludf.DUMMYFUNCTION("""COMPUTED_VALUE"""),22622.7)</f>
        <v>22622.7</v>
      </c>
      <c r="D89" s="97" t="str">
        <f t="shared" si="3"/>
        <v>DOWN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85">
        <f>IFERROR(__xludf.DUMMYFUNCTION("""COMPUTED_VALUE"""),46308.64583333333)</f>
        <v>46308.64583</v>
      </c>
      <c r="R89" s="5">
        <f>IFERROR(__xludf.DUMMYFUNCTION("""COMPUTED_VALUE"""),957.0)</f>
        <v>957</v>
      </c>
      <c r="S89" s="97" t="str">
        <f t="shared" si="4"/>
        <v>UP</v>
      </c>
      <c r="T89" s="5"/>
      <c r="U89" s="5"/>
      <c r="V89" s="5"/>
      <c r="W89" s="5"/>
      <c r="X89" s="5"/>
      <c r="Y89" s="5"/>
      <c r="Z89" s="5"/>
    </row>
    <row r="90">
      <c r="A90" s="5"/>
      <c r="B90" s="85">
        <f>IFERROR(__xludf.DUMMYFUNCTION("""COMPUTED_VALUE"""),46310.64583333333)</f>
        <v>46310.64583</v>
      </c>
      <c r="C90" s="5">
        <f>IFERROR(__xludf.DUMMYFUNCTION("""COMPUTED_VALUE"""),22997.35)</f>
        <v>22997.35</v>
      </c>
      <c r="D90" s="97" t="str">
        <f t="shared" si="3"/>
        <v>UP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85">
        <f>IFERROR(__xludf.DUMMYFUNCTION("""COMPUTED_VALUE"""),46309.64583333333)</f>
        <v>46309.64583</v>
      </c>
      <c r="R90" s="5">
        <f>IFERROR(__xludf.DUMMYFUNCTION("""COMPUTED_VALUE"""),954.9)</f>
        <v>954.9</v>
      </c>
      <c r="S90" s="97" t="str">
        <f t="shared" si="4"/>
        <v>DOWN</v>
      </c>
      <c r="T90" s="5"/>
      <c r="U90" s="5"/>
      <c r="V90" s="5"/>
      <c r="W90" s="5"/>
      <c r="X90" s="5"/>
      <c r="Y90" s="5"/>
      <c r="Z90" s="5"/>
    </row>
    <row r="91">
      <c r="A91" s="5"/>
      <c r="B91" s="85">
        <f>IFERROR(__xludf.DUMMYFUNCTION("""COMPUTED_VALUE"""),46311.64583333333)</f>
        <v>46311.64583</v>
      </c>
      <c r="C91" s="5">
        <f>IFERROR(__xludf.DUMMYFUNCTION("""COMPUTED_VALUE"""),23146.15)</f>
        <v>23146.15</v>
      </c>
      <c r="D91" s="97" t="str">
        <f t="shared" si="3"/>
        <v>UP</v>
      </c>
      <c r="E91" s="20" t="s">
        <v>122</v>
      </c>
      <c r="F91" s="20" t="s">
        <v>123</v>
      </c>
      <c r="G91" s="20" t="s">
        <v>124</v>
      </c>
      <c r="H91" s="5"/>
      <c r="I91" s="5"/>
      <c r="J91" s="5"/>
      <c r="K91" s="5"/>
      <c r="L91" s="5"/>
      <c r="M91" s="5"/>
      <c r="N91" s="5"/>
      <c r="O91" s="5"/>
      <c r="P91" s="5"/>
      <c r="Q91" s="85">
        <f>IFERROR(__xludf.DUMMYFUNCTION("""COMPUTED_VALUE"""),46310.64583333333)</f>
        <v>46310.64583</v>
      </c>
      <c r="R91" s="5">
        <f>IFERROR(__xludf.DUMMYFUNCTION("""COMPUTED_VALUE"""),960.0)</f>
        <v>960</v>
      </c>
      <c r="S91" s="97" t="str">
        <f t="shared" si="4"/>
        <v>UP</v>
      </c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97" t="str">
        <f t="shared" si="3"/>
        <v>DOWN</v>
      </c>
      <c r="E92" s="87">
        <f>AVERAGE(C78:C92)</f>
        <v>22648.39286</v>
      </c>
      <c r="F92" s="87">
        <f>Average(C84:C92)</f>
        <v>22650.85</v>
      </c>
      <c r="G92" s="87">
        <f>Average(C88:C92)</f>
        <v>22872.0375</v>
      </c>
      <c r="H92" s="5"/>
      <c r="I92" s="5"/>
      <c r="J92" s="5"/>
      <c r="K92" s="5"/>
      <c r="L92" s="5"/>
      <c r="M92" s="5"/>
      <c r="N92" s="5"/>
      <c r="O92" s="5"/>
      <c r="P92" s="5"/>
      <c r="Q92" s="85">
        <f>IFERROR(__xludf.DUMMYFUNCTION("""COMPUTED_VALUE"""),46311.64583333333)</f>
        <v>46311.64583</v>
      </c>
      <c r="R92" s="5">
        <f>IFERROR(__xludf.DUMMYFUNCTION("""COMPUTED_VALUE"""),962.6)</f>
        <v>962.6</v>
      </c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0" t="s">
        <v>89</v>
      </c>
      <c r="B94" s="76" t="str">
        <f>IFERROR(__xludf.DUMMYFUNCTION("GOOGLEFINANCE(""INDEXNSE:NIFTY_BANK"",""price"",TODAY()-121,TODAY())"),"Date")</f>
        <v>Date</v>
      </c>
      <c r="C94" s="5" t="str">
        <f>IFERROR(__xludf.DUMMYFUNCTION("""COMPUTED_VALUE"""),"Close")</f>
        <v>Close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85">
        <f>IFERROR(__xludf.DUMMYFUNCTION("""COMPUTED_VALUE"""),46191.64583333333)</f>
        <v>46191.64583</v>
      </c>
      <c r="C95" s="5">
        <f>IFERROR(__xludf.DUMMYFUNCTION("""COMPUTED_VALUE"""),57963.8)</f>
        <v>57963.8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85">
        <f>IFERROR(__xludf.DUMMYFUNCTION("""COMPUTED_VALUE"""),46192.64583333333)</f>
        <v>46192.64583</v>
      </c>
      <c r="C96" s="5">
        <f>IFERROR(__xludf.DUMMYFUNCTION("""COMPUTED_VALUE"""),57685.75)</f>
        <v>57685.75</v>
      </c>
      <c r="D96" s="97" t="str">
        <f t="shared" ref="D96:D177" si="5">if(C96&gt;C95,"UP","DOWN")</f>
        <v>DOWN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85">
        <f>IFERROR(__xludf.DUMMYFUNCTION("""COMPUTED_VALUE"""),46195.64583333333)</f>
        <v>46195.64583</v>
      </c>
      <c r="C97" s="5">
        <f>IFERROR(__xludf.DUMMYFUNCTION("""COMPUTED_VALUE"""),57935.6)</f>
        <v>57935.6</v>
      </c>
      <c r="D97" s="103" t="str">
        <f t="shared" si="5"/>
        <v>UP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85">
        <f>IFERROR(__xludf.DUMMYFUNCTION("""COMPUTED_VALUE"""),46196.64583333333)</f>
        <v>46196.64583</v>
      </c>
      <c r="C98" s="5">
        <f>IFERROR(__xludf.DUMMYFUNCTION("""COMPUTED_VALUE"""),57183.75)</f>
        <v>57183.75</v>
      </c>
      <c r="D98" s="103" t="str">
        <f t="shared" si="5"/>
        <v>DOWN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85">
        <f>IFERROR(__xludf.DUMMYFUNCTION("""COMPUTED_VALUE"""),46197.64583333333)</f>
        <v>46197.64583</v>
      </c>
      <c r="C99" s="5">
        <f>IFERROR(__xludf.DUMMYFUNCTION("""COMPUTED_VALUE"""),58150.35)</f>
        <v>58150.35</v>
      </c>
      <c r="D99" s="97" t="str">
        <f t="shared" si="5"/>
        <v>UP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85">
        <f>IFERROR(__xludf.DUMMYFUNCTION("""COMPUTED_VALUE"""),46198.64583333333)</f>
        <v>46198.64583</v>
      </c>
      <c r="C100" s="5">
        <f>IFERROR(__xludf.DUMMYFUNCTION("""COMPUTED_VALUE"""),58177.05)</f>
        <v>58177.05</v>
      </c>
      <c r="D100" s="97" t="str">
        <f t="shared" si="5"/>
        <v>UP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85">
        <f>IFERROR(__xludf.DUMMYFUNCTION("""COMPUTED_VALUE"""),46202.64583333333)</f>
        <v>46202.64583</v>
      </c>
      <c r="C101" s="5">
        <f>IFERROR(__xludf.DUMMYFUNCTION("""COMPUTED_VALUE"""),57727.35)</f>
        <v>57727.35</v>
      </c>
      <c r="D101" s="103" t="str">
        <f t="shared" si="5"/>
        <v>DOWN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85">
        <f>IFERROR(__xludf.DUMMYFUNCTION("""COMPUTED_VALUE"""),46203.64583333333)</f>
        <v>46203.64583</v>
      </c>
      <c r="C102" s="5">
        <f>IFERROR(__xludf.DUMMYFUNCTION("""COMPUTED_VALUE"""),57542.9)</f>
        <v>57542.9</v>
      </c>
      <c r="D102" s="97" t="str">
        <f t="shared" si="5"/>
        <v>DOWN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85">
        <f>IFERROR(__xludf.DUMMYFUNCTION("""COMPUTED_VALUE"""),46204.64583333333)</f>
        <v>46204.64583</v>
      </c>
      <c r="C103" s="5">
        <f>IFERROR(__xludf.DUMMYFUNCTION("""COMPUTED_VALUE"""),58033.05)</f>
        <v>58033.05</v>
      </c>
      <c r="D103" s="103" t="str">
        <f t="shared" si="5"/>
        <v>UP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85">
        <f>IFERROR(__xludf.DUMMYFUNCTION("""COMPUTED_VALUE"""),46205.64583333333)</f>
        <v>46205.64583</v>
      </c>
      <c r="C104" s="5">
        <f>IFERROR(__xludf.DUMMYFUNCTION("""COMPUTED_VALUE"""),58031.65)</f>
        <v>58031.65</v>
      </c>
      <c r="D104" s="97" t="str">
        <f t="shared" si="5"/>
        <v>DOWN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85">
        <f>IFERROR(__xludf.DUMMYFUNCTION("""COMPUTED_VALUE"""),46206.64583333333)</f>
        <v>46206.64583</v>
      </c>
      <c r="C105" s="5">
        <f>IFERROR(__xludf.DUMMYFUNCTION("""COMPUTED_VALUE"""),57938.5)</f>
        <v>57938.5</v>
      </c>
      <c r="D105" s="97" t="str">
        <f t="shared" si="5"/>
        <v>DOWN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85">
        <f>IFERROR(__xludf.DUMMYFUNCTION("""COMPUTED_VALUE"""),46209.64583333333)</f>
        <v>46209.64583</v>
      </c>
      <c r="C106" s="5">
        <f>IFERROR(__xludf.DUMMYFUNCTION("""COMPUTED_VALUE"""),58291.5)</f>
        <v>58291.5</v>
      </c>
      <c r="D106" s="97" t="str">
        <f t="shared" si="5"/>
        <v>UP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85">
        <f>IFERROR(__xludf.DUMMYFUNCTION("""COMPUTED_VALUE"""),46210.64583333333)</f>
        <v>46210.64583</v>
      </c>
      <c r="C107" s="5">
        <f>IFERROR(__xludf.DUMMYFUNCTION("""COMPUTED_VALUE"""),58200.7)</f>
        <v>58200.7</v>
      </c>
      <c r="D107" s="103" t="str">
        <f t="shared" si="5"/>
        <v>DOWN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85">
        <f>IFERROR(__xludf.DUMMYFUNCTION("""COMPUTED_VALUE"""),46211.64583333333)</f>
        <v>46211.64583</v>
      </c>
      <c r="C108" s="5">
        <f>IFERROR(__xludf.DUMMYFUNCTION("""COMPUTED_VALUE"""),56742.6)</f>
        <v>56742.6</v>
      </c>
      <c r="D108" s="97" t="str">
        <f t="shared" si="5"/>
        <v>DOWN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85">
        <f>IFERROR(__xludf.DUMMYFUNCTION("""COMPUTED_VALUE"""),46212.64583333333)</f>
        <v>46212.64583</v>
      </c>
      <c r="C109" s="5">
        <f>IFERROR(__xludf.DUMMYFUNCTION("""COMPUTED_VALUE"""),57252.45)</f>
        <v>57252.45</v>
      </c>
      <c r="D109" s="97" t="str">
        <f t="shared" si="5"/>
        <v>UP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85">
        <f>IFERROR(__xludf.DUMMYFUNCTION("""COMPUTED_VALUE"""),46213.64583333333)</f>
        <v>46213.64583</v>
      </c>
      <c r="C110" s="5">
        <f>IFERROR(__xludf.DUMMYFUNCTION("""COMPUTED_VALUE"""),58045.9)</f>
        <v>58045.9</v>
      </c>
      <c r="D110" s="103" t="str">
        <f t="shared" si="5"/>
        <v>UP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85">
        <f>IFERROR(__xludf.DUMMYFUNCTION("""COMPUTED_VALUE"""),46216.64583333333)</f>
        <v>46216.64583</v>
      </c>
      <c r="C111" s="5">
        <f>IFERROR(__xludf.DUMMYFUNCTION("""COMPUTED_VALUE"""),58131.45)</f>
        <v>58131.45</v>
      </c>
      <c r="D111" s="103" t="str">
        <f t="shared" si="5"/>
        <v>UP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85">
        <f>IFERROR(__xludf.DUMMYFUNCTION("""COMPUTED_VALUE"""),46217.64583333333)</f>
        <v>46217.64583</v>
      </c>
      <c r="C112" s="5">
        <f>IFERROR(__xludf.DUMMYFUNCTION("""COMPUTED_VALUE"""),57462.3)</f>
        <v>57462.3</v>
      </c>
      <c r="D112" s="103" t="str">
        <f t="shared" si="5"/>
        <v>DOWN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85">
        <f>IFERROR(__xludf.DUMMYFUNCTION("""COMPUTED_VALUE"""),46218.64583333333)</f>
        <v>46218.64583</v>
      </c>
      <c r="C113" s="5">
        <f>IFERROR(__xludf.DUMMYFUNCTION("""COMPUTED_VALUE"""),57757.85)</f>
        <v>57757.85</v>
      </c>
      <c r="D113" s="97" t="str">
        <f t="shared" si="5"/>
        <v>UP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85">
        <f>IFERROR(__xludf.DUMMYFUNCTION("""COMPUTED_VALUE"""),46219.64583333333)</f>
        <v>46219.64583</v>
      </c>
      <c r="C114" s="5">
        <f>IFERROR(__xludf.DUMMYFUNCTION("""COMPUTED_VALUE"""),57582.25)</f>
        <v>57582.25</v>
      </c>
      <c r="D114" s="103" t="str">
        <f t="shared" si="5"/>
        <v>DOWN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85">
        <f>IFERROR(__xludf.DUMMYFUNCTION("""COMPUTED_VALUE"""),46220.64583333333)</f>
        <v>46220.64583</v>
      </c>
      <c r="C115" s="5">
        <f>IFERROR(__xludf.DUMMYFUNCTION("""COMPUTED_VALUE"""),58521.4)</f>
        <v>58521.4</v>
      </c>
      <c r="D115" s="103" t="str">
        <f t="shared" si="5"/>
        <v>UP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85">
        <f>IFERROR(__xludf.DUMMYFUNCTION("""COMPUTED_VALUE"""),46223.64583333333)</f>
        <v>46223.64583</v>
      </c>
      <c r="C116" s="5">
        <f>IFERROR(__xludf.DUMMYFUNCTION("""COMPUTED_VALUE"""),57945.0)</f>
        <v>57945</v>
      </c>
      <c r="D116" s="97" t="str">
        <f t="shared" si="5"/>
        <v>DOWN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85">
        <f>IFERROR(__xludf.DUMMYFUNCTION("""COMPUTED_VALUE"""),46224.64583333333)</f>
        <v>46224.64583</v>
      </c>
      <c r="C117" s="5">
        <f>IFERROR(__xludf.DUMMYFUNCTION("""COMPUTED_VALUE"""),57835.35)</f>
        <v>57835.35</v>
      </c>
      <c r="D117" s="103" t="str">
        <f t="shared" si="5"/>
        <v>DOWN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85">
        <f>IFERROR(__xludf.DUMMYFUNCTION("""COMPUTED_VALUE"""),46225.64583333333)</f>
        <v>46225.64583</v>
      </c>
      <c r="C118" s="5">
        <f>IFERROR(__xludf.DUMMYFUNCTION("""COMPUTED_VALUE"""),57126.8)</f>
        <v>57126.8</v>
      </c>
      <c r="D118" s="103" t="str">
        <f t="shared" si="5"/>
        <v>DOWN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85">
        <f>IFERROR(__xludf.DUMMYFUNCTION("""COMPUTED_VALUE"""),46226.64583333333)</f>
        <v>46226.64583</v>
      </c>
      <c r="C119" s="5">
        <f>IFERROR(__xludf.DUMMYFUNCTION("""COMPUTED_VALUE"""),56592.0)</f>
        <v>56592</v>
      </c>
      <c r="D119" s="97" t="str">
        <f t="shared" si="5"/>
        <v>DOWN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85">
        <f>IFERROR(__xludf.DUMMYFUNCTION("""COMPUTED_VALUE"""),46227.64583333333)</f>
        <v>46227.64583</v>
      </c>
      <c r="C120" s="5">
        <f>IFERROR(__xludf.DUMMYFUNCTION("""COMPUTED_VALUE"""),56693.5)</f>
        <v>56693.5</v>
      </c>
      <c r="D120" s="97" t="str">
        <f t="shared" si="5"/>
        <v>UP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85">
        <f>IFERROR(__xludf.DUMMYFUNCTION("""COMPUTED_VALUE"""),46230.64583333333)</f>
        <v>46230.64583</v>
      </c>
      <c r="C121" s="5">
        <f>IFERROR(__xludf.DUMMYFUNCTION("""COMPUTED_VALUE"""),57087.2)</f>
        <v>57087.2</v>
      </c>
      <c r="D121" s="97" t="str">
        <f t="shared" si="5"/>
        <v>UP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85">
        <f>IFERROR(__xludf.DUMMYFUNCTION("""COMPUTED_VALUE"""),46231.64583333333)</f>
        <v>46231.64583</v>
      </c>
      <c r="C122" s="5">
        <f>IFERROR(__xludf.DUMMYFUNCTION("""COMPUTED_VALUE"""),56755.6)</f>
        <v>56755.6</v>
      </c>
      <c r="D122" s="103" t="str">
        <f t="shared" si="5"/>
        <v>DOWN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85">
        <f>IFERROR(__xludf.DUMMYFUNCTION("""COMPUTED_VALUE"""),46232.64583333333)</f>
        <v>46232.64583</v>
      </c>
      <c r="C123" s="5">
        <f>IFERROR(__xludf.DUMMYFUNCTION("""COMPUTED_VALUE"""),57205.9)</f>
        <v>57205.9</v>
      </c>
      <c r="D123" s="103" t="str">
        <f t="shared" si="5"/>
        <v>UP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85">
        <f>IFERROR(__xludf.DUMMYFUNCTION("""COMPUTED_VALUE"""),46233.64583333333)</f>
        <v>46233.64583</v>
      </c>
      <c r="C124" s="5">
        <f>IFERROR(__xludf.DUMMYFUNCTION("""COMPUTED_VALUE"""),57147.5)</f>
        <v>57147.5</v>
      </c>
      <c r="D124" s="97" t="str">
        <f t="shared" si="5"/>
        <v>DOWN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85">
        <f>IFERROR(__xludf.DUMMYFUNCTION("""COMPUTED_VALUE"""),46234.64583333333)</f>
        <v>46234.64583</v>
      </c>
      <c r="C125" s="5">
        <f>IFERROR(__xludf.DUMMYFUNCTION("""COMPUTED_VALUE"""),57264.85)</f>
        <v>57264.85</v>
      </c>
      <c r="D125" s="103" t="str">
        <f t="shared" si="5"/>
        <v>UP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85">
        <f>IFERROR(__xludf.DUMMYFUNCTION("""COMPUTED_VALUE"""),46237.64583333333)</f>
        <v>46237.64583</v>
      </c>
      <c r="C126" s="5">
        <f>IFERROR(__xludf.DUMMYFUNCTION("""COMPUTED_VALUE"""),58247.95)</f>
        <v>58247.95</v>
      </c>
      <c r="D126" s="97" t="str">
        <f t="shared" si="5"/>
        <v>UP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85">
        <f>IFERROR(__xludf.DUMMYFUNCTION("""COMPUTED_VALUE"""),46238.64583333333)</f>
        <v>46238.64583</v>
      </c>
      <c r="C127" s="5">
        <f>IFERROR(__xludf.DUMMYFUNCTION("""COMPUTED_VALUE"""),57907.2)</f>
        <v>57907.2</v>
      </c>
      <c r="D127" s="103" t="str">
        <f t="shared" si="5"/>
        <v>DOWN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0">
        <v>50.0</v>
      </c>
      <c r="B128" s="85">
        <f>IFERROR(__xludf.DUMMYFUNCTION("""COMPUTED_VALUE"""),46239.64583333333)</f>
        <v>46239.64583</v>
      </c>
      <c r="C128" s="5">
        <f>IFERROR(__xludf.DUMMYFUNCTION("""COMPUTED_VALUE"""),57739.95)</f>
        <v>57739.95</v>
      </c>
      <c r="D128" s="103" t="str">
        <f t="shared" si="5"/>
        <v>DOWN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85">
        <f>IFERROR(__xludf.DUMMYFUNCTION("""COMPUTED_VALUE"""),46240.64583333333)</f>
        <v>46240.64583</v>
      </c>
      <c r="C129" s="5">
        <f>IFERROR(__xludf.DUMMYFUNCTION("""COMPUTED_VALUE"""),58063.65)</f>
        <v>58063.65</v>
      </c>
      <c r="D129" s="97" t="str">
        <f t="shared" si="5"/>
        <v>UP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85">
        <f>IFERROR(__xludf.DUMMYFUNCTION("""COMPUTED_VALUE"""),46241.64583333333)</f>
        <v>46241.64583</v>
      </c>
      <c r="C130" s="5">
        <f>IFERROR(__xludf.DUMMYFUNCTION("""COMPUTED_VALUE"""),57746.45)</f>
        <v>57746.45</v>
      </c>
      <c r="D130" s="97" t="str">
        <f t="shared" si="5"/>
        <v>DOWN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85">
        <f>IFERROR(__xludf.DUMMYFUNCTION("""COMPUTED_VALUE"""),46244.64583333333)</f>
        <v>46244.64583</v>
      </c>
      <c r="C131" s="5">
        <f>IFERROR(__xludf.DUMMYFUNCTION("""COMPUTED_VALUE"""),57686.95)</f>
        <v>57686.95</v>
      </c>
      <c r="D131" s="97" t="str">
        <f t="shared" si="5"/>
        <v>DOWN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85">
        <f>IFERROR(__xludf.DUMMYFUNCTION("""COMPUTED_VALUE"""),46245.64583333333)</f>
        <v>46245.64583</v>
      </c>
      <c r="C132" s="5">
        <f>IFERROR(__xludf.DUMMYFUNCTION("""COMPUTED_VALUE"""),57446.25)</f>
        <v>57446.25</v>
      </c>
      <c r="D132" s="97" t="str">
        <f t="shared" si="5"/>
        <v>DOWN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85">
        <f>IFERROR(__xludf.DUMMYFUNCTION("""COMPUTED_VALUE"""),46246.64583333333)</f>
        <v>46246.64583</v>
      </c>
      <c r="C133" s="5">
        <f>IFERROR(__xludf.DUMMYFUNCTION("""COMPUTED_VALUE"""),57885.85)</f>
        <v>57885.85</v>
      </c>
      <c r="D133" s="103" t="str">
        <f t="shared" si="5"/>
        <v>UP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85">
        <f>IFERROR(__xludf.DUMMYFUNCTION("""COMPUTED_VALUE"""),46247.64583333333)</f>
        <v>46247.64583</v>
      </c>
      <c r="C134" s="5">
        <f>IFERROR(__xludf.DUMMYFUNCTION("""COMPUTED_VALUE"""),57635.25)</f>
        <v>57635.25</v>
      </c>
      <c r="D134" s="103" t="str">
        <f t="shared" si="5"/>
        <v>DOWN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85">
        <f>IFERROR(__xludf.DUMMYFUNCTION("""COMPUTED_VALUE"""),46248.64583333333)</f>
        <v>46248.64583</v>
      </c>
      <c r="C135" s="5">
        <f>IFERROR(__xludf.DUMMYFUNCTION("""COMPUTED_VALUE"""),57491.1)</f>
        <v>57491.1</v>
      </c>
      <c r="D135" s="103" t="str">
        <f t="shared" si="5"/>
        <v>DOWN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85">
        <f>IFERROR(__xludf.DUMMYFUNCTION("""COMPUTED_VALUE"""),46251.64583333333)</f>
        <v>46251.64583</v>
      </c>
      <c r="C136" s="5">
        <f>IFERROR(__xludf.DUMMYFUNCTION("""COMPUTED_VALUE"""),57497.8)</f>
        <v>57497.8</v>
      </c>
      <c r="D136" s="97" t="str">
        <f t="shared" si="5"/>
        <v>UP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85">
        <f>IFERROR(__xludf.DUMMYFUNCTION("""COMPUTED_VALUE"""),46252.64583333333)</f>
        <v>46252.64583</v>
      </c>
      <c r="C137" s="5">
        <f>IFERROR(__xludf.DUMMYFUNCTION("""COMPUTED_VALUE"""),57262.4)</f>
        <v>57262.4</v>
      </c>
      <c r="D137" s="103" t="str">
        <f t="shared" si="5"/>
        <v>DOWN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0">
        <v>40.0</v>
      </c>
      <c r="B138" s="85">
        <f>IFERROR(__xludf.DUMMYFUNCTION("""COMPUTED_VALUE"""),46253.64583333333)</f>
        <v>46253.64583</v>
      </c>
      <c r="C138" s="5">
        <f>IFERROR(__xludf.DUMMYFUNCTION("""COMPUTED_VALUE"""),57239.75)</f>
        <v>57239.75</v>
      </c>
      <c r="D138" s="97" t="str">
        <f t="shared" si="5"/>
        <v>DOWN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85">
        <f>IFERROR(__xludf.DUMMYFUNCTION("""COMPUTED_VALUE"""),46254.64583333333)</f>
        <v>46254.64583</v>
      </c>
      <c r="C139" s="5">
        <f>IFERROR(__xludf.DUMMYFUNCTION("""COMPUTED_VALUE"""),57495.9)</f>
        <v>57495.9</v>
      </c>
      <c r="D139" s="103" t="str">
        <f t="shared" si="5"/>
        <v>UP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85">
        <f>IFERROR(__xludf.DUMMYFUNCTION("""COMPUTED_VALUE"""),46255.64583333333)</f>
        <v>46255.64583</v>
      </c>
      <c r="C140" s="5">
        <f>IFERROR(__xludf.DUMMYFUNCTION("""COMPUTED_VALUE"""),57761.95)</f>
        <v>57761.95</v>
      </c>
      <c r="D140" s="103" t="str">
        <f t="shared" si="5"/>
        <v>UP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85">
        <f>IFERROR(__xludf.DUMMYFUNCTION("""COMPUTED_VALUE"""),46258.64583333333)</f>
        <v>46258.64583</v>
      </c>
      <c r="C141" s="5">
        <f>IFERROR(__xludf.DUMMYFUNCTION("""COMPUTED_VALUE"""),57525.95)</f>
        <v>57525.95</v>
      </c>
      <c r="D141" s="103" t="str">
        <f t="shared" si="5"/>
        <v>DOWN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85">
        <f>IFERROR(__xludf.DUMMYFUNCTION("""COMPUTED_VALUE"""),46259.64583333333)</f>
        <v>46259.64583</v>
      </c>
      <c r="C142" s="5">
        <f>IFERROR(__xludf.DUMMYFUNCTION("""COMPUTED_VALUE"""),57514.2)</f>
        <v>57514.2</v>
      </c>
      <c r="D142" s="97" t="str">
        <f t="shared" si="5"/>
        <v>DOWN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85">
        <f>IFERROR(__xludf.DUMMYFUNCTION("""COMPUTED_VALUE"""),46260.64583333333)</f>
        <v>46260.64583</v>
      </c>
      <c r="C143" s="5">
        <f>IFERROR(__xludf.DUMMYFUNCTION("""COMPUTED_VALUE"""),57783.75)</f>
        <v>57783.75</v>
      </c>
      <c r="D143" s="103" t="str">
        <f t="shared" si="5"/>
        <v>UP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85">
        <f>IFERROR(__xludf.DUMMYFUNCTION("""COMPUTED_VALUE"""),46261.64583333333)</f>
        <v>46261.64583</v>
      </c>
      <c r="C144" s="5">
        <f>IFERROR(__xludf.DUMMYFUNCTION("""COMPUTED_VALUE"""),57509.95)</f>
        <v>57509.95</v>
      </c>
      <c r="D144" s="103" t="str">
        <f t="shared" si="5"/>
        <v>DOWN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85">
        <f>IFERROR(__xludf.DUMMYFUNCTION("""COMPUTED_VALUE"""),46262.64583333333)</f>
        <v>46262.64583</v>
      </c>
      <c r="C145" s="5">
        <f>IFERROR(__xludf.DUMMYFUNCTION("""COMPUTED_VALUE"""),57496.3)</f>
        <v>57496.3</v>
      </c>
      <c r="D145" s="103" t="str">
        <f t="shared" si="5"/>
        <v>DOWN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85">
        <f>IFERROR(__xludf.DUMMYFUNCTION("""COMPUTED_VALUE"""),46265.64583333333)</f>
        <v>46265.64583</v>
      </c>
      <c r="C146" s="5">
        <f>IFERROR(__xludf.DUMMYFUNCTION("""COMPUTED_VALUE"""),58024.95)</f>
        <v>58024.95</v>
      </c>
      <c r="D146" s="103" t="str">
        <f t="shared" si="5"/>
        <v>UP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85">
        <f>IFERROR(__xludf.DUMMYFUNCTION("""COMPUTED_VALUE"""),46266.64583333333)</f>
        <v>46266.64583</v>
      </c>
      <c r="C147" s="5">
        <f>IFERROR(__xludf.DUMMYFUNCTION("""COMPUTED_VALUE"""),57409.6)</f>
        <v>57409.6</v>
      </c>
      <c r="D147" s="103" t="str">
        <f t="shared" si="5"/>
        <v>DOWN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0">
        <v>30.0</v>
      </c>
      <c r="B148" s="85">
        <f>IFERROR(__xludf.DUMMYFUNCTION("""COMPUTED_VALUE"""),46267.64583333333)</f>
        <v>46267.64583</v>
      </c>
      <c r="C148" s="5">
        <f>IFERROR(__xludf.DUMMYFUNCTION("""COMPUTED_VALUE"""),57172.0)</f>
        <v>57172</v>
      </c>
      <c r="D148" s="97" t="str">
        <f t="shared" si="5"/>
        <v>DOWN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85">
        <f>IFERROR(__xludf.DUMMYFUNCTION("""COMPUTED_VALUE"""),46268.64583333333)</f>
        <v>46268.64583</v>
      </c>
      <c r="C149" s="5">
        <f>IFERROR(__xludf.DUMMYFUNCTION("""COMPUTED_VALUE"""),57380.6)</f>
        <v>57380.6</v>
      </c>
      <c r="D149" s="97" t="str">
        <f t="shared" si="5"/>
        <v>UP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85">
        <f>IFERROR(__xludf.DUMMYFUNCTION("""COMPUTED_VALUE"""),46269.64583333333)</f>
        <v>46269.64583</v>
      </c>
      <c r="C150" s="5">
        <f>IFERROR(__xludf.DUMMYFUNCTION("""COMPUTED_VALUE"""),57369.65)</f>
        <v>57369.65</v>
      </c>
      <c r="D150" s="97" t="str">
        <f t="shared" si="5"/>
        <v>DOWN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85">
        <f>IFERROR(__xludf.DUMMYFUNCTION("""COMPUTED_VALUE"""),46272.64583333333)</f>
        <v>46272.64583</v>
      </c>
      <c r="C151" s="5">
        <f>IFERROR(__xludf.DUMMYFUNCTION("""COMPUTED_VALUE"""),57088.3)</f>
        <v>57088.3</v>
      </c>
      <c r="D151" s="97" t="str">
        <f t="shared" si="5"/>
        <v>DOWN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85">
        <f>IFERROR(__xludf.DUMMYFUNCTION("""COMPUTED_VALUE"""),46273.64583333333)</f>
        <v>46273.64583</v>
      </c>
      <c r="C152" s="5">
        <f>IFERROR(__xludf.DUMMYFUNCTION("""COMPUTED_VALUE"""),56777.55)</f>
        <v>56777.55</v>
      </c>
      <c r="D152" s="103" t="str">
        <f t="shared" si="5"/>
        <v>DOWN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85">
        <f>IFERROR(__xludf.DUMMYFUNCTION("""COMPUTED_VALUE"""),46274.64583333333)</f>
        <v>46274.64583</v>
      </c>
      <c r="C153" s="5">
        <f>IFERROR(__xludf.DUMMYFUNCTION("""COMPUTED_VALUE"""),56295.55)</f>
        <v>56295.55</v>
      </c>
      <c r="D153" s="103" t="str">
        <f t="shared" si="5"/>
        <v>DOWN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85">
        <f>IFERROR(__xludf.DUMMYFUNCTION("""COMPUTED_VALUE"""),46275.64583333333)</f>
        <v>46275.64583</v>
      </c>
      <c r="C154" s="5">
        <f>IFERROR(__xludf.DUMMYFUNCTION("""COMPUTED_VALUE"""),56471.95)</f>
        <v>56471.95</v>
      </c>
      <c r="D154" s="103" t="str">
        <f t="shared" si="5"/>
        <v>UP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85">
        <f>IFERROR(__xludf.DUMMYFUNCTION("""COMPUTED_VALUE"""),46276.64583333333)</f>
        <v>46276.64583</v>
      </c>
      <c r="C155" s="5">
        <f>IFERROR(__xludf.DUMMYFUNCTION("""COMPUTED_VALUE"""),56606.55)</f>
        <v>56606.55</v>
      </c>
      <c r="D155" s="97" t="str">
        <f t="shared" si="5"/>
        <v>UP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85">
        <f>IFERROR(__xludf.DUMMYFUNCTION("""COMPUTED_VALUE"""),46280.64583333333)</f>
        <v>46280.64583</v>
      </c>
      <c r="C156" s="5">
        <f>IFERROR(__xludf.DUMMYFUNCTION("""COMPUTED_VALUE"""),55794.75)</f>
        <v>55794.75</v>
      </c>
      <c r="D156" s="103" t="str">
        <f t="shared" si="5"/>
        <v>DOWN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85">
        <f>IFERROR(__xludf.DUMMYFUNCTION("""COMPUTED_VALUE"""),46281.64583333333)</f>
        <v>46281.64583</v>
      </c>
      <c r="C157" s="5">
        <f>IFERROR(__xludf.DUMMYFUNCTION("""COMPUTED_VALUE"""),56292.45)</f>
        <v>56292.45</v>
      </c>
      <c r="D157" s="97" t="str">
        <f t="shared" si="5"/>
        <v>UP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0">
        <v>20.0</v>
      </c>
      <c r="B158" s="85">
        <f>IFERROR(__xludf.DUMMYFUNCTION("""COMPUTED_VALUE"""),46282.64583333333)</f>
        <v>46282.64583</v>
      </c>
      <c r="C158" s="5">
        <f>IFERROR(__xludf.DUMMYFUNCTION("""COMPUTED_VALUE"""),56055.75)</f>
        <v>56055.75</v>
      </c>
      <c r="D158" s="97" t="str">
        <f t="shared" si="5"/>
        <v>DOWN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85">
        <f>IFERROR(__xludf.DUMMYFUNCTION("""COMPUTED_VALUE"""),46283.64583333333)</f>
        <v>46283.64583</v>
      </c>
      <c r="C159" s="5">
        <f>IFERROR(__xludf.DUMMYFUNCTION("""COMPUTED_VALUE"""),56358.7)</f>
        <v>56358.7</v>
      </c>
      <c r="D159" s="97" t="str">
        <f t="shared" si="5"/>
        <v>UP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85">
        <f>IFERROR(__xludf.DUMMYFUNCTION("""COMPUTED_VALUE"""),46286.64583333333)</f>
        <v>46286.64583</v>
      </c>
      <c r="C160" s="5">
        <f>IFERROR(__xludf.DUMMYFUNCTION("""COMPUTED_VALUE"""),56470.65)</f>
        <v>56470.65</v>
      </c>
      <c r="D160" s="97" t="str">
        <f t="shared" si="5"/>
        <v>UP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85">
        <f>IFERROR(__xludf.DUMMYFUNCTION("""COMPUTED_VALUE"""),46287.64583333333)</f>
        <v>46287.64583</v>
      </c>
      <c r="C161" s="5">
        <f>IFERROR(__xludf.DUMMYFUNCTION("""COMPUTED_VALUE"""),56215.55)</f>
        <v>56215.55</v>
      </c>
      <c r="D161" s="103" t="str">
        <f t="shared" si="5"/>
        <v>DOWN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85">
        <f>IFERROR(__xludf.DUMMYFUNCTION("""COMPUTED_VALUE"""),46288.64583333333)</f>
        <v>46288.64583</v>
      </c>
      <c r="C162" s="5">
        <f>IFERROR(__xludf.DUMMYFUNCTION("""COMPUTED_VALUE"""),56548.9)</f>
        <v>56548.9</v>
      </c>
      <c r="D162" s="97" t="str">
        <f t="shared" si="5"/>
        <v>UP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85">
        <f>IFERROR(__xludf.DUMMYFUNCTION("""COMPUTED_VALUE"""),46289.64583333333)</f>
        <v>46289.64583</v>
      </c>
      <c r="C163" s="5">
        <f>IFERROR(__xludf.DUMMYFUNCTION("""COMPUTED_VALUE"""),55438.5)</f>
        <v>55438.5</v>
      </c>
      <c r="D163" s="103" t="str">
        <f t="shared" si="5"/>
        <v>DOWN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85">
        <f>IFERROR(__xludf.DUMMYFUNCTION("""COMPUTED_VALUE"""),46290.64583333333)</f>
        <v>46290.64583</v>
      </c>
      <c r="C164" s="5">
        <f>IFERROR(__xludf.DUMMYFUNCTION("""COMPUTED_VALUE"""),55580.4)</f>
        <v>55580.4</v>
      </c>
      <c r="D164" s="103" t="str">
        <f t="shared" si="5"/>
        <v>UP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85">
        <f>IFERROR(__xludf.DUMMYFUNCTION("""COMPUTED_VALUE"""),46293.64583333333)</f>
        <v>46293.64583</v>
      </c>
      <c r="C165" s="5">
        <f>IFERROR(__xludf.DUMMYFUNCTION("""COMPUTED_VALUE"""),54471.65)</f>
        <v>54471.65</v>
      </c>
      <c r="D165" s="97" t="str">
        <f t="shared" si="5"/>
        <v>DOWN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85">
        <f>IFERROR(__xludf.DUMMYFUNCTION("""COMPUTED_VALUE"""),46294.64583333333)</f>
        <v>46294.64583</v>
      </c>
      <c r="C166" s="5">
        <f>IFERROR(__xludf.DUMMYFUNCTION("""COMPUTED_VALUE"""),54259.95)</f>
        <v>54259.95</v>
      </c>
      <c r="D166" s="97" t="str">
        <f t="shared" si="5"/>
        <v>DOWN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85">
        <f>IFERROR(__xludf.DUMMYFUNCTION("""COMPUTED_VALUE"""),46295.64583333333)</f>
        <v>46295.64583</v>
      </c>
      <c r="C167" s="5">
        <f>IFERROR(__xludf.DUMMYFUNCTION("""COMPUTED_VALUE"""),54633.05)</f>
        <v>54633.05</v>
      </c>
      <c r="D167" s="97" t="str">
        <f t="shared" si="5"/>
        <v>UP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0">
        <v>10.0</v>
      </c>
      <c r="B168" s="85">
        <f>IFERROR(__xludf.DUMMYFUNCTION("""COMPUTED_VALUE"""),46296.64583333333)</f>
        <v>46296.64583</v>
      </c>
      <c r="C168" s="5">
        <f>IFERROR(__xludf.DUMMYFUNCTION("""COMPUTED_VALUE"""),54450.75)</f>
        <v>54450.75</v>
      </c>
      <c r="D168" s="97" t="str">
        <f t="shared" si="5"/>
        <v>DOWN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85">
        <f>IFERROR(__xludf.DUMMYFUNCTION("""COMPUTED_VALUE"""),46300.64583333333)</f>
        <v>46300.64583</v>
      </c>
      <c r="C169" s="5">
        <f>IFERROR(__xludf.DUMMYFUNCTION("""COMPUTED_VALUE"""),54714.1)</f>
        <v>54714.1</v>
      </c>
      <c r="D169" s="97" t="str">
        <f t="shared" si="5"/>
        <v>UP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85">
        <f>IFERROR(__xludf.DUMMYFUNCTION("""COMPUTED_VALUE"""),46301.64583333333)</f>
        <v>46301.64583</v>
      </c>
      <c r="C170" s="5">
        <f>IFERROR(__xludf.DUMMYFUNCTION("""COMPUTED_VALUE"""),55128.4)</f>
        <v>55128.4</v>
      </c>
      <c r="D170" s="103" t="str">
        <f t="shared" si="5"/>
        <v>UP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85">
        <f>IFERROR(__xludf.DUMMYFUNCTION("""COMPUTED_VALUE"""),46302.64583333333)</f>
        <v>46302.64583</v>
      </c>
      <c r="C171" s="5">
        <f>IFERROR(__xludf.DUMMYFUNCTION("""COMPUTED_VALUE"""),55055.55)</f>
        <v>55055.55</v>
      </c>
      <c r="D171" s="97" t="str">
        <f t="shared" si="5"/>
        <v>DOWN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85">
        <f>IFERROR(__xludf.DUMMYFUNCTION("""COMPUTED_VALUE"""),46303.64583333333)</f>
        <v>46303.64583</v>
      </c>
      <c r="C172" s="5">
        <f>IFERROR(__xludf.DUMMYFUNCTION("""COMPUTED_VALUE"""),54515.05)</f>
        <v>54515.05</v>
      </c>
      <c r="D172" s="97" t="str">
        <f t="shared" si="5"/>
        <v>DOWN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85">
        <f>IFERROR(__xludf.DUMMYFUNCTION("""COMPUTED_VALUE"""),46304.64583333333)</f>
        <v>46304.64583</v>
      </c>
      <c r="C173" s="5">
        <f>IFERROR(__xludf.DUMMYFUNCTION("""COMPUTED_VALUE"""),55256.65)</f>
        <v>55256.65</v>
      </c>
      <c r="D173" s="97" t="str">
        <f t="shared" si="5"/>
        <v>UP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85">
        <f>IFERROR(__xludf.DUMMYFUNCTION("""COMPUTED_VALUE"""),46307.64583333333)</f>
        <v>46307.64583</v>
      </c>
      <c r="C174" s="5">
        <f>IFERROR(__xludf.DUMMYFUNCTION("""COMPUTED_VALUE"""),54918.0)</f>
        <v>54918</v>
      </c>
      <c r="D174" s="97" t="str">
        <f t="shared" si="5"/>
        <v>DOWN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85">
        <f>IFERROR(__xludf.DUMMYFUNCTION("""COMPUTED_VALUE"""),46308.64583333333)</f>
        <v>46308.64583</v>
      </c>
      <c r="C175" s="5">
        <f>IFERROR(__xludf.DUMMYFUNCTION("""COMPUTED_VALUE"""),55481.05)</f>
        <v>55481.05</v>
      </c>
      <c r="D175" s="97" t="str">
        <f t="shared" si="5"/>
        <v>UP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85">
        <f>IFERROR(__xludf.DUMMYFUNCTION("""COMPUTED_VALUE"""),46309.64583333333)</f>
        <v>46309.64583</v>
      </c>
      <c r="C176" s="5">
        <f>IFERROR(__xludf.DUMMYFUNCTION("""COMPUTED_VALUE"""),55316.0)</f>
        <v>55316</v>
      </c>
      <c r="D176" s="97" t="str">
        <f t="shared" si="5"/>
        <v>DOWN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85">
        <f>IFERROR(__xludf.DUMMYFUNCTION("""COMPUTED_VALUE"""),46310.64583333333)</f>
        <v>46310.64583</v>
      </c>
      <c r="C177" s="5">
        <f>IFERROR(__xludf.DUMMYFUNCTION("""COMPUTED_VALUE"""),55810.5)</f>
        <v>55810.5</v>
      </c>
      <c r="D177" s="97" t="str">
        <f t="shared" si="5"/>
        <v>UP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85">
        <f>IFERROR(__xludf.DUMMYFUNCTION("""COMPUTED_VALUE"""),46311.64583333333)</f>
        <v>46311.64583</v>
      </c>
      <c r="C178" s="5">
        <f>IFERROR(__xludf.DUMMYFUNCTION("""COMPUTED_VALUE"""),55844.0)</f>
        <v>55844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D10:D92 S10:S91 D96:D177">
    <cfRule type="cellIs" dxfId="8" priority="1" operator="equal">
      <formula>"UP"</formula>
    </cfRule>
  </conditionalFormatting>
  <conditionalFormatting sqref="D10:D92 S10:S91 D96:D177">
    <cfRule type="cellIs" dxfId="9" priority="2" operator="equal">
      <formula>"DOWN"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5" max="5" width="20.63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18.88"/>
    <col customWidth="1" min="20" max="20" width="26.0"/>
    <col customWidth="1" min="21" max="21" width="18.5"/>
    <col customWidth="1" min="24" max="24" width="13.38"/>
  </cols>
  <sheetData>
    <row r="1">
      <c r="A1" s="1"/>
      <c r="B1" s="2" t="s">
        <v>0</v>
      </c>
      <c r="C1" s="4">
        <f>AVERAGE(C98:C118)</f>
        <v>23182.7119</v>
      </c>
      <c r="D1" s="1"/>
      <c r="E1" s="2" t="s">
        <v>0</v>
      </c>
      <c r="F1" s="4">
        <f>AVERAGE(F98:F118)</f>
        <v>55858.24286</v>
      </c>
      <c r="G1" s="1">
        <f>STDEV(F74:F93)</f>
        <v>252.2445135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29</v>
      </c>
      <c r="V1" s="7" t="s">
        <v>31</v>
      </c>
      <c r="W1" s="7" t="s">
        <v>11</v>
      </c>
      <c r="X1" s="13" t="s">
        <v>12</v>
      </c>
      <c r="Y1" s="1"/>
      <c r="Z1" s="1"/>
      <c r="AA1" s="1"/>
      <c r="AB1" s="1"/>
      <c r="AC1" s="1"/>
    </row>
    <row r="2">
      <c r="A2" s="1"/>
      <c r="B2" s="17" t="s">
        <v>20</v>
      </c>
      <c r="C2" s="19">
        <f>AVERAGE(C18:C88)</f>
        <v>23990.77535</v>
      </c>
      <c r="D2" s="1"/>
      <c r="E2" s="17" t="s">
        <v>20</v>
      </c>
      <c r="F2" s="19">
        <f>AVERAGE(F88:F118)</f>
        <v>56406.52742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0.9714520153</v>
      </c>
      <c r="O2" s="7" t="s">
        <v>25</v>
      </c>
      <c r="P2" s="29">
        <f>AVERAGE(K88:K117)</f>
        <v>0.4164347244</v>
      </c>
      <c r="Q2" s="29">
        <f>MAX(K88:K117)</f>
        <v>0.4231050767</v>
      </c>
      <c r="R2" s="29">
        <f>MIN(K88:K117)</f>
        <v>0.4117840434</v>
      </c>
      <c r="S2" s="40">
        <f t="shared" ref="S2:S5" si="1">Q2-R2</f>
        <v>0.01132103328</v>
      </c>
      <c r="T2" s="1">
        <f>MATCH(MAX(K11:K116), K11:K116, 0)</f>
        <v>14</v>
      </c>
      <c r="U2" s="1">
        <f t="array" ref="U2">INDEX(C11:C116, MATCH(MAX(K11:K116), K11:K116, 0))</f>
        <v>23654.7</v>
      </c>
      <c r="V2" s="1">
        <f t="array" ref="V2">INDEX(F11:F116, MATCH(MAX(K11:K116), K11:K116, 0))</f>
        <v>53439.4</v>
      </c>
      <c r="W2" s="54">
        <f t="shared" ref="W2:W3" si="2">U2/V2</f>
        <v>0.4426453141</v>
      </c>
      <c r="X2" s="7" t="s">
        <v>2</v>
      </c>
      <c r="Y2" s="1"/>
      <c r="Z2" s="1"/>
      <c r="AA2" s="1"/>
      <c r="AB2" s="1"/>
      <c r="AC2" s="1"/>
    </row>
    <row r="3">
      <c r="A3" s="1">
        <f>STDEV(C75:C93)</f>
        <v>187.0035414</v>
      </c>
      <c r="B3" s="58" t="s">
        <v>61</v>
      </c>
      <c r="C3" s="61">
        <f>max(C98:C118)</f>
        <v>23897.7</v>
      </c>
      <c r="D3" s="65">
        <f>C1+A3*2</f>
        <v>23556.71899</v>
      </c>
      <c r="E3" s="58" t="s">
        <v>61</v>
      </c>
      <c r="F3" s="61">
        <f>max(F98:F118)</f>
        <v>57369.65</v>
      </c>
      <c r="G3" s="65">
        <f>F1+G1*2</f>
        <v>56362.73188</v>
      </c>
      <c r="H3" s="1"/>
      <c r="I3" s="1"/>
      <c r="J3" s="1"/>
      <c r="K3" s="1"/>
      <c r="L3" s="1"/>
      <c r="M3" s="7" t="s">
        <v>64</v>
      </c>
      <c r="N3" s="25">
        <f>CORREL(C58:C118,F58:F118)</f>
        <v>0.9421683384</v>
      </c>
      <c r="O3" s="7" t="s">
        <v>67</v>
      </c>
      <c r="P3" s="29">
        <f>AVERAGE((K58:K117))</f>
        <v>0.4191009298</v>
      </c>
      <c r="Q3" s="29">
        <f>MAX(K58:K117)</f>
        <v>0.4264750835</v>
      </c>
      <c r="R3" s="29">
        <f>MIN(K58:K117)</f>
        <v>0.4117840434</v>
      </c>
      <c r="S3" s="40">
        <f t="shared" si="1"/>
        <v>0.01469104016</v>
      </c>
      <c r="T3" s="1">
        <f>MATCH(Min(K11:K116), K11:K116, 0)</f>
        <v>106</v>
      </c>
      <c r="U3" s="1">
        <f t="array" ref="U3">INDEX(C11:C116, MATCH(Min(K11:K116), K11:K116, 0))</f>
        <v>22421.95</v>
      </c>
      <c r="V3" s="1">
        <f t="array" ref="V3">INDEX(F11:F116, MATCH(MIN(K11:K116), K11:K116, 0))</f>
        <v>54450.75</v>
      </c>
      <c r="W3" s="54">
        <f t="shared" si="2"/>
        <v>0.4117840434</v>
      </c>
      <c r="X3" s="7" t="s">
        <v>3</v>
      </c>
      <c r="Y3" s="1"/>
      <c r="Z3" s="1"/>
      <c r="AA3" s="1"/>
      <c r="AB3" s="1"/>
      <c r="AC3" s="1"/>
    </row>
    <row r="4">
      <c r="A4" s="1"/>
      <c r="B4" s="58" t="s">
        <v>73</v>
      </c>
      <c r="C4" s="61">
        <f>MIN(C98:C118)</f>
        <v>22421.95</v>
      </c>
      <c r="D4" s="65">
        <f>C1-A3*2</f>
        <v>22808.70482</v>
      </c>
      <c r="E4" s="58" t="s">
        <v>73</v>
      </c>
      <c r="F4" s="61">
        <f>MIN(F98:F118)</f>
        <v>54259.95</v>
      </c>
      <c r="G4" s="65">
        <f>F1-G1*2</f>
        <v>55353.75383</v>
      </c>
      <c r="H4" s="1"/>
      <c r="I4" s="1"/>
      <c r="J4" s="1"/>
      <c r="K4" s="1"/>
      <c r="L4" s="1"/>
      <c r="M4" s="7" t="s">
        <v>77</v>
      </c>
      <c r="N4" s="25">
        <f>CORREL(C28:C118,F28:F118)</f>
        <v>0.8344805222</v>
      </c>
      <c r="O4" s="7" t="s">
        <v>79</v>
      </c>
      <c r="P4" s="29">
        <f>AVERAGE(K28:K117)</f>
        <v>0.4198847091</v>
      </c>
      <c r="Q4" s="29">
        <f>MAX(K28:K117)</f>
        <v>0.437190785</v>
      </c>
      <c r="R4" s="29">
        <f>MIN(K28:K117)</f>
        <v>0.4117840434</v>
      </c>
      <c r="S4" s="40">
        <f t="shared" si="1"/>
        <v>0.02540674163</v>
      </c>
      <c r="T4" s="1"/>
      <c r="U4" s="1"/>
      <c r="V4" s="1"/>
      <c r="W4" s="54"/>
      <c r="X4" s="1"/>
      <c r="Y4" s="1"/>
      <c r="Z4" s="1"/>
      <c r="AA4" s="1"/>
      <c r="AB4" s="1"/>
      <c r="AC4" s="1"/>
    </row>
    <row r="5">
      <c r="A5" s="1"/>
      <c r="B5" s="58" t="s">
        <v>81</v>
      </c>
      <c r="C5" s="61">
        <f>max(C108:C118)</f>
        <v>23446.8</v>
      </c>
      <c r="D5" s="65">
        <f>C1+A3</f>
        <v>23369.71545</v>
      </c>
      <c r="E5" s="58" t="s">
        <v>81</v>
      </c>
      <c r="F5" s="61">
        <f>max(F108:F118)</f>
        <v>56548.9</v>
      </c>
      <c r="G5" s="65">
        <f>F1+G1</f>
        <v>56110.48737</v>
      </c>
      <c r="H5" s="1"/>
      <c r="I5" s="1"/>
      <c r="J5" s="1"/>
      <c r="K5" s="1"/>
      <c r="L5" s="1"/>
      <c r="M5" s="7" t="s">
        <v>82</v>
      </c>
      <c r="N5" s="25">
        <f>CORREL(C11:C118,F11:F118)</f>
        <v>0.6854624735</v>
      </c>
      <c r="O5" s="7" t="s">
        <v>83</v>
      </c>
      <c r="P5" s="29">
        <f>AVERAGE(K11:K117)</f>
        <v>0.4228142555</v>
      </c>
      <c r="Q5" s="29">
        <f>MAX(K11:K117)</f>
        <v>0.4426453141</v>
      </c>
      <c r="R5" s="29">
        <f>MIN(K11:K117)</f>
        <v>0.4117840434</v>
      </c>
      <c r="S5" s="40">
        <f t="shared" si="1"/>
        <v>0.03086127075</v>
      </c>
      <c r="T5" s="96" t="s">
        <v>29</v>
      </c>
      <c r="U5" s="96">
        <v>4.0</v>
      </c>
      <c r="V5" s="99">
        <f>U2*U7*U5</f>
        <v>4730940</v>
      </c>
      <c r="W5" s="109">
        <f>V2*U6*U8</f>
        <v>2404773</v>
      </c>
      <c r="X5" s="99"/>
      <c r="Y5" s="1"/>
      <c r="Z5" s="1"/>
      <c r="AA5" s="1"/>
      <c r="AB5" s="1"/>
      <c r="AC5" s="1"/>
    </row>
    <row r="6">
      <c r="A6" s="1"/>
      <c r="B6" s="58" t="s">
        <v>87</v>
      </c>
      <c r="C6" s="61">
        <f>MIN(C108:C118)</f>
        <v>22421.95</v>
      </c>
      <c r="D6" s="65">
        <f>C1-A3</f>
        <v>22995.70836</v>
      </c>
      <c r="E6" s="58" t="s">
        <v>87</v>
      </c>
      <c r="F6" s="61">
        <f>MIN(F108:F118)</f>
        <v>54259.95</v>
      </c>
      <c r="G6" s="65">
        <f>F1-G1</f>
        <v>55605.99834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31</v>
      </c>
      <c r="U6" s="96">
        <v>3.0</v>
      </c>
      <c r="V6" s="99">
        <f>U3*U5*U7</f>
        <v>4484390</v>
      </c>
      <c r="W6" s="99">
        <f>V3*U6*U8</f>
        <v>2450283.75</v>
      </c>
      <c r="X6" s="99"/>
      <c r="Y6" s="109"/>
      <c r="Z6" s="1"/>
      <c r="AA6" s="1"/>
      <c r="AB6" s="1"/>
      <c r="AC6" s="1"/>
    </row>
    <row r="7">
      <c r="A7" s="1"/>
      <c r="B7" s="7" t="s">
        <v>88</v>
      </c>
      <c r="C7" s="1">
        <f>max(C88:C118)</f>
        <v>24334.55</v>
      </c>
      <c r="D7" s="1"/>
      <c r="E7" s="7" t="s">
        <v>88</v>
      </c>
      <c r="F7" s="1">
        <f>max(F88:F118)</f>
        <v>58024.95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7" t="s">
        <v>29</v>
      </c>
      <c r="U7" s="7">
        <v>50.0</v>
      </c>
      <c r="V7" s="1"/>
      <c r="W7" s="1"/>
      <c r="X7" s="1"/>
      <c r="Y7" s="1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23182.7119</v>
      </c>
      <c r="D8" s="1"/>
      <c r="E8" s="58" t="s">
        <v>90</v>
      </c>
      <c r="F8" s="107">
        <f>AVERAGE(F98:F118)</f>
        <v>55858.24286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7" t="s">
        <v>31</v>
      </c>
      <c r="U8" s="7">
        <v>15.0</v>
      </c>
      <c r="V8" s="1"/>
      <c r="W8" s="1"/>
      <c r="X8" s="1"/>
      <c r="Y8" s="1"/>
      <c r="Z8" s="1"/>
      <c r="AA8" s="1"/>
      <c r="AB8" s="1"/>
      <c r="AC8" s="1"/>
    </row>
    <row r="9">
      <c r="A9" s="1"/>
      <c r="B9" s="13" t="s">
        <v>28</v>
      </c>
      <c r="C9" s="1"/>
      <c r="D9" s="1"/>
      <c r="E9" s="13" t="s">
        <v>56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" t="str">
        <f>IFERROR(__xludf.DUMMYFUNCTION("GOOGLEFINANCE(B9,""price"",TODAY()-166,TODAY())"),"Date")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IFERROR(__xludf.DUMMYFUNCTION("GOOGLEFINANCE(E9,""price"",TODAY()-166,TODAY())"),"Date")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106</v>
      </c>
      <c r="M10" s="7" t="s">
        <v>107</v>
      </c>
      <c r="N10" s="7" t="s">
        <v>108</v>
      </c>
      <c r="O10" s="7" t="s">
        <v>109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">
        <v>29</v>
      </c>
      <c r="AA10" s="111" t="s">
        <v>110</v>
      </c>
      <c r="AB10" s="1"/>
      <c r="AC10" s="1"/>
    </row>
    <row r="11">
      <c r="A11" s="1"/>
      <c r="B11" s="112">
        <f>IFERROR(__xludf.DUMMYFUNCTION("""COMPUTED_VALUE"""),46146.64583333333)</f>
        <v>46146.64583</v>
      </c>
      <c r="C11" s="1">
        <f>IFERROR(__xludf.DUMMYFUNCTION("""COMPUTED_VALUE"""),24119.3)</f>
        <v>24119.3</v>
      </c>
      <c r="D11" s="1"/>
      <c r="E11" s="112">
        <f>IFERROR(__xludf.DUMMYFUNCTION("""COMPUTED_VALUE"""),46146.64583333333)</f>
        <v>46146.64583</v>
      </c>
      <c r="F11" s="1">
        <f>IFERROR(__xludf.DUMMYFUNCTION("""COMPUTED_VALUE"""),54878.5)</f>
        <v>54878.5</v>
      </c>
      <c r="G11" s="1"/>
      <c r="H11" s="29">
        <f t="shared" ref="H11:H123" si="3">C11/F11</f>
        <v>0.4395036307</v>
      </c>
      <c r="I11" s="1">
        <f t="shared" ref="I11:I118" si="4">C11-F11</f>
        <v>-30759.2</v>
      </c>
      <c r="J11" s="113">
        <f t="shared" ref="J11:J118" si="5">((I11-$I$129)/$I$130)</f>
        <v>1.484505495</v>
      </c>
      <c r="K11" s="29">
        <f t="shared" ref="K11:K119" si="6">C11/F11</f>
        <v>0.4395036307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>
        <f>V5-V6</f>
        <v>246550</v>
      </c>
      <c r="W11" s="120">
        <f>W6-W5</f>
        <v>45510.75</v>
      </c>
      <c r="X11" s="109">
        <f>V11+W11</f>
        <v>292060.75</v>
      </c>
      <c r="Y11" s="110" t="s">
        <v>101</v>
      </c>
      <c r="Z11" s="115">
        <f>AVERAGE(C88,C118)</f>
        <v>23514.05</v>
      </c>
      <c r="AA11" s="115">
        <f>AVERAGE(F88,F118)</f>
        <v>56445.175</v>
      </c>
      <c r="AB11" s="1"/>
      <c r="AC11" s="1"/>
    </row>
    <row r="12">
      <c r="A12" s="1"/>
      <c r="B12" s="112">
        <f>IFERROR(__xludf.DUMMYFUNCTION("""COMPUTED_VALUE"""),46147.64583333333)</f>
        <v>46147.64583</v>
      </c>
      <c r="C12" s="1">
        <f>IFERROR(__xludf.DUMMYFUNCTION("""COMPUTED_VALUE"""),24032.8)</f>
        <v>24032.8</v>
      </c>
      <c r="D12" s="1"/>
      <c r="E12" s="112">
        <f>IFERROR(__xludf.DUMMYFUNCTION("""COMPUTED_VALUE"""),46147.64583333333)</f>
        <v>46147.64583</v>
      </c>
      <c r="F12" s="1">
        <f>IFERROR(__xludf.DUMMYFUNCTION("""COMPUTED_VALUE"""),54547.05)</f>
        <v>54547.05</v>
      </c>
      <c r="G12" s="1"/>
      <c r="H12" s="29">
        <f t="shared" si="3"/>
        <v>0.4405884461</v>
      </c>
      <c r="I12" s="1">
        <f t="shared" si="4"/>
        <v>-30514.25</v>
      </c>
      <c r="J12" s="113">
        <f t="shared" si="5"/>
        <v>1.683887574</v>
      </c>
      <c r="K12" s="29">
        <f t="shared" si="6"/>
        <v>0.4405884461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S2/3</f>
        <v>0.00377367776</v>
      </c>
      <c r="V12" s="1"/>
      <c r="W12" s="1"/>
      <c r="X12" s="1"/>
      <c r="Y12" s="110" t="s">
        <v>104</v>
      </c>
      <c r="Z12" s="115">
        <f>AVERAGE(C58,C118)</f>
        <v>23491.5</v>
      </c>
      <c r="AA12" s="115">
        <f>AVERAGE(F58,F118)</f>
        <v>56587.15</v>
      </c>
      <c r="AB12" s="1"/>
      <c r="AC12" s="1"/>
    </row>
    <row r="13">
      <c r="A13" s="1"/>
      <c r="B13" s="112">
        <f>IFERROR(__xludf.DUMMYFUNCTION("""COMPUTED_VALUE"""),46148.64583333333)</f>
        <v>46148.64583</v>
      </c>
      <c r="C13" s="1">
        <f>IFERROR(__xludf.DUMMYFUNCTION("""COMPUTED_VALUE"""),24330.95)</f>
        <v>24330.95</v>
      </c>
      <c r="D13" s="1"/>
      <c r="E13" s="112">
        <f>IFERROR(__xludf.DUMMYFUNCTION("""COMPUTED_VALUE"""),46148.64583333333)</f>
        <v>46148.64583</v>
      </c>
      <c r="F13" s="1">
        <f>IFERROR(__xludf.DUMMYFUNCTION("""COMPUTED_VALUE"""),55981.05)</f>
        <v>55981.05</v>
      </c>
      <c r="G13" s="1"/>
      <c r="H13" s="29">
        <f t="shared" si="3"/>
        <v>0.4346283251</v>
      </c>
      <c r="I13" s="1">
        <f t="shared" si="4"/>
        <v>-31650.1</v>
      </c>
      <c r="J13" s="113">
        <f t="shared" si="5"/>
        <v>0.759339157</v>
      </c>
      <c r="K13" s="29">
        <f t="shared" si="6"/>
        <v>0.4346283251</v>
      </c>
      <c r="L13" s="1"/>
      <c r="M13" s="1"/>
      <c r="N13" s="1"/>
      <c r="O13" s="25"/>
      <c r="P13" s="1"/>
      <c r="Q13" s="1"/>
      <c r="R13" s="1"/>
      <c r="S13" s="9"/>
      <c r="T13" s="117"/>
      <c r="U13" s="118">
        <f>(X11*U12)/S2</f>
        <v>97353.58333</v>
      </c>
      <c r="V13" s="117"/>
      <c r="W13" s="117"/>
      <c r="X13" s="119">
        <f>X11/(R2/U12)</f>
        <v>2676.507686</v>
      </c>
      <c r="Y13" s="110" t="s">
        <v>105</v>
      </c>
      <c r="Z13" s="115">
        <f>AVERAGE(C28,C118)</f>
        <v>23341.625</v>
      </c>
      <c r="AA13" s="115">
        <f>AVERAGE(F28,F118)</f>
        <v>54991.125</v>
      </c>
      <c r="AB13" s="1"/>
      <c r="AC13" s="1"/>
    </row>
    <row r="14">
      <c r="A14" s="1"/>
      <c r="B14" s="112">
        <f>IFERROR(__xludf.DUMMYFUNCTION("""COMPUTED_VALUE"""),46149.64583333333)</f>
        <v>46149.64583</v>
      </c>
      <c r="C14" s="1">
        <f>IFERROR(__xludf.DUMMYFUNCTION("""COMPUTED_VALUE"""),24326.65)</f>
        <v>24326.65</v>
      </c>
      <c r="D14" s="1"/>
      <c r="E14" s="112">
        <f>IFERROR(__xludf.DUMMYFUNCTION("""COMPUTED_VALUE"""),46149.64583333333)</f>
        <v>46149.64583</v>
      </c>
      <c r="F14" s="1">
        <f>IFERROR(__xludf.DUMMYFUNCTION("""COMPUTED_VALUE"""),56047.4)</f>
        <v>56047.4</v>
      </c>
      <c r="G14" s="1"/>
      <c r="H14" s="29">
        <f t="shared" si="3"/>
        <v>0.4340370829</v>
      </c>
      <c r="I14" s="1">
        <f t="shared" si="4"/>
        <v>-31720.75</v>
      </c>
      <c r="J14" s="113">
        <f t="shared" si="5"/>
        <v>0.7018321396</v>
      </c>
      <c r="K14" s="29">
        <f t="shared" si="6"/>
        <v>0.4340370829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3"/>
      <c r="Z14" s="1"/>
      <c r="AA14" s="1"/>
      <c r="AB14" s="1"/>
      <c r="AC14" s="1"/>
    </row>
    <row r="15">
      <c r="A15" s="1"/>
      <c r="B15" s="112">
        <f>IFERROR(__xludf.DUMMYFUNCTION("""COMPUTED_VALUE"""),46150.64583333333)</f>
        <v>46150.64583</v>
      </c>
      <c r="C15" s="1">
        <f>IFERROR(__xludf.DUMMYFUNCTION("""COMPUTED_VALUE"""),24176.15)</f>
        <v>24176.15</v>
      </c>
      <c r="D15" s="1"/>
      <c r="E15" s="112">
        <f>IFERROR(__xludf.DUMMYFUNCTION("""COMPUTED_VALUE"""),46150.64583333333)</f>
        <v>46150.64583</v>
      </c>
      <c r="F15" s="1">
        <f>IFERROR(__xludf.DUMMYFUNCTION("""COMPUTED_VALUE"""),55310.55)</f>
        <v>55310.55</v>
      </c>
      <c r="G15" s="1"/>
      <c r="H15" s="29">
        <f t="shared" si="3"/>
        <v>0.4370983474</v>
      </c>
      <c r="I15" s="1">
        <f t="shared" si="4"/>
        <v>-31134.4</v>
      </c>
      <c r="J15" s="113">
        <f t="shared" si="5"/>
        <v>1.179103755</v>
      </c>
      <c r="K15" s="29">
        <f t="shared" si="6"/>
        <v>0.4370983474</v>
      </c>
      <c r="L15" s="1"/>
      <c r="M15" s="1"/>
      <c r="N15" s="1"/>
      <c r="O15" s="1"/>
      <c r="P15" s="1"/>
      <c r="Q15" s="1"/>
      <c r="R15" s="1"/>
      <c r="S15" s="123"/>
      <c r="T15" s="123"/>
      <c r="U15" s="123"/>
      <c r="V15" s="123"/>
      <c r="W15" s="123"/>
      <c r="X15" s="123"/>
      <c r="Y15" s="123"/>
      <c r="Z15" s="1"/>
      <c r="AA15" s="1"/>
      <c r="AB15" s="1"/>
      <c r="AC15" s="1"/>
    </row>
    <row r="16">
      <c r="A16" s="1"/>
      <c r="B16" s="112">
        <f>IFERROR(__xludf.DUMMYFUNCTION("""COMPUTED_VALUE"""),46153.64583333333)</f>
        <v>46153.64583</v>
      </c>
      <c r="C16" s="1">
        <f>IFERROR(__xludf.DUMMYFUNCTION("""COMPUTED_VALUE"""),23815.85)</f>
        <v>23815.85</v>
      </c>
      <c r="D16" s="1"/>
      <c r="E16" s="112">
        <f>IFERROR(__xludf.DUMMYFUNCTION("""COMPUTED_VALUE"""),46153.64583333333)</f>
        <v>46153.64583</v>
      </c>
      <c r="F16" s="1">
        <f>IFERROR(__xludf.DUMMYFUNCTION("""COMPUTED_VALUE"""),54439.9)</f>
        <v>54439.9</v>
      </c>
      <c r="G16" s="1"/>
      <c r="H16" s="29">
        <f t="shared" si="3"/>
        <v>0.437470495</v>
      </c>
      <c r="I16" s="1">
        <f t="shared" si="4"/>
        <v>-30624.05</v>
      </c>
      <c r="J16" s="113">
        <f t="shared" si="5"/>
        <v>1.594513611</v>
      </c>
      <c r="K16" s="29">
        <f t="shared" si="6"/>
        <v>0.437470495</v>
      </c>
      <c r="L16" s="1"/>
      <c r="M16" s="1"/>
      <c r="N16" s="1"/>
      <c r="O16" s="1"/>
      <c r="P16" s="1"/>
      <c r="Q16" s="1"/>
      <c r="R16" s="1"/>
      <c r="S16" s="117"/>
      <c r="T16" s="125"/>
      <c r="U16" s="126"/>
      <c r="V16" s="123"/>
      <c r="W16" s="123"/>
      <c r="X16" s="123"/>
      <c r="Y16" s="123"/>
      <c r="Z16" s="1"/>
      <c r="AA16" s="1"/>
      <c r="AB16" s="1"/>
      <c r="AC16" s="1"/>
    </row>
    <row r="17">
      <c r="A17" s="1"/>
      <c r="B17" s="112">
        <f>IFERROR(__xludf.DUMMYFUNCTION("""COMPUTED_VALUE"""),46154.64583333333)</f>
        <v>46154.64583</v>
      </c>
      <c r="C17" s="1">
        <f>IFERROR(__xludf.DUMMYFUNCTION("""COMPUTED_VALUE"""),23379.55)</f>
        <v>23379.55</v>
      </c>
      <c r="D17" s="1"/>
      <c r="E17" s="112">
        <f>IFERROR(__xludf.DUMMYFUNCTION("""COMPUTED_VALUE"""),46154.64583333333)</f>
        <v>46154.64583</v>
      </c>
      <c r="F17" s="1">
        <f>IFERROR(__xludf.DUMMYFUNCTION("""COMPUTED_VALUE"""),53555.2)</f>
        <v>53555.2</v>
      </c>
      <c r="G17" s="1"/>
      <c r="H17" s="29">
        <f t="shared" si="3"/>
        <v>0.4365505124</v>
      </c>
      <c r="I17" s="1">
        <f t="shared" si="4"/>
        <v>-30175.65</v>
      </c>
      <c r="J17" s="113">
        <f t="shared" si="5"/>
        <v>1.959497993</v>
      </c>
      <c r="K17" s="29">
        <f t="shared" si="6"/>
        <v>0.4365505124</v>
      </c>
      <c r="L17" s="1"/>
      <c r="M17" s="1"/>
      <c r="N17" s="1"/>
      <c r="O17" s="1"/>
      <c r="P17" s="1"/>
      <c r="Q17" s="1"/>
      <c r="R17" s="1"/>
      <c r="S17" s="123"/>
      <c r="T17" s="123"/>
      <c r="U17" s="123"/>
      <c r="V17" s="123"/>
      <c r="W17" s="123"/>
      <c r="X17" s="123"/>
      <c r="Y17" s="123"/>
      <c r="Z17" s="1"/>
      <c r="AA17" s="1"/>
      <c r="AB17" s="1"/>
      <c r="AC17" s="1"/>
    </row>
    <row r="18">
      <c r="A18" s="1"/>
      <c r="B18" s="112">
        <f>IFERROR(__xludf.DUMMYFUNCTION("""COMPUTED_VALUE"""),46155.64583333333)</f>
        <v>46155.64583</v>
      </c>
      <c r="C18" s="1">
        <f>IFERROR(__xludf.DUMMYFUNCTION("""COMPUTED_VALUE"""),23412.6)</f>
        <v>23412.6</v>
      </c>
      <c r="D18" s="1"/>
      <c r="E18" s="112">
        <f>IFERROR(__xludf.DUMMYFUNCTION("""COMPUTED_VALUE"""),46155.64583333333)</f>
        <v>46155.64583</v>
      </c>
      <c r="F18" s="1">
        <f>IFERROR(__xludf.DUMMYFUNCTION("""COMPUTED_VALUE"""),53456.15)</f>
        <v>53456.15</v>
      </c>
      <c r="G18" s="1"/>
      <c r="H18" s="29">
        <f t="shared" si="3"/>
        <v>0.4379776695</v>
      </c>
      <c r="I18" s="1">
        <f t="shared" si="4"/>
        <v>-30043.55</v>
      </c>
      <c r="J18" s="113">
        <f t="shared" si="5"/>
        <v>2.067023499</v>
      </c>
      <c r="K18" s="29">
        <f t="shared" si="6"/>
        <v>0.4379776695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IFERROR(__xludf.DUMMYFUNCTION("""COMPUTED_VALUE"""),46156.64583333333)</f>
        <v>46156.64583</v>
      </c>
      <c r="C19" s="1">
        <f>IFERROR(__xludf.DUMMYFUNCTION("""COMPUTED_VALUE"""),23689.6)</f>
        <v>23689.6</v>
      </c>
      <c r="D19" s="1"/>
      <c r="E19" s="112">
        <f>IFERROR(__xludf.DUMMYFUNCTION("""COMPUTED_VALUE"""),46156.64583333333)</f>
        <v>46156.64583</v>
      </c>
      <c r="F19" s="1">
        <f>IFERROR(__xludf.DUMMYFUNCTION("""COMPUTED_VALUE"""),54128.95)</f>
        <v>54128.95</v>
      </c>
      <c r="G19" s="1"/>
      <c r="H19" s="29">
        <f t="shared" si="3"/>
        <v>0.4376512014</v>
      </c>
      <c r="I19" s="1">
        <f t="shared" si="4"/>
        <v>-30439.35</v>
      </c>
      <c r="J19" s="113">
        <f t="shared" si="5"/>
        <v>1.744853967</v>
      </c>
      <c r="K19" s="29">
        <f t="shared" si="6"/>
        <v>0.4376512014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IFERROR(__xludf.DUMMYFUNCTION("""COMPUTED_VALUE"""),46157.64583333333)</f>
        <v>46157.64583</v>
      </c>
      <c r="C20" s="1">
        <f>IFERROR(__xludf.DUMMYFUNCTION("""COMPUTED_VALUE"""),23643.5)</f>
        <v>23643.5</v>
      </c>
      <c r="D20" s="1"/>
      <c r="E20" s="112">
        <f>IFERROR(__xludf.DUMMYFUNCTION("""COMPUTED_VALUE"""),46157.64583333333)</f>
        <v>46157.64583</v>
      </c>
      <c r="F20" s="1">
        <f>IFERROR(__xludf.DUMMYFUNCTION("""COMPUTED_VALUE"""),53710.35)</f>
        <v>53710.35</v>
      </c>
      <c r="G20" s="1"/>
      <c r="H20" s="29">
        <f t="shared" si="3"/>
        <v>0.4402037968</v>
      </c>
      <c r="I20" s="1">
        <f t="shared" si="4"/>
        <v>-30066.85</v>
      </c>
      <c r="J20" s="113">
        <f t="shared" si="5"/>
        <v>2.048057986</v>
      </c>
      <c r="K20" s="29">
        <f t="shared" si="6"/>
        <v>0.4402037968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IFERROR(__xludf.DUMMYFUNCTION("""COMPUTED_VALUE"""),46160.64583333333)</f>
        <v>46160.64583</v>
      </c>
      <c r="C21" s="1">
        <f>IFERROR(__xludf.DUMMYFUNCTION("""COMPUTED_VALUE"""),23649.95)</f>
        <v>23649.95</v>
      </c>
      <c r="D21" s="1"/>
      <c r="E21" s="112">
        <f>IFERROR(__xludf.DUMMYFUNCTION("""COMPUTED_VALUE"""),46160.64583333333)</f>
        <v>46160.64583</v>
      </c>
      <c r="F21" s="1">
        <f>IFERROR(__xludf.DUMMYFUNCTION("""COMPUTED_VALUE"""),53537.0)</f>
        <v>53537</v>
      </c>
      <c r="G21" s="1"/>
      <c r="H21" s="29">
        <f t="shared" si="3"/>
        <v>0.4417496311</v>
      </c>
      <c r="I21" s="1">
        <f t="shared" si="4"/>
        <v>-29887.05</v>
      </c>
      <c r="J21" s="113">
        <f t="shared" si="5"/>
        <v>2.194409886</v>
      </c>
      <c r="K21" s="29">
        <f t="shared" si="6"/>
        <v>0.4417496311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IFERROR(__xludf.DUMMYFUNCTION("""COMPUTED_VALUE"""),46161.64583333333)</f>
        <v>46161.64583</v>
      </c>
      <c r="C22" s="1">
        <f>IFERROR(__xludf.DUMMYFUNCTION("""COMPUTED_VALUE"""),23618.0)</f>
        <v>23618</v>
      </c>
      <c r="D22" s="1"/>
      <c r="E22" s="112">
        <f>IFERROR(__xludf.DUMMYFUNCTION("""COMPUTED_VALUE"""),46161.64583333333)</f>
        <v>46161.64583</v>
      </c>
      <c r="F22" s="1">
        <f>IFERROR(__xludf.DUMMYFUNCTION("""COMPUTED_VALUE"""),53409.15)</f>
        <v>53409.15</v>
      </c>
      <c r="G22" s="1"/>
      <c r="H22" s="29">
        <f t="shared" si="3"/>
        <v>0.4422088724</v>
      </c>
      <c r="I22" s="1">
        <f t="shared" si="4"/>
        <v>-29791.15</v>
      </c>
      <c r="J22" s="113">
        <f t="shared" si="5"/>
        <v>2.272469659</v>
      </c>
      <c r="K22" s="29">
        <f t="shared" si="6"/>
        <v>0.4422088724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IFERROR(__xludf.DUMMYFUNCTION("""COMPUTED_VALUE"""),46162.64583333333)</f>
        <v>46162.64583</v>
      </c>
      <c r="C23" s="1">
        <f>IFERROR(__xludf.DUMMYFUNCTION("""COMPUTED_VALUE"""),23659.0)</f>
        <v>23659</v>
      </c>
      <c r="D23" s="1"/>
      <c r="E23" s="112">
        <f>IFERROR(__xludf.DUMMYFUNCTION("""COMPUTED_VALUE"""),46162.64583333333)</f>
        <v>46162.64583</v>
      </c>
      <c r="F23" s="1">
        <f>IFERROR(__xludf.DUMMYFUNCTION("""COMPUTED_VALUE"""),53562.2)</f>
        <v>53562.2</v>
      </c>
      <c r="G23" s="1"/>
      <c r="H23" s="29">
        <f t="shared" si="3"/>
        <v>0.4417107587</v>
      </c>
      <c r="I23" s="1">
        <f t="shared" si="4"/>
        <v>-29903.2</v>
      </c>
      <c r="J23" s="113">
        <f t="shared" si="5"/>
        <v>2.181264262</v>
      </c>
      <c r="K23" s="29">
        <f t="shared" si="6"/>
        <v>0.4417107587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IFERROR(__xludf.DUMMYFUNCTION("""COMPUTED_VALUE"""),46163.64583333333)</f>
        <v>46163.64583</v>
      </c>
      <c r="C24" s="1">
        <f>IFERROR(__xludf.DUMMYFUNCTION("""COMPUTED_VALUE"""),23654.7)</f>
        <v>23654.7</v>
      </c>
      <c r="D24" s="1"/>
      <c r="E24" s="112">
        <f>IFERROR(__xludf.DUMMYFUNCTION("""COMPUTED_VALUE"""),46163.64583333333)</f>
        <v>46163.64583</v>
      </c>
      <c r="F24" s="1">
        <f>IFERROR(__xludf.DUMMYFUNCTION("""COMPUTED_VALUE"""),53439.4)</f>
        <v>53439.4</v>
      </c>
      <c r="G24" s="1"/>
      <c r="H24" s="29">
        <f t="shared" si="3"/>
        <v>0.4426453141</v>
      </c>
      <c r="I24" s="1">
        <f t="shared" si="4"/>
        <v>-29784.7</v>
      </c>
      <c r="J24" s="113">
        <f t="shared" si="5"/>
        <v>2.277719769</v>
      </c>
      <c r="K24" s="29">
        <f t="shared" si="6"/>
        <v>0.4426453141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IFERROR(__xludf.DUMMYFUNCTION("""COMPUTED_VALUE"""),46164.64583333333)</f>
        <v>46164.64583</v>
      </c>
      <c r="C25" s="1">
        <f>IFERROR(__xludf.DUMMYFUNCTION("""COMPUTED_VALUE"""),23719.3)</f>
        <v>23719.3</v>
      </c>
      <c r="D25" s="1"/>
      <c r="E25" s="112">
        <f>IFERROR(__xludf.DUMMYFUNCTION("""COMPUTED_VALUE"""),46164.64583333333)</f>
        <v>46164.64583</v>
      </c>
      <c r="F25" s="1">
        <f>IFERROR(__xludf.DUMMYFUNCTION("""COMPUTED_VALUE"""),54055.35)</f>
        <v>54055.35</v>
      </c>
      <c r="G25" s="1"/>
      <c r="H25" s="29">
        <f t="shared" si="3"/>
        <v>0.4387965299</v>
      </c>
      <c r="I25" s="1">
        <f t="shared" si="4"/>
        <v>-30336.05</v>
      </c>
      <c r="J25" s="113">
        <f t="shared" si="5"/>
        <v>1.828937122</v>
      </c>
      <c r="K25" s="29">
        <f t="shared" si="6"/>
        <v>0.4387965299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IFERROR(__xludf.DUMMYFUNCTION("""COMPUTED_VALUE"""),46167.64583333333)</f>
        <v>46167.64583</v>
      </c>
      <c r="C26" s="1">
        <f>IFERROR(__xludf.DUMMYFUNCTION("""COMPUTED_VALUE"""),24031.7)</f>
        <v>24031.7</v>
      </c>
      <c r="D26" s="1"/>
      <c r="E26" s="112">
        <f>IFERROR(__xludf.DUMMYFUNCTION("""COMPUTED_VALUE"""),46167.64583333333)</f>
        <v>46167.64583</v>
      </c>
      <c r="F26" s="1">
        <f>IFERROR(__xludf.DUMMYFUNCTION("""COMPUTED_VALUE"""),55293.65)</f>
        <v>55293.65</v>
      </c>
      <c r="G26" s="1"/>
      <c r="H26" s="29">
        <f t="shared" si="3"/>
        <v>0.4346195268</v>
      </c>
      <c r="I26" s="1">
        <f t="shared" si="4"/>
        <v>-31261.95</v>
      </c>
      <c r="J26" s="113">
        <f t="shared" si="5"/>
        <v>1.075281815</v>
      </c>
      <c r="K26" s="29">
        <f t="shared" si="6"/>
        <v>0.4346195268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IFERROR(__xludf.DUMMYFUNCTION("""COMPUTED_VALUE"""),46168.64583333333)</f>
        <v>46168.64583</v>
      </c>
      <c r="C27" s="1">
        <f>IFERROR(__xludf.DUMMYFUNCTION("""COMPUTED_VALUE"""),23913.7)</f>
        <v>23913.7</v>
      </c>
      <c r="D27" s="1"/>
      <c r="E27" s="112">
        <f>IFERROR(__xludf.DUMMYFUNCTION("""COMPUTED_VALUE"""),46168.64583333333)</f>
        <v>46168.64583</v>
      </c>
      <c r="F27" s="1">
        <f>IFERROR(__xludf.DUMMYFUNCTION("""COMPUTED_VALUE"""),55092.9)</f>
        <v>55092.9</v>
      </c>
      <c r="G27" s="1"/>
      <c r="H27" s="29">
        <f t="shared" si="3"/>
        <v>0.4340613763</v>
      </c>
      <c r="I27" s="1">
        <f t="shared" si="4"/>
        <v>-31179.2</v>
      </c>
      <c r="J27" s="113">
        <f t="shared" si="5"/>
        <v>1.142637876</v>
      </c>
      <c r="K27" s="29">
        <f t="shared" si="6"/>
        <v>0.4340613763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0.4163286494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IFERROR(__xludf.DUMMYFUNCTION("""COMPUTED_VALUE"""),46169.64583333333)</f>
        <v>46169.64583</v>
      </c>
      <c r="C28" s="1">
        <f>IFERROR(__xludf.DUMMYFUNCTION("""COMPUTED_VALUE"""),23907.15)</f>
        <v>23907.15</v>
      </c>
      <c r="D28" s="1"/>
      <c r="E28" s="112">
        <f>IFERROR(__xludf.DUMMYFUNCTION("""COMPUTED_VALUE"""),46169.64583333333)</f>
        <v>46169.64583</v>
      </c>
      <c r="F28" s="1">
        <f>IFERROR(__xludf.DUMMYFUNCTION("""COMPUTED_VALUE"""),54853.85)</f>
        <v>54853.85</v>
      </c>
      <c r="G28" s="1"/>
      <c r="H28" s="29">
        <f t="shared" si="3"/>
        <v>0.4358335832</v>
      </c>
      <c r="I28" s="1">
        <f t="shared" si="4"/>
        <v>-30946.7</v>
      </c>
      <c r="J28" s="113">
        <f t="shared" si="5"/>
        <v>1.331886022</v>
      </c>
      <c r="K28" s="29">
        <f t="shared" si="6"/>
        <v>0.4358335832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0.4231050767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IFERROR(__xludf.DUMMYFUNCTION("""COMPUTED_VALUE"""),46171.64583333333)</f>
        <v>46171.64583</v>
      </c>
      <c r="C29" s="1">
        <f>IFERROR(__xludf.DUMMYFUNCTION("""COMPUTED_VALUE"""),23547.75)</f>
        <v>23547.75</v>
      </c>
      <c r="D29" s="1"/>
      <c r="E29" s="112">
        <f>IFERROR(__xludf.DUMMYFUNCTION("""COMPUTED_VALUE"""),46171.64583333333)</f>
        <v>46171.64583</v>
      </c>
      <c r="F29" s="1">
        <f>IFERROR(__xludf.DUMMYFUNCTION("""COMPUTED_VALUE"""),54239.2)</f>
        <v>54239.2</v>
      </c>
      <c r="G29" s="1"/>
      <c r="H29" s="29">
        <f t="shared" si="3"/>
        <v>0.434146337</v>
      </c>
      <c r="I29" s="1">
        <f t="shared" si="4"/>
        <v>-30691.45</v>
      </c>
      <c r="J29" s="113">
        <f t="shared" si="5"/>
        <v>1.539651998</v>
      </c>
      <c r="K29" s="29">
        <f t="shared" si="6"/>
        <v>0.434146337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IFERROR(__xludf.DUMMYFUNCTION("""COMPUTED_VALUE"""),46174.64583333333)</f>
        <v>46174.64583</v>
      </c>
      <c r="C30" s="1">
        <f>IFERROR(__xludf.DUMMYFUNCTION("""COMPUTED_VALUE"""),23382.6)</f>
        <v>23382.6</v>
      </c>
      <c r="D30" s="1"/>
      <c r="E30" s="112">
        <f>IFERROR(__xludf.DUMMYFUNCTION("""COMPUTED_VALUE"""),46174.64583333333)</f>
        <v>46174.64583</v>
      </c>
      <c r="F30" s="1">
        <f>IFERROR(__xludf.DUMMYFUNCTION("""COMPUTED_VALUE"""),53643.1)</f>
        <v>53643.1</v>
      </c>
      <c r="G30" s="1"/>
      <c r="H30" s="29">
        <f t="shared" si="3"/>
        <v>0.4358920346</v>
      </c>
      <c r="I30" s="1">
        <f t="shared" si="4"/>
        <v>-30260.5</v>
      </c>
      <c r="J30" s="113">
        <f t="shared" si="5"/>
        <v>1.890432594</v>
      </c>
      <c r="K30" s="29">
        <f t="shared" si="6"/>
        <v>0.4358920346</v>
      </c>
      <c r="L30" s="1">
        <f t="shared" ref="L30:L119" si="7">AVERAGE(C11:C30)</f>
        <v>23800.54</v>
      </c>
      <c r="M30" s="25">
        <f t="shared" ref="M30:M119" si="8">(C30-L30)/C30</f>
        <v>-0.01787397466</v>
      </c>
      <c r="N30" s="65">
        <f t="shared" ref="N30:N119" si="9">AVERAGE(F11:F30)</f>
        <v>54359.045</v>
      </c>
      <c r="O30" s="25">
        <f t="shared" ref="O30:O119" si="10">(F30-N30)/F30</f>
        <v>-0.01334645089</v>
      </c>
      <c r="P30" s="25">
        <f t="shared" ref="P30:P119" si="11">M30-O30</f>
        <v>-0.00452752377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IFERROR(__xludf.DUMMYFUNCTION("""COMPUTED_VALUE"""),46175.64583333333)</f>
        <v>46175.64583</v>
      </c>
      <c r="C31" s="1">
        <f>IFERROR(__xludf.DUMMYFUNCTION("""COMPUTED_VALUE"""),23483.55)</f>
        <v>23483.55</v>
      </c>
      <c r="D31" s="1"/>
      <c r="E31" s="112">
        <f>IFERROR(__xludf.DUMMYFUNCTION("""COMPUTED_VALUE"""),46175.64583333333)</f>
        <v>46175.64583</v>
      </c>
      <c r="F31" s="1">
        <f>IFERROR(__xludf.DUMMYFUNCTION("""COMPUTED_VALUE"""),53714.65)</f>
        <v>53714.65</v>
      </c>
      <c r="G31" s="1"/>
      <c r="H31" s="29">
        <f t="shared" si="3"/>
        <v>0.437190785</v>
      </c>
      <c r="I31" s="1">
        <f t="shared" si="4"/>
        <v>-30231.1</v>
      </c>
      <c r="J31" s="113">
        <f t="shared" si="5"/>
        <v>1.914363328</v>
      </c>
      <c r="K31" s="29">
        <f t="shared" si="6"/>
        <v>0.437190785</v>
      </c>
      <c r="L31" s="65">
        <f t="shared" si="7"/>
        <v>23768.7525</v>
      </c>
      <c r="M31" s="25">
        <f t="shared" si="8"/>
        <v>-0.01214477794</v>
      </c>
      <c r="N31" s="65">
        <f t="shared" si="9"/>
        <v>54300.8525</v>
      </c>
      <c r="O31" s="25">
        <f t="shared" si="10"/>
        <v>-0.0109132704</v>
      </c>
      <c r="P31" s="25">
        <f t="shared" si="11"/>
        <v>-0.001231507538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IFERROR(__xludf.DUMMYFUNCTION("""COMPUTED_VALUE"""),46176.64583333333)</f>
        <v>46176.64583</v>
      </c>
      <c r="C32" s="1">
        <f>IFERROR(__xludf.DUMMYFUNCTION("""COMPUTED_VALUE"""),23405.6)</f>
        <v>23405.6</v>
      </c>
      <c r="D32" s="1"/>
      <c r="E32" s="112">
        <f>IFERROR(__xludf.DUMMYFUNCTION("""COMPUTED_VALUE"""),46176.64583333333)</f>
        <v>46176.64583</v>
      </c>
      <c r="F32" s="1">
        <f>IFERROR(__xludf.DUMMYFUNCTION("""COMPUTED_VALUE"""),54185.95)</f>
        <v>54185.95</v>
      </c>
      <c r="G32" s="1"/>
      <c r="H32" s="29">
        <f t="shared" si="3"/>
        <v>0.4319496106</v>
      </c>
      <c r="I32" s="1">
        <f t="shared" si="4"/>
        <v>-30780.35</v>
      </c>
      <c r="J32" s="113">
        <f t="shared" si="5"/>
        <v>1.467290019</v>
      </c>
      <c r="K32" s="29">
        <f t="shared" si="6"/>
        <v>0.4319496106</v>
      </c>
      <c r="L32" s="65">
        <f t="shared" si="7"/>
        <v>23737.3925</v>
      </c>
      <c r="M32" s="25">
        <f t="shared" si="8"/>
        <v>-0.01417577417</v>
      </c>
      <c r="N32" s="65">
        <f t="shared" si="9"/>
        <v>54282.7975</v>
      </c>
      <c r="O32" s="25">
        <f t="shared" si="10"/>
        <v>-0.001787317561</v>
      </c>
      <c r="P32" s="25">
        <f t="shared" si="11"/>
        <v>-0.01238845661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IFERROR(__xludf.DUMMYFUNCTION("""COMPUTED_VALUE"""),46177.64583333333)</f>
        <v>46177.64583</v>
      </c>
      <c r="C33" s="1">
        <f>IFERROR(__xludf.DUMMYFUNCTION("""COMPUTED_VALUE"""),23416.55)</f>
        <v>23416.55</v>
      </c>
      <c r="D33" s="1"/>
      <c r="E33" s="112">
        <f>IFERROR(__xludf.DUMMYFUNCTION("""COMPUTED_VALUE"""),46177.64583333333)</f>
        <v>46177.64583</v>
      </c>
      <c r="F33" s="1">
        <f>IFERROR(__xludf.DUMMYFUNCTION("""COMPUTED_VALUE"""),54307.85)</f>
        <v>54307.85</v>
      </c>
      <c r="G33" s="1"/>
      <c r="H33" s="29">
        <f t="shared" si="3"/>
        <v>0.43118168</v>
      </c>
      <c r="I33" s="1">
        <f t="shared" si="4"/>
        <v>-30891.3</v>
      </c>
      <c r="J33" s="113">
        <f t="shared" si="5"/>
        <v>1.376979989</v>
      </c>
      <c r="K33" s="29">
        <f t="shared" si="6"/>
        <v>0.43118168</v>
      </c>
      <c r="L33" s="65">
        <f t="shared" si="7"/>
        <v>23691.6725</v>
      </c>
      <c r="M33" s="25">
        <f t="shared" si="8"/>
        <v>-0.01174906209</v>
      </c>
      <c r="N33" s="65">
        <f t="shared" si="9"/>
        <v>54199.1375</v>
      </c>
      <c r="O33" s="25">
        <f t="shared" si="10"/>
        <v>0.002001782431</v>
      </c>
      <c r="P33" s="25">
        <f t="shared" si="11"/>
        <v>-0.01375084453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IFERROR(__xludf.DUMMYFUNCTION("""COMPUTED_VALUE"""),46178.64583333333)</f>
        <v>46178.64583</v>
      </c>
      <c r="C34" s="1">
        <f>IFERROR(__xludf.DUMMYFUNCTION("""COMPUTED_VALUE"""),23366.7)</f>
        <v>23366.7</v>
      </c>
      <c r="D34" s="1"/>
      <c r="E34" s="112">
        <f>IFERROR(__xludf.DUMMYFUNCTION("""COMPUTED_VALUE"""),46178.64583333333)</f>
        <v>46178.64583</v>
      </c>
      <c r="F34" s="1">
        <f>IFERROR(__xludf.DUMMYFUNCTION("""COMPUTED_VALUE"""),54496.25)</f>
        <v>54496.25</v>
      </c>
      <c r="G34" s="1"/>
      <c r="H34" s="29">
        <f t="shared" si="3"/>
        <v>0.4287762919</v>
      </c>
      <c r="I34" s="1">
        <f t="shared" si="4"/>
        <v>-31129.55</v>
      </c>
      <c r="J34" s="113">
        <f t="shared" si="5"/>
        <v>1.183051512</v>
      </c>
      <c r="K34" s="29">
        <f t="shared" si="6"/>
        <v>0.4287762919</v>
      </c>
      <c r="L34" s="65">
        <f t="shared" si="7"/>
        <v>23643.675</v>
      </c>
      <c r="M34" s="25">
        <f t="shared" si="8"/>
        <v>-0.01185340677</v>
      </c>
      <c r="N34" s="65">
        <f t="shared" si="9"/>
        <v>54121.58</v>
      </c>
      <c r="O34" s="25">
        <f t="shared" si="10"/>
        <v>0.00687515196</v>
      </c>
      <c r="P34" s="25">
        <f t="shared" si="11"/>
        <v>-0.01872855873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IFERROR(__xludf.DUMMYFUNCTION("""COMPUTED_VALUE"""),46181.64583333333)</f>
        <v>46181.64583</v>
      </c>
      <c r="C35" s="1">
        <f>IFERROR(__xludf.DUMMYFUNCTION("""COMPUTED_VALUE"""),23123.0)</f>
        <v>23123</v>
      </c>
      <c r="D35" s="1"/>
      <c r="E35" s="112">
        <f>IFERROR(__xludf.DUMMYFUNCTION("""COMPUTED_VALUE"""),46181.64583333333)</f>
        <v>46181.64583</v>
      </c>
      <c r="F35" s="1">
        <f>IFERROR(__xludf.DUMMYFUNCTION("""COMPUTED_VALUE"""),54063.75)</f>
        <v>54063.75</v>
      </c>
      <c r="G35" s="1"/>
      <c r="H35" s="29">
        <f t="shared" si="3"/>
        <v>0.4276987815</v>
      </c>
      <c r="I35" s="1">
        <f t="shared" si="4"/>
        <v>-30940.75</v>
      </c>
      <c r="J35" s="113">
        <f t="shared" si="5"/>
        <v>1.336729147</v>
      </c>
      <c r="K35" s="29">
        <f t="shared" si="6"/>
        <v>0.4276987815</v>
      </c>
      <c r="L35" s="65">
        <f t="shared" si="7"/>
        <v>23591.0175</v>
      </c>
      <c r="M35" s="25">
        <f t="shared" si="8"/>
        <v>-0.02024034511</v>
      </c>
      <c r="N35" s="65">
        <f t="shared" si="9"/>
        <v>54059.24</v>
      </c>
      <c r="O35" s="25">
        <f t="shared" si="10"/>
        <v>0.00008342003653</v>
      </c>
      <c r="P35" s="25">
        <f t="shared" si="11"/>
        <v>-0.02032376515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IFERROR(__xludf.DUMMYFUNCTION("""COMPUTED_VALUE"""),46182.64583333333)</f>
        <v>46182.64583</v>
      </c>
      <c r="C36" s="1">
        <f>IFERROR(__xludf.DUMMYFUNCTION("""COMPUTED_VALUE"""),23242.1)</f>
        <v>23242.1</v>
      </c>
      <c r="D36" s="1"/>
      <c r="E36" s="112">
        <f>IFERROR(__xludf.DUMMYFUNCTION("""COMPUTED_VALUE"""),46182.64583333333)</f>
        <v>46182.64583</v>
      </c>
      <c r="F36" s="1">
        <f>IFERROR(__xludf.DUMMYFUNCTION("""COMPUTED_VALUE"""),55194.5)</f>
        <v>55194.5</v>
      </c>
      <c r="G36" s="1"/>
      <c r="H36" s="29">
        <f t="shared" si="3"/>
        <v>0.4210944931</v>
      </c>
      <c r="I36" s="1">
        <f t="shared" si="4"/>
        <v>-31952.4</v>
      </c>
      <c r="J36" s="113">
        <f t="shared" si="5"/>
        <v>0.5132758682</v>
      </c>
      <c r="K36" s="29">
        <f t="shared" si="6"/>
        <v>0.4210944931</v>
      </c>
      <c r="L36" s="65">
        <f t="shared" si="7"/>
        <v>23562.33</v>
      </c>
      <c r="M36" s="25">
        <f t="shared" si="8"/>
        <v>-0.0137780149</v>
      </c>
      <c r="N36" s="65">
        <f t="shared" si="9"/>
        <v>54096.97</v>
      </c>
      <c r="O36" s="25">
        <f t="shared" si="10"/>
        <v>0.01988477113</v>
      </c>
      <c r="P36" s="25">
        <f t="shared" si="11"/>
        <v>-0.03366278602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IFERROR(__xludf.DUMMYFUNCTION("""COMPUTED_VALUE"""),46183.64583333333)</f>
        <v>46183.64583</v>
      </c>
      <c r="C37" s="1">
        <f>IFERROR(__xludf.DUMMYFUNCTION("""COMPUTED_VALUE"""),23214.95)</f>
        <v>23214.95</v>
      </c>
      <c r="D37" s="1"/>
      <c r="E37" s="112">
        <f>IFERROR(__xludf.DUMMYFUNCTION("""COMPUTED_VALUE"""),46183.64583333333)</f>
        <v>46183.64583</v>
      </c>
      <c r="F37" s="1">
        <f>IFERROR(__xludf.DUMMYFUNCTION("""COMPUTED_VALUE"""),55100.3)</f>
        <v>55100.3</v>
      </c>
      <c r="G37" s="1"/>
      <c r="H37" s="29">
        <f t="shared" si="3"/>
        <v>0.4213216625</v>
      </c>
      <c r="I37" s="1">
        <f t="shared" si="4"/>
        <v>-31885.35</v>
      </c>
      <c r="J37" s="113">
        <f t="shared" si="5"/>
        <v>0.5678525917</v>
      </c>
      <c r="K37" s="29">
        <f t="shared" si="6"/>
        <v>0.4213216625</v>
      </c>
      <c r="L37" s="65">
        <f t="shared" si="7"/>
        <v>23554.1</v>
      </c>
      <c r="M37" s="25">
        <f t="shared" si="8"/>
        <v>-0.01460912042</v>
      </c>
      <c r="N37" s="65">
        <f t="shared" si="9"/>
        <v>54174.225</v>
      </c>
      <c r="O37" s="25">
        <f t="shared" si="10"/>
        <v>0.01680707728</v>
      </c>
      <c r="P37" s="25">
        <f t="shared" si="11"/>
        <v>-0.03141619769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27"/>
      <c r="B38" s="128">
        <f>IFERROR(__xludf.DUMMYFUNCTION("""COMPUTED_VALUE"""),46184.64583333333)</f>
        <v>46184.64583</v>
      </c>
      <c r="C38" s="127">
        <f>IFERROR(__xludf.DUMMYFUNCTION("""COMPUTED_VALUE"""),23161.6)</f>
        <v>23161.6</v>
      </c>
      <c r="D38" s="127"/>
      <c r="E38" s="128">
        <f>IFERROR(__xludf.DUMMYFUNCTION("""COMPUTED_VALUE"""),46184.64583333333)</f>
        <v>46184.64583</v>
      </c>
      <c r="F38" s="127">
        <f>IFERROR(__xludf.DUMMYFUNCTION("""COMPUTED_VALUE"""),55176.75)</f>
        <v>55176.75</v>
      </c>
      <c r="G38" s="127"/>
      <c r="H38" s="129">
        <f t="shared" si="3"/>
        <v>0.4197710086</v>
      </c>
      <c r="I38" s="127">
        <f t="shared" si="4"/>
        <v>-32015.15</v>
      </c>
      <c r="J38" s="130">
        <f t="shared" si="5"/>
        <v>0.4621992179</v>
      </c>
      <c r="K38" s="129">
        <f t="shared" si="6"/>
        <v>0.4197710086</v>
      </c>
      <c r="L38" s="131">
        <f t="shared" si="7"/>
        <v>23541.55</v>
      </c>
      <c r="M38" s="132">
        <f t="shared" si="8"/>
        <v>-0.01640430713</v>
      </c>
      <c r="N38" s="131">
        <f t="shared" si="9"/>
        <v>54260.255</v>
      </c>
      <c r="O38" s="132">
        <f t="shared" si="10"/>
        <v>0.01661016642</v>
      </c>
      <c r="P38" s="132">
        <f t="shared" si="11"/>
        <v>-0.03301447355</v>
      </c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</row>
    <row r="39">
      <c r="A39" s="1"/>
      <c r="B39" s="112">
        <f>IFERROR(__xludf.DUMMYFUNCTION("""COMPUTED_VALUE"""),46185.64583333333)</f>
        <v>46185.64583</v>
      </c>
      <c r="C39" s="1">
        <f>IFERROR(__xludf.DUMMYFUNCTION("""COMPUTED_VALUE"""),23622.9)</f>
        <v>23622.9</v>
      </c>
      <c r="D39" s="1"/>
      <c r="E39" s="112">
        <f>IFERROR(__xludf.DUMMYFUNCTION("""COMPUTED_VALUE"""),46185.64583333333)</f>
        <v>46185.64583</v>
      </c>
      <c r="F39" s="1">
        <f>IFERROR(__xludf.DUMMYFUNCTION("""COMPUTED_VALUE"""),56814.8)</f>
        <v>56814.8</v>
      </c>
      <c r="G39" s="1"/>
      <c r="H39" s="29">
        <f t="shared" si="3"/>
        <v>0.4157877877</v>
      </c>
      <c r="I39" s="1">
        <f t="shared" si="4"/>
        <v>-33191.9</v>
      </c>
      <c r="J39" s="113">
        <f t="shared" si="5"/>
        <v>-0.4956405939</v>
      </c>
      <c r="K39" s="29">
        <f t="shared" si="6"/>
        <v>0.4157877877</v>
      </c>
      <c r="L39" s="65">
        <f t="shared" si="7"/>
        <v>23538.215</v>
      </c>
      <c r="M39" s="25">
        <f t="shared" si="8"/>
        <v>0.00358486892</v>
      </c>
      <c r="N39" s="65">
        <f t="shared" si="9"/>
        <v>54394.5475</v>
      </c>
      <c r="O39" s="25">
        <f t="shared" si="10"/>
        <v>0.04259897949</v>
      </c>
      <c r="P39" s="25">
        <f t="shared" si="11"/>
        <v>-0.03901411057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IFERROR(__xludf.DUMMYFUNCTION("""COMPUTED_VALUE"""),46188.64583333333)</f>
        <v>46188.64583</v>
      </c>
      <c r="C40" s="1">
        <f>IFERROR(__xludf.DUMMYFUNCTION("""COMPUTED_VALUE"""),23853.9)</f>
        <v>23853.9</v>
      </c>
      <c r="D40" s="1"/>
      <c r="E40" s="112">
        <f>IFERROR(__xludf.DUMMYFUNCTION("""COMPUTED_VALUE"""),46188.64583333333)</f>
        <v>46188.64583</v>
      </c>
      <c r="F40" s="1">
        <f>IFERROR(__xludf.DUMMYFUNCTION("""COMPUTED_VALUE"""),57198.8)</f>
        <v>57198.8</v>
      </c>
      <c r="G40" s="1"/>
      <c r="H40" s="29">
        <f t="shared" si="3"/>
        <v>0.4170349728</v>
      </c>
      <c r="I40" s="1">
        <f t="shared" si="4"/>
        <v>-33344.9</v>
      </c>
      <c r="J40" s="113">
        <f t="shared" si="5"/>
        <v>-0.6201780838</v>
      </c>
      <c r="K40" s="29">
        <f t="shared" si="6"/>
        <v>0.4170349728</v>
      </c>
      <c r="L40" s="65">
        <f t="shared" si="7"/>
        <v>23548.735</v>
      </c>
      <c r="M40" s="25">
        <f t="shared" si="8"/>
        <v>0.01279308625</v>
      </c>
      <c r="N40" s="65">
        <f t="shared" si="9"/>
        <v>54568.97</v>
      </c>
      <c r="O40" s="25">
        <f t="shared" si="10"/>
        <v>0.0459770135</v>
      </c>
      <c r="P40" s="25">
        <f t="shared" si="11"/>
        <v>-0.03318392726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IFERROR(__xludf.DUMMYFUNCTION("""COMPUTED_VALUE"""),46189.64583333333)</f>
        <v>46189.64583</v>
      </c>
      <c r="C41" s="1">
        <f>IFERROR(__xludf.DUMMYFUNCTION("""COMPUTED_VALUE"""),23989.15)</f>
        <v>23989.15</v>
      </c>
      <c r="D41" s="1"/>
      <c r="E41" s="112">
        <f>IFERROR(__xludf.DUMMYFUNCTION("""COMPUTED_VALUE"""),46189.64583333333)</f>
        <v>46189.64583</v>
      </c>
      <c r="F41" s="1">
        <f>IFERROR(__xludf.DUMMYFUNCTION("""COMPUTED_VALUE"""),57297.15)</f>
        <v>57297.15</v>
      </c>
      <c r="G41" s="1"/>
      <c r="H41" s="29">
        <f t="shared" si="3"/>
        <v>0.4186796376</v>
      </c>
      <c r="I41" s="1">
        <f t="shared" si="4"/>
        <v>-33308</v>
      </c>
      <c r="J41" s="113">
        <f t="shared" si="5"/>
        <v>-0.5901425715</v>
      </c>
      <c r="K41" s="29">
        <f t="shared" si="6"/>
        <v>0.4186796376</v>
      </c>
      <c r="L41" s="65">
        <f t="shared" si="7"/>
        <v>23565.695</v>
      </c>
      <c r="M41" s="25">
        <f t="shared" si="8"/>
        <v>0.01765193848</v>
      </c>
      <c r="N41" s="65">
        <f t="shared" si="9"/>
        <v>54756.9775</v>
      </c>
      <c r="O41" s="25">
        <f t="shared" si="10"/>
        <v>0.04433331326</v>
      </c>
      <c r="P41" s="25">
        <f t="shared" si="11"/>
        <v>-0.02668137478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IFERROR(__xludf.DUMMYFUNCTION("""COMPUTED_VALUE"""),46190.64583333333)</f>
        <v>46190.64583</v>
      </c>
      <c r="C42" s="1">
        <f>IFERROR(__xludf.DUMMYFUNCTION("""COMPUTED_VALUE"""),24085.7)</f>
        <v>24085.7</v>
      </c>
      <c r="D42" s="1"/>
      <c r="E42" s="112">
        <f>IFERROR(__xludf.DUMMYFUNCTION("""COMPUTED_VALUE"""),46190.64583333333)</f>
        <v>46190.64583</v>
      </c>
      <c r="F42" s="1">
        <f>IFERROR(__xludf.DUMMYFUNCTION("""COMPUTED_VALUE"""),57585.05)</f>
        <v>57585.05</v>
      </c>
      <c r="G42" s="1"/>
      <c r="H42" s="29">
        <f t="shared" si="3"/>
        <v>0.4182630735</v>
      </c>
      <c r="I42" s="1">
        <f t="shared" si="4"/>
        <v>-33499.35</v>
      </c>
      <c r="J42" s="113">
        <f t="shared" si="5"/>
        <v>-0.7458958309</v>
      </c>
      <c r="K42" s="29">
        <f t="shared" si="6"/>
        <v>0.4182630735</v>
      </c>
      <c r="L42" s="65">
        <f t="shared" si="7"/>
        <v>23589.08</v>
      </c>
      <c r="M42" s="25">
        <f t="shared" si="8"/>
        <v>0.02061887344</v>
      </c>
      <c r="N42" s="65">
        <f t="shared" si="9"/>
        <v>54965.7725</v>
      </c>
      <c r="O42" s="25">
        <f t="shared" si="10"/>
        <v>0.04548537337</v>
      </c>
      <c r="P42" s="25">
        <f t="shared" si="11"/>
        <v>-0.02486649993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IFERROR(__xludf.DUMMYFUNCTION("""COMPUTED_VALUE"""),46191.64583333333)</f>
        <v>46191.64583</v>
      </c>
      <c r="C43" s="1">
        <f>IFERROR(__xludf.DUMMYFUNCTION("""COMPUTED_VALUE"""),24168.0)</f>
        <v>24168</v>
      </c>
      <c r="D43" s="1"/>
      <c r="E43" s="112">
        <f>IFERROR(__xludf.DUMMYFUNCTION("""COMPUTED_VALUE"""),46191.64583333333)</f>
        <v>46191.64583</v>
      </c>
      <c r="F43" s="1">
        <f>IFERROR(__xludf.DUMMYFUNCTION("""COMPUTED_VALUE"""),57963.8)</f>
        <v>57963.8</v>
      </c>
      <c r="G43" s="1"/>
      <c r="H43" s="29">
        <f t="shared" si="3"/>
        <v>0.4169498894</v>
      </c>
      <c r="I43" s="1">
        <f t="shared" si="4"/>
        <v>-33795.8</v>
      </c>
      <c r="J43" s="113">
        <f t="shared" si="5"/>
        <v>-0.9871973922</v>
      </c>
      <c r="K43" s="29">
        <f t="shared" si="6"/>
        <v>0.4169498894</v>
      </c>
      <c r="L43" s="65">
        <f t="shared" si="7"/>
        <v>23614.53</v>
      </c>
      <c r="M43" s="25">
        <f t="shared" si="8"/>
        <v>0.0229009434</v>
      </c>
      <c r="N43" s="65">
        <f t="shared" si="9"/>
        <v>55185.8525</v>
      </c>
      <c r="O43" s="25">
        <f t="shared" si="10"/>
        <v>0.04792555871</v>
      </c>
      <c r="P43" s="25">
        <f t="shared" si="11"/>
        <v>-0.02502461531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IFERROR(__xludf.DUMMYFUNCTION("""COMPUTED_VALUE"""),46192.64583333333)</f>
        <v>46192.64583</v>
      </c>
      <c r="C44" s="1">
        <f>IFERROR(__xludf.DUMMYFUNCTION("""COMPUTED_VALUE"""),24013.1)</f>
        <v>24013.1</v>
      </c>
      <c r="D44" s="1"/>
      <c r="E44" s="112">
        <f>IFERROR(__xludf.DUMMYFUNCTION("""COMPUTED_VALUE"""),46192.64583333333)</f>
        <v>46192.64583</v>
      </c>
      <c r="F44" s="1">
        <f>IFERROR(__xludf.DUMMYFUNCTION("""COMPUTED_VALUE"""),57685.75)</f>
        <v>57685.75</v>
      </c>
      <c r="G44" s="1"/>
      <c r="H44" s="29">
        <f t="shared" si="3"/>
        <v>0.4162743832</v>
      </c>
      <c r="I44" s="1">
        <f t="shared" si="4"/>
        <v>-33672.65</v>
      </c>
      <c r="J44" s="113">
        <f t="shared" si="5"/>
        <v>-0.8869569224</v>
      </c>
      <c r="K44" s="29">
        <f t="shared" si="6"/>
        <v>0.4162743832</v>
      </c>
      <c r="L44" s="65">
        <f t="shared" si="7"/>
        <v>23632.45</v>
      </c>
      <c r="M44" s="25">
        <f t="shared" si="8"/>
        <v>0.01585176425</v>
      </c>
      <c r="N44" s="65">
        <f t="shared" si="9"/>
        <v>55398.17</v>
      </c>
      <c r="O44" s="25">
        <f t="shared" si="10"/>
        <v>0.03965589422</v>
      </c>
      <c r="P44" s="25">
        <f t="shared" si="11"/>
        <v>-0.02380412997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IFERROR(__xludf.DUMMYFUNCTION("""COMPUTED_VALUE"""),46195.64583333333)</f>
        <v>46195.64583</v>
      </c>
      <c r="C45" s="1">
        <f>IFERROR(__xludf.DUMMYFUNCTION("""COMPUTED_VALUE"""),24102.9)</f>
        <v>24102.9</v>
      </c>
      <c r="D45" s="1"/>
      <c r="E45" s="112">
        <f>IFERROR(__xludf.DUMMYFUNCTION("""COMPUTED_VALUE"""),46195.64583333333)</f>
        <v>46195.64583</v>
      </c>
      <c r="F45" s="1">
        <f>IFERROR(__xludf.DUMMYFUNCTION("""COMPUTED_VALUE"""),57935.6)</f>
        <v>57935.6</v>
      </c>
      <c r="G45" s="1"/>
      <c r="H45" s="29">
        <f t="shared" si="3"/>
        <v>0.4160291772</v>
      </c>
      <c r="I45" s="1">
        <f t="shared" si="4"/>
        <v>-33832.7</v>
      </c>
      <c r="J45" s="113">
        <f t="shared" si="5"/>
        <v>-1.017232904</v>
      </c>
      <c r="K45" s="29">
        <f t="shared" si="6"/>
        <v>0.4160291772</v>
      </c>
      <c r="L45" s="65">
        <f t="shared" si="7"/>
        <v>23651.63</v>
      </c>
      <c r="M45" s="25">
        <f t="shared" si="8"/>
        <v>0.01872264333</v>
      </c>
      <c r="N45" s="65">
        <f t="shared" si="9"/>
        <v>55592.1825</v>
      </c>
      <c r="O45" s="25">
        <f t="shared" si="10"/>
        <v>0.04044866196</v>
      </c>
      <c r="P45" s="25">
        <f t="shared" si="11"/>
        <v>-0.02172601863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IFERROR(__xludf.DUMMYFUNCTION("""COMPUTED_VALUE"""),46196.64583333333)</f>
        <v>46196.64583</v>
      </c>
      <c r="C46" s="1">
        <f>IFERROR(__xludf.DUMMYFUNCTION("""COMPUTED_VALUE"""),23824.1)</f>
        <v>23824.1</v>
      </c>
      <c r="D46" s="1"/>
      <c r="E46" s="112">
        <f>IFERROR(__xludf.DUMMYFUNCTION("""COMPUTED_VALUE"""),46196.64583333333)</f>
        <v>46196.64583</v>
      </c>
      <c r="F46" s="1">
        <f>IFERROR(__xludf.DUMMYFUNCTION("""COMPUTED_VALUE"""),57183.75)</f>
        <v>57183.75</v>
      </c>
      <c r="G46" s="1"/>
      <c r="H46" s="29">
        <f t="shared" si="3"/>
        <v>0.4166236037</v>
      </c>
      <c r="I46" s="1">
        <f t="shared" si="4"/>
        <v>-33359.65</v>
      </c>
      <c r="J46" s="113">
        <f t="shared" si="5"/>
        <v>-0.632184149</v>
      </c>
      <c r="K46" s="29">
        <f t="shared" si="6"/>
        <v>0.4166236037</v>
      </c>
      <c r="L46" s="65">
        <f t="shared" si="7"/>
        <v>23641.25</v>
      </c>
      <c r="M46" s="25">
        <f t="shared" si="8"/>
        <v>0.007675001364</v>
      </c>
      <c r="N46" s="65">
        <f t="shared" si="9"/>
        <v>55686.6875</v>
      </c>
      <c r="O46" s="25">
        <f t="shared" si="10"/>
        <v>0.02617985879</v>
      </c>
      <c r="P46" s="25">
        <f t="shared" si="11"/>
        <v>-0.01850485742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IFERROR(__xludf.DUMMYFUNCTION("""COMPUTED_VALUE"""),46197.64583333333)</f>
        <v>46197.64583</v>
      </c>
      <c r="C47" s="1">
        <f>IFERROR(__xludf.DUMMYFUNCTION("""COMPUTED_VALUE"""),24021.65)</f>
        <v>24021.65</v>
      </c>
      <c r="D47" s="1"/>
      <c r="E47" s="112">
        <f>IFERROR(__xludf.DUMMYFUNCTION("""COMPUTED_VALUE"""),46197.64583333333)</f>
        <v>46197.64583</v>
      </c>
      <c r="F47" s="1">
        <f>IFERROR(__xludf.DUMMYFUNCTION("""COMPUTED_VALUE"""),58150.35)</f>
        <v>58150.35</v>
      </c>
      <c r="G47" s="1"/>
      <c r="H47" s="29">
        <f t="shared" si="3"/>
        <v>0.413095536</v>
      </c>
      <c r="I47" s="1">
        <f t="shared" si="4"/>
        <v>-34128.7</v>
      </c>
      <c r="J47" s="113">
        <f t="shared" si="5"/>
        <v>-1.258168179</v>
      </c>
      <c r="K47" s="29">
        <f t="shared" si="6"/>
        <v>0.413095536</v>
      </c>
      <c r="L47" s="65">
        <f t="shared" si="7"/>
        <v>23646.6475</v>
      </c>
      <c r="M47" s="25">
        <f t="shared" si="8"/>
        <v>0.01561102172</v>
      </c>
      <c r="N47" s="65">
        <f t="shared" si="9"/>
        <v>55839.56</v>
      </c>
      <c r="O47" s="25">
        <f t="shared" si="10"/>
        <v>0.0397381959</v>
      </c>
      <c r="P47" s="25">
        <f t="shared" si="11"/>
        <v>-0.02412717418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IFERROR(__xludf.DUMMYFUNCTION("""COMPUTED_VALUE"""),46198.64583333333)</f>
        <v>46198.64583</v>
      </c>
      <c r="C48" s="1">
        <f>IFERROR(__xludf.DUMMYFUNCTION("""COMPUTED_VALUE"""),24056.0)</f>
        <v>24056</v>
      </c>
      <c r="D48" s="1"/>
      <c r="E48" s="112">
        <f>IFERROR(__xludf.DUMMYFUNCTION("""COMPUTED_VALUE"""),46198.64583333333)</f>
        <v>46198.64583</v>
      </c>
      <c r="F48" s="1">
        <f>IFERROR(__xludf.DUMMYFUNCTION("""COMPUTED_VALUE"""),58177.05)</f>
        <v>58177.05</v>
      </c>
      <c r="G48" s="1"/>
      <c r="H48" s="29">
        <f t="shared" si="3"/>
        <v>0.4134963873</v>
      </c>
      <c r="I48" s="1">
        <f t="shared" si="4"/>
        <v>-34121.05</v>
      </c>
      <c r="J48" s="113">
        <f t="shared" si="5"/>
        <v>-1.251941304</v>
      </c>
      <c r="K48" s="29">
        <f t="shared" si="6"/>
        <v>0.4134963873</v>
      </c>
      <c r="L48" s="65">
        <f t="shared" si="7"/>
        <v>23654.09</v>
      </c>
      <c r="M48" s="25">
        <f t="shared" si="8"/>
        <v>0.01670726638</v>
      </c>
      <c r="N48" s="65">
        <f t="shared" si="9"/>
        <v>56005.72</v>
      </c>
      <c r="O48" s="25">
        <f t="shared" si="10"/>
        <v>0.03732279309</v>
      </c>
      <c r="P48" s="25">
        <f t="shared" si="11"/>
        <v>-0.02061552672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IFERROR(__xludf.DUMMYFUNCTION("""COMPUTED_VALUE"""),46202.64583333333)</f>
        <v>46202.64583</v>
      </c>
      <c r="C49" s="1">
        <f>IFERROR(__xludf.DUMMYFUNCTION("""COMPUTED_VALUE"""),23946.25)</f>
        <v>23946.25</v>
      </c>
      <c r="D49" s="1"/>
      <c r="E49" s="112">
        <f>IFERROR(__xludf.DUMMYFUNCTION("""COMPUTED_VALUE"""),46202.64583333333)</f>
        <v>46202.64583</v>
      </c>
      <c r="F49" s="1">
        <f>IFERROR(__xludf.DUMMYFUNCTION("""COMPUTED_VALUE"""),57727.35)</f>
        <v>57727.35</v>
      </c>
      <c r="G49" s="1"/>
      <c r="H49" s="29">
        <f t="shared" si="3"/>
        <v>0.4148163739</v>
      </c>
      <c r="I49" s="1">
        <f t="shared" si="4"/>
        <v>-33781.1</v>
      </c>
      <c r="J49" s="113">
        <f t="shared" si="5"/>
        <v>-0.9752320255</v>
      </c>
      <c r="K49" s="29">
        <f t="shared" si="6"/>
        <v>0.4148163739</v>
      </c>
      <c r="L49" s="65">
        <f t="shared" si="7"/>
        <v>23674.015</v>
      </c>
      <c r="M49" s="25">
        <f t="shared" si="8"/>
        <v>0.0113685859</v>
      </c>
      <c r="N49" s="65">
        <f t="shared" si="9"/>
        <v>56180.1275</v>
      </c>
      <c r="O49" s="25">
        <f t="shared" si="10"/>
        <v>0.02680224365</v>
      </c>
      <c r="P49" s="25">
        <f t="shared" si="11"/>
        <v>-0.01543365776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IFERROR(__xludf.DUMMYFUNCTION("""COMPUTED_VALUE"""),46203.64583333333)</f>
        <v>46203.64583</v>
      </c>
      <c r="C50" s="1">
        <f>IFERROR(__xludf.DUMMYFUNCTION("""COMPUTED_VALUE"""),23865.75)</f>
        <v>23865.75</v>
      </c>
      <c r="D50" s="1"/>
      <c r="E50" s="112">
        <f>IFERROR(__xludf.DUMMYFUNCTION("""COMPUTED_VALUE"""),46203.64583333333)</f>
        <v>46203.64583</v>
      </c>
      <c r="F50" s="1">
        <f>IFERROR(__xludf.DUMMYFUNCTION("""COMPUTED_VALUE"""),57542.9)</f>
        <v>57542.9</v>
      </c>
      <c r="G50" s="1"/>
      <c r="H50" s="29">
        <f t="shared" si="3"/>
        <v>0.4147470843</v>
      </c>
      <c r="I50" s="1">
        <f t="shared" si="4"/>
        <v>-33677.15</v>
      </c>
      <c r="J50" s="113">
        <f t="shared" si="5"/>
        <v>-0.8906197897</v>
      </c>
      <c r="K50" s="29">
        <f t="shared" si="6"/>
        <v>0.4147470843</v>
      </c>
      <c r="L50" s="65">
        <f t="shared" si="7"/>
        <v>23698.1725</v>
      </c>
      <c r="M50" s="25">
        <f t="shared" si="8"/>
        <v>0.007021673318</v>
      </c>
      <c r="N50" s="65">
        <f t="shared" si="9"/>
        <v>56375.1175</v>
      </c>
      <c r="O50" s="25">
        <f t="shared" si="10"/>
        <v>0.02029411969</v>
      </c>
      <c r="P50" s="25">
        <f t="shared" si="11"/>
        <v>-0.01327244637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IFERROR(__xludf.DUMMYFUNCTION("""COMPUTED_VALUE"""),46204.64583333333)</f>
        <v>46204.64583</v>
      </c>
      <c r="C51" s="1">
        <f>IFERROR(__xludf.DUMMYFUNCTION("""COMPUTED_VALUE"""),24005.85)</f>
        <v>24005.85</v>
      </c>
      <c r="D51" s="1"/>
      <c r="E51" s="112">
        <f>IFERROR(__xludf.DUMMYFUNCTION("""COMPUTED_VALUE"""),46204.64583333333)</f>
        <v>46204.64583</v>
      </c>
      <c r="F51" s="1">
        <f>IFERROR(__xludf.DUMMYFUNCTION("""COMPUTED_VALUE"""),58033.05)</f>
        <v>58033.05</v>
      </c>
      <c r="G51" s="1"/>
      <c r="H51" s="29">
        <f t="shared" si="3"/>
        <v>0.4136582516</v>
      </c>
      <c r="I51" s="1">
        <f t="shared" si="4"/>
        <v>-34027.2</v>
      </c>
      <c r="J51" s="113">
        <f t="shared" si="5"/>
        <v>-1.175550171</v>
      </c>
      <c r="K51" s="29">
        <f t="shared" si="6"/>
        <v>0.4136582516</v>
      </c>
      <c r="L51" s="65">
        <f t="shared" si="7"/>
        <v>23724.2875</v>
      </c>
      <c r="M51" s="25">
        <f t="shared" si="8"/>
        <v>0.01172891191</v>
      </c>
      <c r="N51" s="65">
        <f t="shared" si="9"/>
        <v>56591.0375</v>
      </c>
      <c r="O51" s="25">
        <f t="shared" si="10"/>
        <v>0.02484812534</v>
      </c>
      <c r="P51" s="25">
        <f t="shared" si="11"/>
        <v>-0.01311921342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IFERROR(__xludf.DUMMYFUNCTION("""COMPUTED_VALUE"""),46205.64583333333)</f>
        <v>46205.64583</v>
      </c>
      <c r="C52" s="1">
        <f>IFERROR(__xludf.DUMMYFUNCTION("""COMPUTED_VALUE"""),24175.7)</f>
        <v>24175.7</v>
      </c>
      <c r="D52" s="1"/>
      <c r="E52" s="112">
        <f>IFERROR(__xludf.DUMMYFUNCTION("""COMPUTED_VALUE"""),46205.64583333333)</f>
        <v>46205.64583</v>
      </c>
      <c r="F52" s="1">
        <f>IFERROR(__xludf.DUMMYFUNCTION("""COMPUTED_VALUE"""),58031.65)</f>
        <v>58031.65</v>
      </c>
      <c r="G52" s="1"/>
      <c r="H52" s="29">
        <f t="shared" si="3"/>
        <v>0.4165950822</v>
      </c>
      <c r="I52" s="1">
        <f t="shared" si="4"/>
        <v>-33855.95</v>
      </c>
      <c r="J52" s="113">
        <f t="shared" si="5"/>
        <v>-1.036157719</v>
      </c>
      <c r="K52" s="29">
        <f t="shared" si="6"/>
        <v>0.4165950822</v>
      </c>
      <c r="L52" s="65">
        <f t="shared" si="7"/>
        <v>23762.7925</v>
      </c>
      <c r="M52" s="25">
        <f t="shared" si="8"/>
        <v>0.01707944341</v>
      </c>
      <c r="N52" s="65">
        <f t="shared" si="9"/>
        <v>56783.3225</v>
      </c>
      <c r="O52" s="25">
        <f t="shared" si="10"/>
        <v>0.02151114952</v>
      </c>
      <c r="P52" s="25">
        <f t="shared" si="11"/>
        <v>-0.004431706111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IFERROR(__xludf.DUMMYFUNCTION("""COMPUTED_VALUE"""),46206.64583333333)</f>
        <v>46206.64583</v>
      </c>
      <c r="C53" s="1">
        <f>IFERROR(__xludf.DUMMYFUNCTION("""COMPUTED_VALUE"""),24270.85)</f>
        <v>24270.85</v>
      </c>
      <c r="D53" s="1"/>
      <c r="E53" s="112">
        <f>IFERROR(__xludf.DUMMYFUNCTION("""COMPUTED_VALUE"""),46206.64583333333)</f>
        <v>46206.64583</v>
      </c>
      <c r="F53" s="1">
        <f>IFERROR(__xludf.DUMMYFUNCTION("""COMPUTED_VALUE"""),57938.5)</f>
        <v>57938.5</v>
      </c>
      <c r="G53" s="1"/>
      <c r="H53" s="29">
        <f t="shared" si="3"/>
        <v>0.418907117</v>
      </c>
      <c r="I53" s="1">
        <f t="shared" si="4"/>
        <v>-33667.65</v>
      </c>
      <c r="J53" s="113">
        <f t="shared" si="5"/>
        <v>-0.8828870698</v>
      </c>
      <c r="K53" s="29">
        <f t="shared" si="6"/>
        <v>0.418907117</v>
      </c>
      <c r="L53" s="65">
        <f t="shared" si="7"/>
        <v>23805.5075</v>
      </c>
      <c r="M53" s="25">
        <f t="shared" si="8"/>
        <v>0.01917289671</v>
      </c>
      <c r="N53" s="65">
        <f t="shared" si="9"/>
        <v>56964.855</v>
      </c>
      <c r="O53" s="25">
        <f t="shared" si="10"/>
        <v>0.01680480164</v>
      </c>
      <c r="P53" s="25">
        <f t="shared" si="11"/>
        <v>0.002368095062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IFERROR(__xludf.DUMMYFUNCTION("""COMPUTED_VALUE"""),46209.64583333333)</f>
        <v>46209.64583</v>
      </c>
      <c r="C54" s="1">
        <f>IFERROR(__xludf.DUMMYFUNCTION("""COMPUTED_VALUE"""),24430.35)</f>
        <v>24430.35</v>
      </c>
      <c r="D54" s="1"/>
      <c r="E54" s="112">
        <f>IFERROR(__xludf.DUMMYFUNCTION("""COMPUTED_VALUE"""),46209.64583333333)</f>
        <v>46209.64583</v>
      </c>
      <c r="F54" s="1">
        <f>IFERROR(__xludf.DUMMYFUNCTION("""COMPUTED_VALUE"""),58291.5)</f>
        <v>58291.5</v>
      </c>
      <c r="G54" s="1"/>
      <c r="H54" s="29">
        <f t="shared" si="3"/>
        <v>0.4191065593</v>
      </c>
      <c r="I54" s="1">
        <f t="shared" si="4"/>
        <v>-33861.15</v>
      </c>
      <c r="J54" s="113">
        <f t="shared" si="5"/>
        <v>-1.040390366</v>
      </c>
      <c r="K54" s="29">
        <f t="shared" si="6"/>
        <v>0.4191065593</v>
      </c>
      <c r="L54" s="65">
        <f t="shared" si="7"/>
        <v>23858.69</v>
      </c>
      <c r="M54" s="25">
        <f t="shared" si="8"/>
        <v>0.0233995829</v>
      </c>
      <c r="N54" s="65">
        <f t="shared" si="9"/>
        <v>57154.6175</v>
      </c>
      <c r="O54" s="25">
        <f t="shared" si="10"/>
        <v>0.01950340101</v>
      </c>
      <c r="P54" s="25">
        <f t="shared" si="11"/>
        <v>0.003896181885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IFERROR(__xludf.DUMMYFUNCTION("""COMPUTED_VALUE"""),46210.64583333333)</f>
        <v>46210.64583</v>
      </c>
      <c r="C55" s="1">
        <f>IFERROR(__xludf.DUMMYFUNCTION("""COMPUTED_VALUE"""),24398.7)</f>
        <v>24398.7</v>
      </c>
      <c r="D55" s="1"/>
      <c r="E55" s="112">
        <f>IFERROR(__xludf.DUMMYFUNCTION("""COMPUTED_VALUE"""),46210.64583333333)</f>
        <v>46210.64583</v>
      </c>
      <c r="F55" s="1">
        <f>IFERROR(__xludf.DUMMYFUNCTION("""COMPUTED_VALUE"""),58200.7)</f>
        <v>58200.7</v>
      </c>
      <c r="G55" s="1"/>
      <c r="H55" s="29">
        <f t="shared" si="3"/>
        <v>0.4192166074</v>
      </c>
      <c r="I55" s="1">
        <f t="shared" si="4"/>
        <v>-33802</v>
      </c>
      <c r="J55" s="113">
        <f t="shared" si="5"/>
        <v>-0.9922440094</v>
      </c>
      <c r="K55" s="29">
        <f t="shared" si="6"/>
        <v>0.4192166074</v>
      </c>
      <c r="L55" s="65">
        <f t="shared" si="7"/>
        <v>23922.475</v>
      </c>
      <c r="M55" s="25">
        <f t="shared" si="8"/>
        <v>0.01951845795</v>
      </c>
      <c r="N55" s="65">
        <f t="shared" si="9"/>
        <v>57361.465</v>
      </c>
      <c r="O55" s="25">
        <f t="shared" si="10"/>
        <v>0.01441967193</v>
      </c>
      <c r="P55" s="25">
        <f t="shared" si="11"/>
        <v>0.005098786022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IFERROR(__xludf.DUMMYFUNCTION("""COMPUTED_VALUE"""),46211.64583333333)</f>
        <v>46211.64583</v>
      </c>
      <c r="C56" s="1">
        <f>IFERROR(__xludf.DUMMYFUNCTION("""COMPUTED_VALUE"""),23882.05)</f>
        <v>23882.05</v>
      </c>
      <c r="D56" s="1"/>
      <c r="E56" s="112">
        <f>IFERROR(__xludf.DUMMYFUNCTION("""COMPUTED_VALUE"""),46211.64583333333)</f>
        <v>46211.64583</v>
      </c>
      <c r="F56" s="1">
        <f>IFERROR(__xludf.DUMMYFUNCTION("""COMPUTED_VALUE"""),56742.6)</f>
        <v>56742.6</v>
      </c>
      <c r="G56" s="1"/>
      <c r="H56" s="29">
        <f t="shared" si="3"/>
        <v>0.4208839567</v>
      </c>
      <c r="I56" s="1">
        <f t="shared" si="4"/>
        <v>-32860.55</v>
      </c>
      <c r="J56" s="113">
        <f t="shared" si="5"/>
        <v>-0.2259314614</v>
      </c>
      <c r="K56" s="29">
        <f t="shared" si="6"/>
        <v>0.4208839567</v>
      </c>
      <c r="L56" s="65">
        <f t="shared" si="7"/>
        <v>23954.4725</v>
      </c>
      <c r="M56" s="25">
        <f t="shared" si="8"/>
        <v>-0.003032507678</v>
      </c>
      <c r="N56" s="65">
        <f t="shared" si="9"/>
        <v>57438.87</v>
      </c>
      <c r="O56" s="25">
        <f t="shared" si="10"/>
        <v>-0.01227067494</v>
      </c>
      <c r="P56" s="25">
        <f t="shared" si="11"/>
        <v>0.009238167264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IFERROR(__xludf.DUMMYFUNCTION("""COMPUTED_VALUE"""),46212.64583333333)</f>
        <v>46212.64583</v>
      </c>
      <c r="C57" s="1">
        <f>IFERROR(__xludf.DUMMYFUNCTION("""COMPUTED_VALUE"""),23962.8)</f>
        <v>23962.8</v>
      </c>
      <c r="D57" s="1"/>
      <c r="E57" s="112">
        <f>IFERROR(__xludf.DUMMYFUNCTION("""COMPUTED_VALUE"""),46212.64583333333)</f>
        <v>46212.64583</v>
      </c>
      <c r="F57" s="1">
        <f>IFERROR(__xludf.DUMMYFUNCTION("""COMPUTED_VALUE"""),57252.45)</f>
        <v>57252.45</v>
      </c>
      <c r="G57" s="1"/>
      <c r="H57" s="29">
        <f t="shared" si="3"/>
        <v>0.4185462806</v>
      </c>
      <c r="I57" s="1">
        <f t="shared" si="4"/>
        <v>-33289.65</v>
      </c>
      <c r="J57" s="113">
        <f t="shared" si="5"/>
        <v>-0.5752062124</v>
      </c>
      <c r="K57" s="29">
        <f t="shared" si="6"/>
        <v>0.4185462806</v>
      </c>
      <c r="L57" s="65">
        <f t="shared" si="7"/>
        <v>23991.865</v>
      </c>
      <c r="M57" s="25">
        <f t="shared" si="8"/>
        <v>-0.001212921695</v>
      </c>
      <c r="N57" s="65">
        <f t="shared" si="9"/>
        <v>57546.4775</v>
      </c>
      <c r="O57" s="25">
        <f t="shared" si="10"/>
        <v>-0.00513563175</v>
      </c>
      <c r="P57" s="25">
        <f t="shared" si="11"/>
        <v>0.003922710055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IFERROR(__xludf.DUMMYFUNCTION("""COMPUTED_VALUE"""),46213.64583333333)</f>
        <v>46213.64583</v>
      </c>
      <c r="C58" s="1">
        <f>IFERROR(__xludf.DUMMYFUNCTION("""COMPUTED_VALUE"""),24206.9)</f>
        <v>24206.9</v>
      </c>
      <c r="D58" s="1"/>
      <c r="E58" s="112">
        <f>IFERROR(__xludf.DUMMYFUNCTION("""COMPUTED_VALUE"""),46213.64583333333)</f>
        <v>46213.64583</v>
      </c>
      <c r="F58" s="1">
        <f>IFERROR(__xludf.DUMMYFUNCTION("""COMPUTED_VALUE"""),58045.9)</f>
        <v>58045.9</v>
      </c>
      <c r="G58" s="1"/>
      <c r="H58" s="29">
        <f t="shared" si="3"/>
        <v>0.4170303157</v>
      </c>
      <c r="I58" s="1">
        <f t="shared" si="4"/>
        <v>-33839</v>
      </c>
      <c r="J58" s="113">
        <f t="shared" si="5"/>
        <v>-1.022360919</v>
      </c>
      <c r="K58" s="29">
        <f t="shared" si="6"/>
        <v>0.4170303157</v>
      </c>
      <c r="L58" s="65">
        <f t="shared" si="7"/>
        <v>24044.13</v>
      </c>
      <c r="M58" s="25">
        <f t="shared" si="8"/>
        <v>0.006724115851</v>
      </c>
      <c r="N58" s="65">
        <f t="shared" si="9"/>
        <v>57689.935</v>
      </c>
      <c r="O58" s="25">
        <f t="shared" si="10"/>
        <v>0.006132474473</v>
      </c>
      <c r="P58" s="25">
        <f t="shared" si="11"/>
        <v>0.0005916413785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IFERROR(__xludf.DUMMYFUNCTION("""COMPUTED_VALUE"""),46216.64583333333)</f>
        <v>46216.64583</v>
      </c>
      <c r="C59" s="1">
        <f>IFERROR(__xludf.DUMMYFUNCTION("""COMPUTED_VALUE"""),24211.0)</f>
        <v>24211</v>
      </c>
      <c r="D59" s="1"/>
      <c r="E59" s="112">
        <f>IFERROR(__xludf.DUMMYFUNCTION("""COMPUTED_VALUE"""),46216.64583333333)</f>
        <v>46216.64583</v>
      </c>
      <c r="F59" s="1">
        <f>IFERROR(__xludf.DUMMYFUNCTION("""COMPUTED_VALUE"""),58131.45)</f>
        <v>58131.45</v>
      </c>
      <c r="G59" s="1"/>
      <c r="H59" s="29">
        <f t="shared" si="3"/>
        <v>0.4164871167</v>
      </c>
      <c r="I59" s="1">
        <f t="shared" si="4"/>
        <v>-33920.45</v>
      </c>
      <c r="J59" s="113">
        <f t="shared" si="5"/>
        <v>-1.088658818</v>
      </c>
      <c r="K59" s="29">
        <f t="shared" si="6"/>
        <v>0.4164871167</v>
      </c>
      <c r="L59" s="65">
        <f t="shared" si="7"/>
        <v>24073.535</v>
      </c>
      <c r="M59" s="25">
        <f t="shared" si="8"/>
        <v>0.005677791087</v>
      </c>
      <c r="N59" s="65">
        <f t="shared" si="9"/>
        <v>57755.7675</v>
      </c>
      <c r="O59" s="25">
        <f t="shared" si="10"/>
        <v>0.006462637694</v>
      </c>
      <c r="P59" s="25">
        <f t="shared" si="11"/>
        <v>-0.0007848466077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IFERROR(__xludf.DUMMYFUNCTION("""COMPUTED_VALUE"""),46217.64583333333)</f>
        <v>46217.64583</v>
      </c>
      <c r="C60" s="1">
        <f>IFERROR(__xludf.DUMMYFUNCTION("""COMPUTED_VALUE"""),24052.05)</f>
        <v>24052.05</v>
      </c>
      <c r="D60" s="1"/>
      <c r="E60" s="112">
        <f>IFERROR(__xludf.DUMMYFUNCTION("""COMPUTED_VALUE"""),46217.64583333333)</f>
        <v>46217.64583</v>
      </c>
      <c r="F60" s="1">
        <f>IFERROR(__xludf.DUMMYFUNCTION("""COMPUTED_VALUE"""),57462.3)</f>
        <v>57462.3</v>
      </c>
      <c r="G60" s="1"/>
      <c r="H60" s="29">
        <f t="shared" si="3"/>
        <v>0.4185709587</v>
      </c>
      <c r="I60" s="1">
        <f t="shared" si="4"/>
        <v>-33410.25</v>
      </c>
      <c r="J60" s="113">
        <f t="shared" si="5"/>
        <v>-0.6733710574</v>
      </c>
      <c r="K60" s="29">
        <f t="shared" si="6"/>
        <v>0.4185709587</v>
      </c>
      <c r="L60" s="65">
        <f t="shared" si="7"/>
        <v>24083.4425</v>
      </c>
      <c r="M60" s="25">
        <f t="shared" si="8"/>
        <v>-0.001305190202</v>
      </c>
      <c r="N60" s="65">
        <f t="shared" si="9"/>
        <v>57768.9425</v>
      </c>
      <c r="O60" s="25">
        <f t="shared" si="10"/>
        <v>-0.005336411874</v>
      </c>
      <c r="P60" s="25">
        <f t="shared" si="11"/>
        <v>0.004031221671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IFERROR(__xludf.DUMMYFUNCTION("""COMPUTED_VALUE"""),46218.64583333333)</f>
        <v>46218.64583</v>
      </c>
      <c r="C61" s="1">
        <f>IFERROR(__xludf.DUMMYFUNCTION("""COMPUTED_VALUE"""),24078.5)</f>
        <v>24078.5</v>
      </c>
      <c r="D61" s="1"/>
      <c r="E61" s="112">
        <f>IFERROR(__xludf.DUMMYFUNCTION("""COMPUTED_VALUE"""),46218.64583333333)</f>
        <v>46218.64583</v>
      </c>
      <c r="F61" s="1">
        <f>IFERROR(__xludf.DUMMYFUNCTION("""COMPUTED_VALUE"""),57757.85)</f>
        <v>57757.85</v>
      </c>
      <c r="G61" s="1"/>
      <c r="H61" s="29">
        <f t="shared" si="3"/>
        <v>0.4168870552</v>
      </c>
      <c r="I61" s="1">
        <f t="shared" si="4"/>
        <v>-33679.35</v>
      </c>
      <c r="J61" s="113">
        <f t="shared" si="5"/>
        <v>-0.8924105249</v>
      </c>
      <c r="K61" s="29">
        <f t="shared" si="6"/>
        <v>0.4168870552</v>
      </c>
      <c r="L61" s="65">
        <f t="shared" si="7"/>
        <v>24087.91</v>
      </c>
      <c r="M61" s="25">
        <f t="shared" si="8"/>
        <v>-0.0003908050751</v>
      </c>
      <c r="N61" s="65">
        <f t="shared" si="9"/>
        <v>57791.9775</v>
      </c>
      <c r="O61" s="25">
        <f t="shared" si="10"/>
        <v>-0.0005908720633</v>
      </c>
      <c r="P61" s="25">
        <f t="shared" si="11"/>
        <v>0.0002000669882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IFERROR(__xludf.DUMMYFUNCTION("""COMPUTED_VALUE"""),46219.64583333333)</f>
        <v>46219.64583</v>
      </c>
      <c r="C62" s="1">
        <f>IFERROR(__xludf.DUMMYFUNCTION("""COMPUTED_VALUE"""),24072.75)</f>
        <v>24072.75</v>
      </c>
      <c r="D62" s="1"/>
      <c r="E62" s="112">
        <f>IFERROR(__xludf.DUMMYFUNCTION("""COMPUTED_VALUE"""),46219.64583333333)</f>
        <v>46219.64583</v>
      </c>
      <c r="F62" s="1">
        <f>IFERROR(__xludf.DUMMYFUNCTION("""COMPUTED_VALUE"""),57582.25)</f>
        <v>57582.25</v>
      </c>
      <c r="G62" s="1"/>
      <c r="H62" s="29">
        <f t="shared" si="3"/>
        <v>0.4180585163</v>
      </c>
      <c r="I62" s="1">
        <f t="shared" si="4"/>
        <v>-33509.5</v>
      </c>
      <c r="J62" s="113">
        <f t="shared" si="5"/>
        <v>-0.7541576317</v>
      </c>
      <c r="K62" s="29">
        <f t="shared" si="6"/>
        <v>0.4180585163</v>
      </c>
      <c r="L62" s="65">
        <f t="shared" si="7"/>
        <v>24087.2625</v>
      </c>
      <c r="M62" s="25">
        <f t="shared" si="8"/>
        <v>-0.0006028600804</v>
      </c>
      <c r="N62" s="65">
        <f t="shared" si="9"/>
        <v>57791.8375</v>
      </c>
      <c r="O62" s="25">
        <f t="shared" si="10"/>
        <v>-0.003639793513</v>
      </c>
      <c r="P62" s="25">
        <f t="shared" si="11"/>
        <v>0.003036933432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IFERROR(__xludf.DUMMYFUNCTION("""COMPUTED_VALUE"""),46220.64583333333)</f>
        <v>46220.64583</v>
      </c>
      <c r="C63" s="1">
        <f>IFERROR(__xludf.DUMMYFUNCTION("""COMPUTED_VALUE"""),24334.3)</f>
        <v>24334.3</v>
      </c>
      <c r="D63" s="1"/>
      <c r="E63" s="112">
        <f>IFERROR(__xludf.DUMMYFUNCTION("""COMPUTED_VALUE"""),46220.64583333333)</f>
        <v>46220.64583</v>
      </c>
      <c r="F63" s="1">
        <f>IFERROR(__xludf.DUMMYFUNCTION("""COMPUTED_VALUE"""),58521.4)</f>
        <v>58521.4</v>
      </c>
      <c r="G63" s="1"/>
      <c r="H63" s="29">
        <f t="shared" si="3"/>
        <v>0.4158188287</v>
      </c>
      <c r="I63" s="1">
        <f t="shared" si="4"/>
        <v>-34187.1</v>
      </c>
      <c r="J63" s="113">
        <f t="shared" si="5"/>
        <v>-1.305704057</v>
      </c>
      <c r="K63" s="29">
        <f t="shared" si="6"/>
        <v>0.4158188287</v>
      </c>
      <c r="L63" s="65">
        <f t="shared" si="7"/>
        <v>24095.5775</v>
      </c>
      <c r="M63" s="25">
        <f t="shared" si="8"/>
        <v>0.009810123981</v>
      </c>
      <c r="N63" s="65">
        <f t="shared" si="9"/>
        <v>57819.7175</v>
      </c>
      <c r="O63" s="25">
        <f t="shared" si="10"/>
        <v>0.0119901865</v>
      </c>
      <c r="P63" s="25">
        <f t="shared" si="11"/>
        <v>-0.002180062515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IFERROR(__xludf.DUMMYFUNCTION("""COMPUTED_VALUE"""),46223.64583333333)</f>
        <v>46223.64583</v>
      </c>
      <c r="C64" s="1">
        <f>IFERROR(__xludf.DUMMYFUNCTION("""COMPUTED_VALUE"""),24238.5)</f>
        <v>24238.5</v>
      </c>
      <c r="D64" s="1"/>
      <c r="E64" s="112">
        <f>IFERROR(__xludf.DUMMYFUNCTION("""COMPUTED_VALUE"""),46223.64583333333)</f>
        <v>46223.64583</v>
      </c>
      <c r="F64" s="1">
        <f>IFERROR(__xludf.DUMMYFUNCTION("""COMPUTED_VALUE"""),57945.0)</f>
        <v>57945</v>
      </c>
      <c r="G64" s="1"/>
      <c r="H64" s="29">
        <f t="shared" si="3"/>
        <v>0.4183018379</v>
      </c>
      <c r="I64" s="1">
        <f t="shared" si="4"/>
        <v>-33706.5</v>
      </c>
      <c r="J64" s="113">
        <f t="shared" si="5"/>
        <v>-0.9145098245</v>
      </c>
      <c r="K64" s="29">
        <f t="shared" si="6"/>
        <v>0.4183018379</v>
      </c>
      <c r="L64" s="65">
        <f t="shared" si="7"/>
        <v>24106.8475</v>
      </c>
      <c r="M64" s="25">
        <f t="shared" si="8"/>
        <v>0.005431544856</v>
      </c>
      <c r="N64" s="65">
        <f t="shared" si="9"/>
        <v>57832.68</v>
      </c>
      <c r="O64" s="25">
        <f t="shared" si="10"/>
        <v>0.001938389852</v>
      </c>
      <c r="P64" s="25">
        <f t="shared" si="11"/>
        <v>0.003493155004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IFERROR(__xludf.DUMMYFUNCTION("""COMPUTED_VALUE"""),46224.64583333333)</f>
        <v>46224.64583</v>
      </c>
      <c r="C65" s="1">
        <f>IFERROR(__xludf.DUMMYFUNCTION("""COMPUTED_VALUE"""),24187.7)</f>
        <v>24187.7</v>
      </c>
      <c r="D65" s="1"/>
      <c r="E65" s="112">
        <f>IFERROR(__xludf.DUMMYFUNCTION("""COMPUTED_VALUE"""),46224.64583333333)</f>
        <v>46224.64583</v>
      </c>
      <c r="F65" s="1">
        <f>IFERROR(__xludf.DUMMYFUNCTION("""COMPUTED_VALUE"""),57835.35)</f>
        <v>57835.35</v>
      </c>
      <c r="G65" s="1"/>
      <c r="H65" s="29">
        <f t="shared" si="3"/>
        <v>0.4182165406</v>
      </c>
      <c r="I65" s="1">
        <f t="shared" si="4"/>
        <v>-33647.65</v>
      </c>
      <c r="J65" s="113">
        <f t="shared" si="5"/>
        <v>-0.8666076593</v>
      </c>
      <c r="K65" s="29">
        <f t="shared" si="6"/>
        <v>0.4182165406</v>
      </c>
      <c r="L65" s="65">
        <f t="shared" si="7"/>
        <v>24111.0875</v>
      </c>
      <c r="M65" s="25">
        <f t="shared" si="8"/>
        <v>0.00316741567</v>
      </c>
      <c r="N65" s="65">
        <f t="shared" si="9"/>
        <v>57827.6675</v>
      </c>
      <c r="O65" s="25">
        <f t="shared" si="10"/>
        <v>0.0001328339848</v>
      </c>
      <c r="P65" s="25">
        <f t="shared" si="11"/>
        <v>0.003034581685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IFERROR(__xludf.DUMMYFUNCTION("""COMPUTED_VALUE"""),46225.64583333333)</f>
        <v>46225.64583</v>
      </c>
      <c r="C66" s="1">
        <f>IFERROR(__xludf.DUMMYFUNCTION("""COMPUTED_VALUE"""),23996.25)</f>
        <v>23996.25</v>
      </c>
      <c r="D66" s="1"/>
      <c r="E66" s="112">
        <f>IFERROR(__xludf.DUMMYFUNCTION("""COMPUTED_VALUE"""),46225.64583333333)</f>
        <v>46225.64583</v>
      </c>
      <c r="F66" s="1">
        <f>IFERROR(__xludf.DUMMYFUNCTION("""COMPUTED_VALUE"""),57126.8)</f>
        <v>57126.8</v>
      </c>
      <c r="G66" s="1"/>
      <c r="H66" s="29">
        <f t="shared" si="3"/>
        <v>0.4200524097</v>
      </c>
      <c r="I66" s="1">
        <f t="shared" si="4"/>
        <v>-33130.55</v>
      </c>
      <c r="J66" s="113">
        <f t="shared" si="5"/>
        <v>-0.4457035024</v>
      </c>
      <c r="K66" s="29">
        <f t="shared" si="6"/>
        <v>0.4200524097</v>
      </c>
      <c r="L66" s="65">
        <f t="shared" si="7"/>
        <v>24119.695</v>
      </c>
      <c r="M66" s="25">
        <f t="shared" si="8"/>
        <v>-0.005144345471</v>
      </c>
      <c r="N66" s="65">
        <f t="shared" si="9"/>
        <v>57824.82</v>
      </c>
      <c r="O66" s="25">
        <f t="shared" si="10"/>
        <v>-0.01221878348</v>
      </c>
      <c r="P66" s="25">
        <f t="shared" si="11"/>
        <v>0.007074438008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IFERROR(__xludf.DUMMYFUNCTION("""COMPUTED_VALUE"""),46226.64583333333)</f>
        <v>46226.64583</v>
      </c>
      <c r="C67" s="1">
        <f>IFERROR(__xludf.DUMMYFUNCTION("""COMPUTED_VALUE"""),23869.6)</f>
        <v>23869.6</v>
      </c>
      <c r="D67" s="1"/>
      <c r="E67" s="112">
        <f>IFERROR(__xludf.DUMMYFUNCTION("""COMPUTED_VALUE"""),46226.64583333333)</f>
        <v>46226.64583</v>
      </c>
      <c r="F67" s="1">
        <f>IFERROR(__xludf.DUMMYFUNCTION("""COMPUTED_VALUE"""),56592.0)</f>
        <v>56592</v>
      </c>
      <c r="G67" s="1"/>
      <c r="H67" s="29">
        <f t="shared" si="3"/>
        <v>0.4217839977</v>
      </c>
      <c r="I67" s="1">
        <f t="shared" si="4"/>
        <v>-32722.4</v>
      </c>
      <c r="J67" s="113">
        <f t="shared" si="5"/>
        <v>-0.1134814338</v>
      </c>
      <c r="K67" s="29">
        <f t="shared" si="6"/>
        <v>0.4217839977</v>
      </c>
      <c r="L67" s="65">
        <f t="shared" si="7"/>
        <v>24112.0925</v>
      </c>
      <c r="M67" s="25">
        <f t="shared" si="8"/>
        <v>-0.01015905168</v>
      </c>
      <c r="N67" s="65">
        <f t="shared" si="9"/>
        <v>57746.9025</v>
      </c>
      <c r="O67" s="25">
        <f t="shared" si="10"/>
        <v>-0.02040752226</v>
      </c>
      <c r="P67" s="25">
        <f t="shared" si="11"/>
        <v>0.01024847058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27"/>
      <c r="B68" s="128">
        <f>IFERROR(__xludf.DUMMYFUNCTION("""COMPUTED_VALUE"""),46227.64583333333)</f>
        <v>46227.64583</v>
      </c>
      <c r="C68" s="127">
        <f>IFERROR(__xludf.DUMMYFUNCTION("""COMPUTED_VALUE"""),23767.45)</f>
        <v>23767.45</v>
      </c>
      <c r="D68" s="127"/>
      <c r="E68" s="128">
        <f>IFERROR(__xludf.DUMMYFUNCTION("""COMPUTED_VALUE"""),46227.64583333333)</f>
        <v>46227.64583</v>
      </c>
      <c r="F68" s="127">
        <f>IFERROR(__xludf.DUMMYFUNCTION("""COMPUTED_VALUE"""),56693.5)</f>
        <v>56693.5</v>
      </c>
      <c r="G68" s="127"/>
      <c r="H68" s="129">
        <f t="shared" si="3"/>
        <v>0.4192270719</v>
      </c>
      <c r="I68" s="127">
        <f t="shared" si="4"/>
        <v>-32926.05</v>
      </c>
      <c r="J68" s="130">
        <f t="shared" si="5"/>
        <v>-0.2792465306</v>
      </c>
      <c r="K68" s="129">
        <f t="shared" si="6"/>
        <v>0.4192270719</v>
      </c>
      <c r="L68" s="131">
        <f t="shared" si="7"/>
        <v>24097.665</v>
      </c>
      <c r="M68" s="132">
        <f t="shared" si="8"/>
        <v>-0.01389358135</v>
      </c>
      <c r="N68" s="131">
        <f t="shared" si="9"/>
        <v>57672.725</v>
      </c>
      <c r="O68" s="132">
        <f t="shared" si="10"/>
        <v>-0.01727226225</v>
      </c>
      <c r="P68" s="132">
        <f t="shared" si="11"/>
        <v>0.003378680905</v>
      </c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</row>
    <row r="69">
      <c r="A69" s="1"/>
      <c r="B69" s="112">
        <f>IFERROR(__xludf.DUMMYFUNCTION("""COMPUTED_VALUE"""),46230.64583333333)</f>
        <v>46230.64583</v>
      </c>
      <c r="C69" s="1">
        <f>IFERROR(__xludf.DUMMYFUNCTION("""COMPUTED_VALUE"""),23995.95)</f>
        <v>23995.95</v>
      </c>
      <c r="D69" s="1"/>
      <c r="E69" s="112">
        <f>IFERROR(__xludf.DUMMYFUNCTION("""COMPUTED_VALUE"""),46230.64583333333)</f>
        <v>46230.64583</v>
      </c>
      <c r="F69" s="1">
        <f>IFERROR(__xludf.DUMMYFUNCTION("""COMPUTED_VALUE"""),57087.2)</f>
        <v>57087.2</v>
      </c>
      <c r="G69" s="1"/>
      <c r="H69" s="29">
        <f t="shared" si="3"/>
        <v>0.4203385347</v>
      </c>
      <c r="I69" s="1">
        <f t="shared" si="4"/>
        <v>-33091.25</v>
      </c>
      <c r="J69" s="113">
        <f t="shared" si="5"/>
        <v>-0.4137144609</v>
      </c>
      <c r="K69" s="29">
        <f t="shared" si="6"/>
        <v>0.4203385347</v>
      </c>
      <c r="L69" s="65">
        <f t="shared" si="7"/>
        <v>24100.15</v>
      </c>
      <c r="M69" s="25">
        <f t="shared" si="8"/>
        <v>-0.004342399447</v>
      </c>
      <c r="N69" s="65">
        <f t="shared" si="9"/>
        <v>57640.7175</v>
      </c>
      <c r="O69" s="25">
        <f t="shared" si="10"/>
        <v>-0.009696000154</v>
      </c>
      <c r="P69" s="25">
        <f t="shared" si="11"/>
        <v>0.005353600708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IFERROR(__xludf.DUMMYFUNCTION("""COMPUTED_VALUE"""),46231.64583333333)</f>
        <v>46231.64583</v>
      </c>
      <c r="C70" s="1">
        <f>IFERROR(__xludf.DUMMYFUNCTION("""COMPUTED_VALUE"""),23985.35)</f>
        <v>23985.35</v>
      </c>
      <c r="D70" s="1"/>
      <c r="E70" s="112">
        <f>IFERROR(__xludf.DUMMYFUNCTION("""COMPUTED_VALUE"""),46231.64583333333)</f>
        <v>46231.64583</v>
      </c>
      <c r="F70" s="1">
        <f>IFERROR(__xludf.DUMMYFUNCTION("""COMPUTED_VALUE"""),56755.6)</f>
        <v>56755.6</v>
      </c>
      <c r="G70" s="1"/>
      <c r="H70" s="29">
        <f t="shared" si="3"/>
        <v>0.422607637</v>
      </c>
      <c r="I70" s="1">
        <f t="shared" si="4"/>
        <v>-32770.25</v>
      </c>
      <c r="J70" s="113">
        <f t="shared" si="5"/>
        <v>-0.1524299233</v>
      </c>
      <c r="K70" s="29">
        <f t="shared" si="6"/>
        <v>0.422607637</v>
      </c>
      <c r="L70" s="65">
        <f t="shared" si="7"/>
        <v>24106.13</v>
      </c>
      <c r="M70" s="25">
        <f t="shared" si="8"/>
        <v>-0.005035573798</v>
      </c>
      <c r="N70" s="65">
        <f t="shared" si="9"/>
        <v>57601.3525</v>
      </c>
      <c r="O70" s="25">
        <f t="shared" si="10"/>
        <v>-0.01490165728</v>
      </c>
      <c r="P70" s="25">
        <f t="shared" si="11"/>
        <v>0.009866083483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IFERROR(__xludf.DUMMYFUNCTION("""COMPUTED_VALUE"""),46232.64583333333)</f>
        <v>46232.64583</v>
      </c>
      <c r="C71" s="1">
        <f>IFERROR(__xludf.DUMMYFUNCTION("""COMPUTED_VALUE"""),24250.2)</f>
        <v>24250.2</v>
      </c>
      <c r="D71" s="1"/>
      <c r="E71" s="112">
        <f>IFERROR(__xludf.DUMMYFUNCTION("""COMPUTED_VALUE"""),46232.64583333333)</f>
        <v>46232.64583</v>
      </c>
      <c r="F71" s="1">
        <f>IFERROR(__xludf.DUMMYFUNCTION("""COMPUTED_VALUE"""),57205.9)</f>
        <v>57205.9</v>
      </c>
      <c r="G71" s="1"/>
      <c r="H71" s="29">
        <f t="shared" si="3"/>
        <v>0.4239108204</v>
      </c>
      <c r="I71" s="1">
        <f t="shared" si="4"/>
        <v>-32955.7</v>
      </c>
      <c r="J71" s="113">
        <f t="shared" si="5"/>
        <v>-0.3033807566</v>
      </c>
      <c r="K71" s="29">
        <f t="shared" si="6"/>
        <v>0.4239108204</v>
      </c>
      <c r="L71" s="65">
        <f t="shared" si="7"/>
        <v>24118.3475</v>
      </c>
      <c r="M71" s="25">
        <f t="shared" si="8"/>
        <v>0.005437171652</v>
      </c>
      <c r="N71" s="65">
        <f t="shared" si="9"/>
        <v>57559.995</v>
      </c>
      <c r="O71" s="25">
        <f t="shared" si="10"/>
        <v>-0.006189833566</v>
      </c>
      <c r="P71" s="25">
        <f t="shared" si="11"/>
        <v>0.01162700522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IFERROR(__xludf.DUMMYFUNCTION("""COMPUTED_VALUE"""),46233.64583333333)</f>
        <v>46233.64583</v>
      </c>
      <c r="C72" s="1">
        <f>IFERROR(__xludf.DUMMYFUNCTION("""COMPUTED_VALUE"""),24317.15)</f>
        <v>24317.15</v>
      </c>
      <c r="D72" s="1"/>
      <c r="E72" s="112">
        <f>IFERROR(__xludf.DUMMYFUNCTION("""COMPUTED_VALUE"""),46233.64583333333)</f>
        <v>46233.64583</v>
      </c>
      <c r="F72" s="1">
        <f>IFERROR(__xludf.DUMMYFUNCTION("""COMPUTED_VALUE"""),57147.5)</f>
        <v>57147.5</v>
      </c>
      <c r="G72" s="1"/>
      <c r="H72" s="29">
        <f t="shared" si="3"/>
        <v>0.4255155519</v>
      </c>
      <c r="I72" s="1">
        <f t="shared" si="4"/>
        <v>-32830.35</v>
      </c>
      <c r="J72" s="113">
        <f t="shared" si="5"/>
        <v>-0.2013495516</v>
      </c>
      <c r="K72" s="29">
        <f t="shared" si="6"/>
        <v>0.4255155519</v>
      </c>
      <c r="L72" s="65">
        <f t="shared" si="7"/>
        <v>24125.42</v>
      </c>
      <c r="M72" s="25">
        <f t="shared" si="8"/>
        <v>0.00788455884</v>
      </c>
      <c r="N72" s="65">
        <f t="shared" si="9"/>
        <v>57515.7875</v>
      </c>
      <c r="O72" s="25">
        <f t="shared" si="10"/>
        <v>-0.006444507634</v>
      </c>
      <c r="P72" s="25">
        <f t="shared" si="11"/>
        <v>0.01432906647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IFERROR(__xludf.DUMMYFUNCTION("""COMPUTED_VALUE"""),46234.64583333333)</f>
        <v>46234.64583</v>
      </c>
      <c r="C73" s="1">
        <f>IFERROR(__xludf.DUMMYFUNCTION("""COMPUTED_VALUE"""),24383.6)</f>
        <v>24383.6</v>
      </c>
      <c r="D73" s="1"/>
      <c r="E73" s="112">
        <f>IFERROR(__xludf.DUMMYFUNCTION("""COMPUTED_VALUE"""),46234.64583333333)</f>
        <v>46234.64583</v>
      </c>
      <c r="F73" s="1">
        <f>IFERROR(__xludf.DUMMYFUNCTION("""COMPUTED_VALUE"""),57264.85)</f>
        <v>57264.85</v>
      </c>
      <c r="G73" s="1"/>
      <c r="H73" s="29">
        <f t="shared" si="3"/>
        <v>0.4258039618</v>
      </c>
      <c r="I73" s="1">
        <f t="shared" si="4"/>
        <v>-32881.25</v>
      </c>
      <c r="J73" s="113">
        <f t="shared" si="5"/>
        <v>-0.2427806512</v>
      </c>
      <c r="K73" s="29">
        <f t="shared" si="6"/>
        <v>0.4258039618</v>
      </c>
      <c r="L73" s="65">
        <f t="shared" si="7"/>
        <v>24131.0575</v>
      </c>
      <c r="M73" s="25">
        <f t="shared" si="8"/>
        <v>0.01035706376</v>
      </c>
      <c r="N73" s="65">
        <f t="shared" si="9"/>
        <v>57482.105</v>
      </c>
      <c r="O73" s="25">
        <f t="shared" si="10"/>
        <v>-0.003793863077</v>
      </c>
      <c r="P73" s="25">
        <f t="shared" si="11"/>
        <v>0.01415092684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IFERROR(__xludf.DUMMYFUNCTION("""COMPUTED_VALUE"""),46237.64583333333)</f>
        <v>46237.64583</v>
      </c>
      <c r="C74" s="1">
        <f>IFERROR(__xludf.DUMMYFUNCTION("""COMPUTED_VALUE"""),24774.3)</f>
        <v>24774.3</v>
      </c>
      <c r="D74" s="1"/>
      <c r="E74" s="112">
        <f>IFERROR(__xludf.DUMMYFUNCTION("""COMPUTED_VALUE"""),46237.64583333333)</f>
        <v>46237.64583</v>
      </c>
      <c r="F74" s="1">
        <f>IFERROR(__xludf.DUMMYFUNCTION("""COMPUTED_VALUE"""),58247.95)</f>
        <v>58247.95</v>
      </c>
      <c r="G74" s="1"/>
      <c r="H74" s="29">
        <f t="shared" si="3"/>
        <v>0.4253248398</v>
      </c>
      <c r="I74" s="1">
        <f t="shared" si="4"/>
        <v>-33473.65</v>
      </c>
      <c r="J74" s="113">
        <f t="shared" si="5"/>
        <v>-0.7249767885</v>
      </c>
      <c r="K74" s="29">
        <f t="shared" si="6"/>
        <v>0.4253248398</v>
      </c>
      <c r="L74" s="65">
        <f t="shared" si="7"/>
        <v>24148.255</v>
      </c>
      <c r="M74" s="25">
        <f t="shared" si="8"/>
        <v>0.02526993699</v>
      </c>
      <c r="N74" s="65">
        <f t="shared" si="9"/>
        <v>57479.9275</v>
      </c>
      <c r="O74" s="25">
        <f t="shared" si="10"/>
        <v>0.01318539966</v>
      </c>
      <c r="P74" s="25">
        <f t="shared" si="11"/>
        <v>0.01208453733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IFERROR(__xludf.DUMMYFUNCTION("""COMPUTED_VALUE"""),46238.64583333333)</f>
        <v>46238.64583</v>
      </c>
      <c r="C75" s="1">
        <f>IFERROR(__xludf.DUMMYFUNCTION("""COMPUTED_VALUE"""),24614.9)</f>
        <v>24614.9</v>
      </c>
      <c r="D75" s="1"/>
      <c r="E75" s="112">
        <f>IFERROR(__xludf.DUMMYFUNCTION("""COMPUTED_VALUE"""),46238.64583333333)</f>
        <v>46238.64583</v>
      </c>
      <c r="F75" s="1">
        <f>IFERROR(__xludf.DUMMYFUNCTION("""COMPUTED_VALUE"""),57907.2)</f>
        <v>57907.2</v>
      </c>
      <c r="G75" s="1"/>
      <c r="H75" s="29">
        <f t="shared" si="3"/>
        <v>0.4250749475</v>
      </c>
      <c r="I75" s="1">
        <f t="shared" si="4"/>
        <v>-33292.3</v>
      </c>
      <c r="J75" s="113">
        <f t="shared" si="5"/>
        <v>-0.5773632343</v>
      </c>
      <c r="K75" s="29">
        <f t="shared" si="6"/>
        <v>0.4250749475</v>
      </c>
      <c r="L75" s="65">
        <f t="shared" si="7"/>
        <v>24159.065</v>
      </c>
      <c r="M75" s="25">
        <f t="shared" si="8"/>
        <v>0.01851866146</v>
      </c>
      <c r="N75" s="65">
        <f t="shared" si="9"/>
        <v>57465.2525</v>
      </c>
      <c r="O75" s="25">
        <f t="shared" si="10"/>
        <v>0.007631995676</v>
      </c>
      <c r="P75" s="25">
        <f t="shared" si="11"/>
        <v>0.01088666579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IFERROR(__xludf.DUMMYFUNCTION("""COMPUTED_VALUE"""),46239.64583333333)</f>
        <v>46239.64583</v>
      </c>
      <c r="C76" s="1">
        <f>IFERROR(__xludf.DUMMYFUNCTION("""COMPUTED_VALUE"""),24624.65)</f>
        <v>24624.65</v>
      </c>
      <c r="D76" s="1"/>
      <c r="E76" s="112">
        <f>IFERROR(__xludf.DUMMYFUNCTION("""COMPUTED_VALUE"""),46239.64583333333)</f>
        <v>46239.64583</v>
      </c>
      <c r="F76" s="1">
        <f>IFERROR(__xludf.DUMMYFUNCTION("""COMPUTED_VALUE"""),57739.95)</f>
        <v>57739.95</v>
      </c>
      <c r="G76" s="1"/>
      <c r="H76" s="29">
        <f t="shared" si="3"/>
        <v>0.4264750835</v>
      </c>
      <c r="I76" s="1">
        <f t="shared" si="4"/>
        <v>-33115.3</v>
      </c>
      <c r="J76" s="113">
        <f t="shared" si="5"/>
        <v>-0.4332904519</v>
      </c>
      <c r="K76" s="29">
        <f t="shared" si="6"/>
        <v>0.4264750835</v>
      </c>
      <c r="L76" s="65">
        <f t="shared" si="7"/>
        <v>24196.195</v>
      </c>
      <c r="M76" s="25">
        <f t="shared" si="8"/>
        <v>0.01739943512</v>
      </c>
      <c r="N76" s="65">
        <f t="shared" si="9"/>
        <v>57515.12</v>
      </c>
      <c r="O76" s="25">
        <f t="shared" si="10"/>
        <v>0.003893837802</v>
      </c>
      <c r="P76" s="25">
        <f t="shared" si="11"/>
        <v>0.01350559732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IFERROR(__xludf.DUMMYFUNCTION("""COMPUTED_VALUE"""),46240.64583333333)</f>
        <v>46240.64583</v>
      </c>
      <c r="C77" s="1">
        <f>IFERROR(__xludf.DUMMYFUNCTION("""COMPUTED_VALUE"""),24636.0)</f>
        <v>24636</v>
      </c>
      <c r="D77" s="1"/>
      <c r="E77" s="112">
        <f>IFERROR(__xludf.DUMMYFUNCTION("""COMPUTED_VALUE"""),46240.64583333333)</f>
        <v>46240.64583</v>
      </c>
      <c r="F77" s="1">
        <f>IFERROR(__xludf.DUMMYFUNCTION("""COMPUTED_VALUE"""),58063.65)</f>
        <v>58063.65</v>
      </c>
      <c r="G77" s="1"/>
      <c r="H77" s="29">
        <f t="shared" si="3"/>
        <v>0.4242929957</v>
      </c>
      <c r="I77" s="1">
        <f t="shared" si="4"/>
        <v>-33427.65</v>
      </c>
      <c r="J77" s="113">
        <f t="shared" si="5"/>
        <v>-0.6875341445</v>
      </c>
      <c r="K77" s="29">
        <f t="shared" si="6"/>
        <v>0.4242929957</v>
      </c>
      <c r="L77" s="65">
        <f t="shared" si="7"/>
        <v>24229.855</v>
      </c>
      <c r="M77" s="25">
        <f t="shared" si="8"/>
        <v>0.01648583374</v>
      </c>
      <c r="N77" s="65">
        <f t="shared" si="9"/>
        <v>57555.68</v>
      </c>
      <c r="O77" s="25">
        <f t="shared" si="10"/>
        <v>0.008748502721</v>
      </c>
      <c r="P77" s="25">
        <f t="shared" si="11"/>
        <v>0.007737331019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IFERROR(__xludf.DUMMYFUNCTION("""COMPUTED_VALUE"""),46241.64583333333)</f>
        <v>46241.64583</v>
      </c>
      <c r="C78" s="1">
        <f>IFERROR(__xludf.DUMMYFUNCTION("""COMPUTED_VALUE"""),24570.65)</f>
        <v>24570.65</v>
      </c>
      <c r="D78" s="1"/>
      <c r="E78" s="112">
        <f>IFERROR(__xludf.DUMMYFUNCTION("""COMPUTED_VALUE"""),46241.64583333333)</f>
        <v>46241.64583</v>
      </c>
      <c r="F78" s="1">
        <f>IFERROR(__xludf.DUMMYFUNCTION("""COMPUTED_VALUE"""),57746.45)</f>
        <v>57746.45</v>
      </c>
      <c r="G78" s="1"/>
      <c r="H78" s="29">
        <f t="shared" si="3"/>
        <v>0.4254919566</v>
      </c>
      <c r="I78" s="1">
        <f t="shared" si="4"/>
        <v>-33175.8</v>
      </c>
      <c r="J78" s="113">
        <f t="shared" si="5"/>
        <v>-0.4825356685</v>
      </c>
      <c r="K78" s="29">
        <f t="shared" si="6"/>
        <v>0.4254919566</v>
      </c>
      <c r="L78" s="65">
        <f t="shared" si="7"/>
        <v>24248.0425</v>
      </c>
      <c r="M78" s="25">
        <f t="shared" si="8"/>
        <v>0.01312979103</v>
      </c>
      <c r="N78" s="65">
        <f t="shared" si="9"/>
        <v>57540.7075</v>
      </c>
      <c r="O78" s="25">
        <f t="shared" si="10"/>
        <v>0.003562859708</v>
      </c>
      <c r="P78" s="25">
        <f t="shared" si="11"/>
        <v>0.009566931323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IFERROR(__xludf.DUMMYFUNCTION("""COMPUTED_VALUE"""),46244.64583333333)</f>
        <v>46244.64583</v>
      </c>
      <c r="C79" s="1">
        <f>IFERROR(__xludf.DUMMYFUNCTION("""COMPUTED_VALUE"""),24583.8)</f>
        <v>24583.8</v>
      </c>
      <c r="D79" s="1"/>
      <c r="E79" s="112">
        <f>IFERROR(__xludf.DUMMYFUNCTION("""COMPUTED_VALUE"""),46244.64583333333)</f>
        <v>46244.64583</v>
      </c>
      <c r="F79" s="1">
        <f>IFERROR(__xludf.DUMMYFUNCTION("""COMPUTED_VALUE"""),57686.95)</f>
        <v>57686.95</v>
      </c>
      <c r="G79" s="1"/>
      <c r="H79" s="29">
        <f t="shared" si="3"/>
        <v>0.4261587759</v>
      </c>
      <c r="I79" s="1">
        <f t="shared" si="4"/>
        <v>-33103.15</v>
      </c>
      <c r="J79" s="113">
        <f t="shared" si="5"/>
        <v>-0.4234007101</v>
      </c>
      <c r="K79" s="29">
        <f t="shared" si="6"/>
        <v>0.4261587759</v>
      </c>
      <c r="L79" s="65">
        <f t="shared" si="7"/>
        <v>24266.6825</v>
      </c>
      <c r="M79" s="25">
        <f t="shared" si="8"/>
        <v>0.01289945004</v>
      </c>
      <c r="N79" s="65">
        <f t="shared" si="9"/>
        <v>57518.4825</v>
      </c>
      <c r="O79" s="25">
        <f t="shared" si="10"/>
        <v>0.002920374539</v>
      </c>
      <c r="P79" s="25">
        <f t="shared" si="11"/>
        <v>0.009979075506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IFERROR(__xludf.DUMMYFUNCTION("""COMPUTED_VALUE"""),46245.64583333333)</f>
        <v>46245.64583</v>
      </c>
      <c r="C80" s="1">
        <f>IFERROR(__xludf.DUMMYFUNCTION("""COMPUTED_VALUE"""),24471.7)</f>
        <v>24471.7</v>
      </c>
      <c r="D80" s="1"/>
      <c r="E80" s="112">
        <f>IFERROR(__xludf.DUMMYFUNCTION("""COMPUTED_VALUE"""),46245.64583333333)</f>
        <v>46245.64583</v>
      </c>
      <c r="F80" s="1">
        <f>IFERROR(__xludf.DUMMYFUNCTION("""COMPUTED_VALUE"""),57446.25)</f>
        <v>57446.25</v>
      </c>
      <c r="G80" s="1"/>
      <c r="H80" s="29">
        <f t="shared" si="3"/>
        <v>0.4259929935</v>
      </c>
      <c r="I80" s="1">
        <f t="shared" si="4"/>
        <v>-32974.55</v>
      </c>
      <c r="J80" s="113">
        <f t="shared" si="5"/>
        <v>-0.3187241009</v>
      </c>
      <c r="K80" s="29">
        <f t="shared" si="6"/>
        <v>0.4259929935</v>
      </c>
      <c r="L80" s="65">
        <f t="shared" si="7"/>
        <v>24287.665</v>
      </c>
      <c r="M80" s="25">
        <f t="shared" si="8"/>
        <v>0.007520319389</v>
      </c>
      <c r="N80" s="65">
        <f t="shared" si="9"/>
        <v>57517.68</v>
      </c>
      <c r="O80" s="25">
        <f t="shared" si="10"/>
        <v>-0.0012434232</v>
      </c>
      <c r="P80" s="25">
        <f t="shared" si="11"/>
        <v>0.008763742589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IFERROR(__xludf.DUMMYFUNCTION("""COMPUTED_VALUE"""),46246.64583333333)</f>
        <v>46246.64583</v>
      </c>
      <c r="C81" s="1">
        <f>IFERROR(__xludf.DUMMYFUNCTION("""COMPUTED_VALUE"""),24435.95)</f>
        <v>24435.95</v>
      </c>
      <c r="D81" s="1"/>
      <c r="E81" s="112">
        <f>IFERROR(__xludf.DUMMYFUNCTION("""COMPUTED_VALUE"""),46246.64583333333)</f>
        <v>46246.64583</v>
      </c>
      <c r="F81" s="1">
        <f>IFERROR(__xludf.DUMMYFUNCTION("""COMPUTED_VALUE"""),57885.85)</f>
        <v>57885.85</v>
      </c>
      <c r="G81" s="1"/>
      <c r="H81" s="29">
        <f t="shared" si="3"/>
        <v>0.4221402985</v>
      </c>
      <c r="I81" s="1">
        <f t="shared" si="4"/>
        <v>-33449.9</v>
      </c>
      <c r="J81" s="113">
        <f t="shared" si="5"/>
        <v>-0.7056449886</v>
      </c>
      <c r="K81" s="29">
        <f t="shared" si="6"/>
        <v>0.4221402985</v>
      </c>
      <c r="L81" s="65">
        <f t="shared" si="7"/>
        <v>24305.5375</v>
      </c>
      <c r="M81" s="25">
        <f t="shared" si="8"/>
        <v>0.005336911395</v>
      </c>
      <c r="N81" s="65">
        <f t="shared" si="9"/>
        <v>57524.08</v>
      </c>
      <c r="O81" s="25">
        <f t="shared" si="10"/>
        <v>0.006249713877</v>
      </c>
      <c r="P81" s="25">
        <f t="shared" si="11"/>
        <v>-0.0009128024816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IFERROR(__xludf.DUMMYFUNCTION("""COMPUTED_VALUE"""),46247.64583333333)</f>
        <v>46247.64583</v>
      </c>
      <c r="C82" s="1">
        <f>IFERROR(__xludf.DUMMYFUNCTION("""COMPUTED_VALUE"""),24395.85)</f>
        <v>24395.85</v>
      </c>
      <c r="D82" s="1"/>
      <c r="E82" s="112">
        <f>IFERROR(__xludf.DUMMYFUNCTION("""COMPUTED_VALUE"""),46247.64583333333)</f>
        <v>46247.64583</v>
      </c>
      <c r="F82" s="1">
        <f>IFERROR(__xludf.DUMMYFUNCTION("""COMPUTED_VALUE"""),57635.25)</f>
        <v>57635.25</v>
      </c>
      <c r="G82" s="1"/>
      <c r="H82" s="29">
        <f t="shared" si="3"/>
        <v>0.4232800239</v>
      </c>
      <c r="I82" s="1">
        <f t="shared" si="4"/>
        <v>-33239.4</v>
      </c>
      <c r="J82" s="113">
        <f t="shared" si="5"/>
        <v>-0.5343041937</v>
      </c>
      <c r="K82" s="29">
        <f t="shared" si="6"/>
        <v>0.4232800239</v>
      </c>
      <c r="L82" s="65">
        <f t="shared" si="7"/>
        <v>24321.6925</v>
      </c>
      <c r="M82" s="25">
        <f t="shared" si="8"/>
        <v>0.003039758811</v>
      </c>
      <c r="N82" s="65">
        <f t="shared" si="9"/>
        <v>57526.73</v>
      </c>
      <c r="O82" s="25">
        <f t="shared" si="10"/>
        <v>0.001882875497</v>
      </c>
      <c r="P82" s="25">
        <f t="shared" si="11"/>
        <v>0.001156883314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IFERROR(__xludf.DUMMYFUNCTION("""COMPUTED_VALUE"""),46248.64583333333)</f>
        <v>46248.64583</v>
      </c>
      <c r="C83" s="1">
        <f>IFERROR(__xludf.DUMMYFUNCTION("""COMPUTED_VALUE"""),24366.0)</f>
        <v>24366</v>
      </c>
      <c r="D83" s="1"/>
      <c r="E83" s="112">
        <f>IFERROR(__xludf.DUMMYFUNCTION("""COMPUTED_VALUE"""),46248.64583333333)</f>
        <v>46248.64583</v>
      </c>
      <c r="F83" s="1">
        <f>IFERROR(__xludf.DUMMYFUNCTION("""COMPUTED_VALUE"""),57491.1)</f>
        <v>57491.1</v>
      </c>
      <c r="G83" s="1"/>
      <c r="H83" s="29">
        <f t="shared" si="3"/>
        <v>0.423822122</v>
      </c>
      <c r="I83" s="1">
        <f t="shared" si="4"/>
        <v>-33125.1</v>
      </c>
      <c r="J83" s="113">
        <f t="shared" si="5"/>
        <v>-0.441267363</v>
      </c>
      <c r="K83" s="29">
        <f t="shared" si="6"/>
        <v>0.423822122</v>
      </c>
      <c r="L83" s="65">
        <f t="shared" si="7"/>
        <v>24323.2775</v>
      </c>
      <c r="M83" s="25">
        <f t="shared" si="8"/>
        <v>0.001753365345</v>
      </c>
      <c r="N83" s="65">
        <f t="shared" si="9"/>
        <v>57475.215</v>
      </c>
      <c r="O83" s="25">
        <f t="shared" si="10"/>
        <v>0.0002763036366</v>
      </c>
      <c r="P83" s="25">
        <f t="shared" si="11"/>
        <v>0.001477061709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IFERROR(__xludf.DUMMYFUNCTION("""COMPUTED_VALUE"""),46251.64583333333)</f>
        <v>46251.64583</v>
      </c>
      <c r="C84" s="1">
        <f>IFERROR(__xludf.DUMMYFUNCTION("""COMPUTED_VALUE"""),24287.65)</f>
        <v>24287.65</v>
      </c>
      <c r="D84" s="1"/>
      <c r="E84" s="112">
        <f>IFERROR(__xludf.DUMMYFUNCTION("""COMPUTED_VALUE"""),46251.64583333333)</f>
        <v>46251.64583</v>
      </c>
      <c r="F84" s="1">
        <f>IFERROR(__xludf.DUMMYFUNCTION("""COMPUTED_VALUE"""),57497.8)</f>
        <v>57497.8</v>
      </c>
      <c r="G84" s="1"/>
      <c r="H84" s="29">
        <f t="shared" si="3"/>
        <v>0.4224100748</v>
      </c>
      <c r="I84" s="1">
        <f t="shared" si="4"/>
        <v>-33210.15</v>
      </c>
      <c r="J84" s="113">
        <f t="shared" si="5"/>
        <v>-0.5104955559</v>
      </c>
      <c r="K84" s="29">
        <f t="shared" si="6"/>
        <v>0.4224100748</v>
      </c>
      <c r="L84" s="65">
        <f t="shared" si="7"/>
        <v>24325.735</v>
      </c>
      <c r="M84" s="25">
        <f t="shared" si="8"/>
        <v>-0.001568080897</v>
      </c>
      <c r="N84" s="65">
        <f t="shared" si="9"/>
        <v>57452.855</v>
      </c>
      <c r="O84" s="25">
        <f t="shared" si="10"/>
        <v>0.0007816820817</v>
      </c>
      <c r="P84" s="25">
        <f t="shared" si="11"/>
        <v>-0.002349762979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IFERROR(__xludf.DUMMYFUNCTION("""COMPUTED_VALUE"""),46252.64583333333)</f>
        <v>46252.64583</v>
      </c>
      <c r="C85" s="1">
        <f>IFERROR(__xludf.DUMMYFUNCTION("""COMPUTED_VALUE"""),24154.9)</f>
        <v>24154.9</v>
      </c>
      <c r="D85" s="1"/>
      <c r="E85" s="112">
        <f>IFERROR(__xludf.DUMMYFUNCTION("""COMPUTED_VALUE"""),46252.64583333333)</f>
        <v>46252.64583</v>
      </c>
      <c r="F85" s="1">
        <f>IFERROR(__xludf.DUMMYFUNCTION("""COMPUTED_VALUE"""),57262.4)</f>
        <v>57262.4</v>
      </c>
      <c r="G85" s="1"/>
      <c r="H85" s="29">
        <f t="shared" si="3"/>
        <v>0.4218282852</v>
      </c>
      <c r="I85" s="1">
        <f t="shared" si="4"/>
        <v>-33107.5</v>
      </c>
      <c r="J85" s="113">
        <f t="shared" si="5"/>
        <v>-0.4269414818</v>
      </c>
      <c r="K85" s="29">
        <f t="shared" si="6"/>
        <v>0.4218282852</v>
      </c>
      <c r="L85" s="65">
        <f t="shared" si="7"/>
        <v>24324.095</v>
      </c>
      <c r="M85" s="25">
        <f t="shared" si="8"/>
        <v>-0.007004582921</v>
      </c>
      <c r="N85" s="65">
        <f t="shared" si="9"/>
        <v>57424.2075</v>
      </c>
      <c r="O85" s="25">
        <f t="shared" si="10"/>
        <v>-0.002825719844</v>
      </c>
      <c r="P85" s="25">
        <f t="shared" si="11"/>
        <v>-0.004178863077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IFERROR(__xludf.DUMMYFUNCTION("""COMPUTED_VALUE"""),46253.64583333333)</f>
        <v>46253.64583</v>
      </c>
      <c r="C86" s="1">
        <f>IFERROR(__xludf.DUMMYFUNCTION("""COMPUTED_VALUE"""),24078.3)</f>
        <v>24078.3</v>
      </c>
      <c r="D86" s="1"/>
      <c r="E86" s="112">
        <f>IFERROR(__xludf.DUMMYFUNCTION("""COMPUTED_VALUE"""),46253.64583333333)</f>
        <v>46253.64583</v>
      </c>
      <c r="F86" s="1">
        <f>IFERROR(__xludf.DUMMYFUNCTION("""COMPUTED_VALUE"""),57239.75)</f>
        <v>57239.75</v>
      </c>
      <c r="G86" s="1"/>
      <c r="H86" s="29">
        <f t="shared" si="3"/>
        <v>0.4206569735</v>
      </c>
      <c r="I86" s="1">
        <f t="shared" si="4"/>
        <v>-33161.45</v>
      </c>
      <c r="J86" s="113">
        <f t="shared" si="5"/>
        <v>-0.4708551915</v>
      </c>
      <c r="K86" s="29">
        <f t="shared" si="6"/>
        <v>0.4206569735</v>
      </c>
      <c r="L86" s="65">
        <f t="shared" si="7"/>
        <v>24328.1975</v>
      </c>
      <c r="M86" s="25">
        <f t="shared" si="8"/>
        <v>-0.01037853586</v>
      </c>
      <c r="N86" s="65">
        <f t="shared" si="9"/>
        <v>57429.855</v>
      </c>
      <c r="O86" s="25">
        <f t="shared" si="10"/>
        <v>-0.00332120598</v>
      </c>
      <c r="P86" s="25">
        <f t="shared" si="11"/>
        <v>-0.00705732988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IFERROR(__xludf.DUMMYFUNCTION("""COMPUTED_VALUE"""),46254.64583333333)</f>
        <v>46254.64583</v>
      </c>
      <c r="C87" s="1">
        <f>IFERROR(__xludf.DUMMYFUNCTION("""COMPUTED_VALUE"""),24231.85)</f>
        <v>24231.85</v>
      </c>
      <c r="D87" s="1"/>
      <c r="E87" s="112">
        <f>IFERROR(__xludf.DUMMYFUNCTION("""COMPUTED_VALUE"""),46254.64583333333)</f>
        <v>46254.64583</v>
      </c>
      <c r="F87" s="1">
        <f>IFERROR(__xludf.DUMMYFUNCTION("""COMPUTED_VALUE"""),57495.9)</f>
        <v>57495.9</v>
      </c>
      <c r="G87" s="1"/>
      <c r="H87" s="29">
        <f t="shared" si="3"/>
        <v>0.4214535297</v>
      </c>
      <c r="I87" s="1">
        <f t="shared" si="4"/>
        <v>-33264.05</v>
      </c>
      <c r="J87" s="113">
        <f t="shared" si="5"/>
        <v>-0.5543685671</v>
      </c>
      <c r="K87" s="29">
        <f t="shared" si="6"/>
        <v>0.4214535297</v>
      </c>
      <c r="L87" s="65">
        <f t="shared" si="7"/>
        <v>24346.31</v>
      </c>
      <c r="M87" s="25">
        <f t="shared" si="8"/>
        <v>-0.004723535347</v>
      </c>
      <c r="N87" s="65">
        <f t="shared" si="9"/>
        <v>57475.05</v>
      </c>
      <c r="O87" s="25">
        <f t="shared" si="10"/>
        <v>0.0003626345531</v>
      </c>
      <c r="P87" s="25">
        <f t="shared" si="11"/>
        <v>-0.0050861699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IFERROR(__xludf.DUMMYFUNCTION("""COMPUTED_VALUE"""),46255.64583333333)</f>
        <v>46255.64583</v>
      </c>
      <c r="C88" s="1">
        <f>IFERROR(__xludf.DUMMYFUNCTION("""COMPUTED_VALUE"""),24252.0)</f>
        <v>24252</v>
      </c>
      <c r="D88" s="1"/>
      <c r="E88" s="112">
        <f>IFERROR(__xludf.DUMMYFUNCTION("""COMPUTED_VALUE"""),46255.64583333333)</f>
        <v>46255.64583</v>
      </c>
      <c r="F88" s="1">
        <f>IFERROR(__xludf.DUMMYFUNCTION("""COMPUTED_VALUE"""),57761.95)</f>
        <v>57761.95</v>
      </c>
      <c r="G88" s="1"/>
      <c r="H88" s="29">
        <f t="shared" si="3"/>
        <v>0.4198611716</v>
      </c>
      <c r="I88" s="1">
        <f t="shared" si="4"/>
        <v>-33509.95</v>
      </c>
      <c r="J88" s="113">
        <f t="shared" si="5"/>
        <v>-0.7545239184</v>
      </c>
      <c r="K88" s="29">
        <f t="shared" si="6"/>
        <v>0.4198611716</v>
      </c>
      <c r="L88" s="65">
        <f t="shared" si="7"/>
        <v>24370.5375</v>
      </c>
      <c r="M88" s="25">
        <f t="shared" si="8"/>
        <v>-0.004887741217</v>
      </c>
      <c r="N88" s="65">
        <f t="shared" si="9"/>
        <v>57528.4725</v>
      </c>
      <c r="O88" s="25">
        <f t="shared" si="10"/>
        <v>0.004042064023</v>
      </c>
      <c r="P88" s="25">
        <f t="shared" si="11"/>
        <v>-0.00892980524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IFERROR(__xludf.DUMMYFUNCTION("""COMPUTED_VALUE"""),46258.64583333333)</f>
        <v>46258.64583</v>
      </c>
      <c r="C89" s="1">
        <f>IFERROR(__xludf.DUMMYFUNCTION("""COMPUTED_VALUE"""),24219.05)</f>
        <v>24219.05</v>
      </c>
      <c r="D89" s="1"/>
      <c r="E89" s="112">
        <f>IFERROR(__xludf.DUMMYFUNCTION("""COMPUTED_VALUE"""),46258.64583333333)</f>
        <v>46258.64583</v>
      </c>
      <c r="F89" s="1">
        <f>IFERROR(__xludf.DUMMYFUNCTION("""COMPUTED_VALUE"""),57525.95)</f>
        <v>57525.95</v>
      </c>
      <c r="G89" s="1"/>
      <c r="H89" s="29">
        <f t="shared" si="3"/>
        <v>0.4210108655</v>
      </c>
      <c r="I89" s="1">
        <f t="shared" si="4"/>
        <v>-33306.9</v>
      </c>
      <c r="J89" s="113">
        <f t="shared" si="5"/>
        <v>-0.5892472039</v>
      </c>
      <c r="K89" s="29">
        <f t="shared" si="6"/>
        <v>0.4210108655</v>
      </c>
      <c r="L89" s="65">
        <f t="shared" si="7"/>
        <v>24381.6925</v>
      </c>
      <c r="M89" s="25">
        <f t="shared" si="8"/>
        <v>-0.006715478105</v>
      </c>
      <c r="N89" s="65">
        <f t="shared" si="9"/>
        <v>57550.41</v>
      </c>
      <c r="O89" s="25">
        <f t="shared" si="10"/>
        <v>-0.00042519941</v>
      </c>
      <c r="P89" s="25">
        <f t="shared" si="11"/>
        <v>-0.006290278695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IFERROR(__xludf.DUMMYFUNCTION("""COMPUTED_VALUE"""),46259.64583333333)</f>
        <v>46259.64583</v>
      </c>
      <c r="C90" s="1">
        <f>IFERROR(__xludf.DUMMYFUNCTION("""COMPUTED_VALUE"""),24334.55)</f>
        <v>24334.55</v>
      </c>
      <c r="D90" s="25"/>
      <c r="E90" s="112">
        <f>IFERROR(__xludf.DUMMYFUNCTION("""COMPUTED_VALUE"""),46259.64583333333)</f>
        <v>46259.64583</v>
      </c>
      <c r="F90" s="1">
        <f>IFERROR(__xludf.DUMMYFUNCTION("""COMPUTED_VALUE"""),57514.2)</f>
        <v>57514.2</v>
      </c>
      <c r="G90" s="1"/>
      <c r="H90" s="29">
        <f t="shared" si="3"/>
        <v>0.4231050767</v>
      </c>
      <c r="I90" s="1">
        <f t="shared" si="4"/>
        <v>-33179.65</v>
      </c>
      <c r="J90" s="113">
        <f t="shared" si="5"/>
        <v>-0.485669455</v>
      </c>
      <c r="K90" s="29">
        <f t="shared" si="6"/>
        <v>0.4231050767</v>
      </c>
      <c r="L90" s="65">
        <f t="shared" si="7"/>
        <v>24399.1525</v>
      </c>
      <c r="M90" s="25">
        <f t="shared" si="8"/>
        <v>-0.002654764522</v>
      </c>
      <c r="N90" s="65">
        <f t="shared" si="9"/>
        <v>57588.34</v>
      </c>
      <c r="O90" s="25">
        <f t="shared" si="10"/>
        <v>-0.001289072959</v>
      </c>
      <c r="P90" s="25">
        <f t="shared" si="11"/>
        <v>-0.001365691563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IFERROR(__xludf.DUMMYFUNCTION("""COMPUTED_VALUE"""),46260.64583333333)</f>
        <v>46260.64583</v>
      </c>
      <c r="C91" s="1">
        <f>IFERROR(__xludf.DUMMYFUNCTION("""COMPUTED_VALUE"""),24207.75)</f>
        <v>24207.75</v>
      </c>
      <c r="D91" s="1"/>
      <c r="E91" s="112">
        <f>IFERROR(__xludf.DUMMYFUNCTION("""COMPUTED_VALUE"""),46260.64583333333)</f>
        <v>46260.64583</v>
      </c>
      <c r="F91" s="1">
        <f>IFERROR(__xludf.DUMMYFUNCTION("""COMPUTED_VALUE"""),57783.75)</f>
        <v>57783.75</v>
      </c>
      <c r="G91" s="1"/>
      <c r="H91" s="29">
        <f t="shared" si="3"/>
        <v>0.4189369849</v>
      </c>
      <c r="I91" s="1">
        <f t="shared" si="4"/>
        <v>-33576</v>
      </c>
      <c r="J91" s="113">
        <f t="shared" si="5"/>
        <v>-0.8082866714</v>
      </c>
      <c r="K91" s="29">
        <f t="shared" si="6"/>
        <v>0.4189369849</v>
      </c>
      <c r="L91" s="65">
        <f t="shared" si="7"/>
        <v>24397.03</v>
      </c>
      <c r="M91" s="25">
        <f t="shared" si="8"/>
        <v>-0.00781898359</v>
      </c>
      <c r="N91" s="65">
        <f t="shared" si="9"/>
        <v>57617.2325</v>
      </c>
      <c r="O91" s="25">
        <f t="shared" si="10"/>
        <v>0.002881735782</v>
      </c>
      <c r="P91" s="25">
        <f t="shared" si="11"/>
        <v>-0.01070071937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IFERROR(__xludf.DUMMYFUNCTION("""COMPUTED_VALUE"""),46261.64583333333)</f>
        <v>46261.64583</v>
      </c>
      <c r="C92" s="1">
        <f>IFERROR(__xludf.DUMMYFUNCTION("""COMPUTED_VALUE"""),24090.85)</f>
        <v>24090.85</v>
      </c>
      <c r="D92" s="1"/>
      <c r="E92" s="112">
        <f>IFERROR(__xludf.DUMMYFUNCTION("""COMPUTED_VALUE"""),46261.64583333333)</f>
        <v>46261.64583</v>
      </c>
      <c r="F92" s="1">
        <f>IFERROR(__xludf.DUMMYFUNCTION("""COMPUTED_VALUE"""),57509.95)</f>
        <v>57509.95</v>
      </c>
      <c r="G92" s="1"/>
      <c r="H92" s="29">
        <f t="shared" si="3"/>
        <v>0.4188988166</v>
      </c>
      <c r="I92" s="1">
        <f t="shared" si="4"/>
        <v>-33419.1</v>
      </c>
      <c r="J92" s="113">
        <f t="shared" si="5"/>
        <v>-0.6805746965</v>
      </c>
      <c r="K92" s="29">
        <f t="shared" si="6"/>
        <v>0.4188988166</v>
      </c>
      <c r="L92" s="65">
        <f t="shared" si="7"/>
        <v>24385.715</v>
      </c>
      <c r="M92" s="25">
        <f t="shared" si="8"/>
        <v>-0.01223970927</v>
      </c>
      <c r="N92" s="65">
        <f t="shared" si="9"/>
        <v>57635.355</v>
      </c>
      <c r="O92" s="25">
        <f t="shared" si="10"/>
        <v>-0.002180579187</v>
      </c>
      <c r="P92" s="25">
        <f t="shared" si="11"/>
        <v>-0.01005913008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IFERROR(__xludf.DUMMYFUNCTION("""COMPUTED_VALUE"""),46262.64583333333)</f>
        <v>46262.64583</v>
      </c>
      <c r="C93" s="1">
        <f>IFERROR(__xludf.DUMMYFUNCTION("""COMPUTED_VALUE"""),24175.65)</f>
        <v>24175.65</v>
      </c>
      <c r="D93" s="1"/>
      <c r="E93" s="112">
        <f>IFERROR(__xludf.DUMMYFUNCTION("""COMPUTED_VALUE"""),46262.64583333333)</f>
        <v>46262.64583</v>
      </c>
      <c r="F93" s="1">
        <f>IFERROR(__xludf.DUMMYFUNCTION("""COMPUTED_VALUE"""),57496.3)</f>
        <v>57496.3</v>
      </c>
      <c r="G93" s="1"/>
      <c r="H93" s="29">
        <f t="shared" si="3"/>
        <v>0.4204731435</v>
      </c>
      <c r="I93" s="1">
        <f t="shared" si="4"/>
        <v>-33320.65</v>
      </c>
      <c r="J93" s="113">
        <f t="shared" si="5"/>
        <v>-0.6004392986</v>
      </c>
      <c r="K93" s="29">
        <f t="shared" si="6"/>
        <v>0.4204731435</v>
      </c>
      <c r="L93" s="65">
        <f t="shared" si="7"/>
        <v>24375.3175</v>
      </c>
      <c r="M93" s="25">
        <f t="shared" si="8"/>
        <v>-0.008259033366</v>
      </c>
      <c r="N93" s="65">
        <f t="shared" si="9"/>
        <v>57646.9275</v>
      </c>
      <c r="O93" s="25">
        <f t="shared" si="10"/>
        <v>-0.002619777273</v>
      </c>
      <c r="P93" s="25">
        <f t="shared" si="11"/>
        <v>-0.005639256094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IFERROR(__xludf.DUMMYFUNCTION("""COMPUTED_VALUE"""),46265.64583333333)</f>
        <v>46265.64583</v>
      </c>
      <c r="C94" s="1">
        <f>IFERROR(__xludf.DUMMYFUNCTION("""COMPUTED_VALUE"""),24080.4)</f>
        <v>24080.4</v>
      </c>
      <c r="D94" s="1"/>
      <c r="E94" s="112">
        <f>IFERROR(__xludf.DUMMYFUNCTION("""COMPUTED_VALUE"""),46265.64583333333)</f>
        <v>46265.64583</v>
      </c>
      <c r="F94" s="1">
        <f>IFERROR(__xludf.DUMMYFUNCTION("""COMPUTED_VALUE"""),58024.95)</f>
        <v>58024.95</v>
      </c>
      <c r="G94" s="1"/>
      <c r="H94" s="29">
        <f t="shared" si="3"/>
        <v>0.4150007885</v>
      </c>
      <c r="I94" s="1">
        <f t="shared" si="4"/>
        <v>-33944.55</v>
      </c>
      <c r="J94" s="113">
        <f t="shared" si="5"/>
        <v>-1.108275507</v>
      </c>
      <c r="K94" s="29">
        <f t="shared" si="6"/>
        <v>0.4150007885</v>
      </c>
      <c r="L94" s="65">
        <f t="shared" si="7"/>
        <v>24340.6225</v>
      </c>
      <c r="M94" s="25">
        <f t="shared" si="8"/>
        <v>-0.01080640272</v>
      </c>
      <c r="N94" s="65">
        <f t="shared" si="9"/>
        <v>57635.7775</v>
      </c>
      <c r="O94" s="25">
        <f t="shared" si="10"/>
        <v>0.00670698553</v>
      </c>
      <c r="P94" s="25">
        <f t="shared" si="11"/>
        <v>-0.01751338825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IFERROR(__xludf.DUMMYFUNCTION("""COMPUTED_VALUE"""),46266.64583333333)</f>
        <v>46266.64583</v>
      </c>
      <c r="C95" s="1">
        <f>IFERROR(__xludf.DUMMYFUNCTION("""COMPUTED_VALUE"""),24055.8)</f>
        <v>24055.8</v>
      </c>
      <c r="D95" s="1"/>
      <c r="E95" s="112">
        <f>IFERROR(__xludf.DUMMYFUNCTION("""COMPUTED_VALUE"""),46266.64583333333)</f>
        <v>46266.64583</v>
      </c>
      <c r="F95" s="1">
        <f>IFERROR(__xludf.DUMMYFUNCTION("""COMPUTED_VALUE"""),57409.6)</f>
        <v>57409.6</v>
      </c>
      <c r="G95" s="1"/>
      <c r="H95" s="29">
        <f t="shared" si="3"/>
        <v>0.4190205122</v>
      </c>
      <c r="I95" s="1">
        <f t="shared" si="4"/>
        <v>-33353.8</v>
      </c>
      <c r="J95" s="113">
        <f t="shared" si="5"/>
        <v>-0.6274224214</v>
      </c>
      <c r="K95" s="29">
        <f t="shared" si="6"/>
        <v>0.4190205122</v>
      </c>
      <c r="L95" s="65">
        <f t="shared" si="7"/>
        <v>24312.6675</v>
      </c>
      <c r="M95" s="25">
        <f t="shared" si="8"/>
        <v>-0.01067798618</v>
      </c>
      <c r="N95" s="65">
        <f t="shared" si="9"/>
        <v>57610.8975</v>
      </c>
      <c r="O95" s="25">
        <f t="shared" si="10"/>
        <v>-0.003506338661</v>
      </c>
      <c r="P95" s="25">
        <f t="shared" si="11"/>
        <v>-0.007171647521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IFERROR(__xludf.DUMMYFUNCTION("""COMPUTED_VALUE"""),46267.64583333333)</f>
        <v>46267.64583</v>
      </c>
      <c r="C96" s="1">
        <f>IFERROR(__xludf.DUMMYFUNCTION("""COMPUTED_VALUE"""),23914.45)</f>
        <v>23914.45</v>
      </c>
      <c r="D96" s="1"/>
      <c r="E96" s="112">
        <f>IFERROR(__xludf.DUMMYFUNCTION("""COMPUTED_VALUE"""),46267.64583333333)</f>
        <v>46267.64583</v>
      </c>
      <c r="F96" s="1">
        <f>IFERROR(__xludf.DUMMYFUNCTION("""COMPUTED_VALUE"""),57172.0)</f>
        <v>57172</v>
      </c>
      <c r="G96" s="1"/>
      <c r="H96" s="29">
        <f t="shared" si="3"/>
        <v>0.4182895473</v>
      </c>
      <c r="I96" s="1">
        <f t="shared" si="4"/>
        <v>-33257.55</v>
      </c>
      <c r="J96" s="113">
        <f t="shared" si="5"/>
        <v>-0.5490777587</v>
      </c>
      <c r="K96" s="29">
        <f t="shared" si="6"/>
        <v>0.4182895473</v>
      </c>
      <c r="L96" s="65">
        <f t="shared" si="7"/>
        <v>24277.1575</v>
      </c>
      <c r="M96" s="25">
        <f t="shared" si="8"/>
        <v>-0.01516687609</v>
      </c>
      <c r="N96" s="65">
        <f t="shared" si="9"/>
        <v>57582.5</v>
      </c>
      <c r="O96" s="25">
        <f t="shared" si="10"/>
        <v>-0.007180088155</v>
      </c>
      <c r="P96" s="25">
        <f t="shared" si="11"/>
        <v>-0.007986787939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IFERROR(__xludf.DUMMYFUNCTION("""COMPUTED_VALUE"""),46268.64583333333)</f>
        <v>46268.64583</v>
      </c>
      <c r="C97" s="1">
        <f>IFERROR(__xludf.DUMMYFUNCTION("""COMPUTED_VALUE"""),23873.45)</f>
        <v>23873.45</v>
      </c>
      <c r="D97" s="1"/>
      <c r="E97" s="112">
        <f>IFERROR(__xludf.DUMMYFUNCTION("""COMPUTED_VALUE"""),46268.64583333333)</f>
        <v>46268.64583</v>
      </c>
      <c r="F97" s="1">
        <f>IFERROR(__xludf.DUMMYFUNCTION("""COMPUTED_VALUE"""),57380.6)</f>
        <v>57380.6</v>
      </c>
      <c r="G97" s="1"/>
      <c r="H97" s="29">
        <f t="shared" si="3"/>
        <v>0.4160543807</v>
      </c>
      <c r="I97" s="1">
        <f t="shared" si="4"/>
        <v>-33507.15</v>
      </c>
      <c r="J97" s="113">
        <f t="shared" si="5"/>
        <v>-0.752244801</v>
      </c>
      <c r="K97" s="29">
        <f t="shared" si="6"/>
        <v>0.4160543807</v>
      </c>
      <c r="L97" s="65">
        <f t="shared" si="7"/>
        <v>24239.03</v>
      </c>
      <c r="M97" s="25">
        <f t="shared" si="8"/>
        <v>-0.01531324547</v>
      </c>
      <c r="N97" s="65">
        <f t="shared" si="9"/>
        <v>57548.3475</v>
      </c>
      <c r="O97" s="25">
        <f t="shared" si="10"/>
        <v>-0.002923418368</v>
      </c>
      <c r="P97" s="25">
        <f t="shared" si="11"/>
        <v>-0.0123898271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IFERROR(__xludf.DUMMYFUNCTION("""COMPUTED_VALUE"""),46269.64583333333)</f>
        <v>46269.64583</v>
      </c>
      <c r="C98" s="1">
        <f>IFERROR(__xludf.DUMMYFUNCTION("""COMPUTED_VALUE"""),23897.7)</f>
        <v>23897.7</v>
      </c>
      <c r="D98" s="1"/>
      <c r="E98" s="112">
        <f>IFERROR(__xludf.DUMMYFUNCTION("""COMPUTED_VALUE"""),46269.64583333333)</f>
        <v>46269.64583</v>
      </c>
      <c r="F98" s="1">
        <f>IFERROR(__xludf.DUMMYFUNCTION("""COMPUTED_VALUE"""),57369.65)</f>
        <v>57369.65</v>
      </c>
      <c r="G98" s="1"/>
      <c r="H98" s="29">
        <f t="shared" si="3"/>
        <v>0.4165564894</v>
      </c>
      <c r="I98" s="1">
        <f t="shared" si="4"/>
        <v>-33471.95</v>
      </c>
      <c r="J98" s="113">
        <f t="shared" si="5"/>
        <v>-0.7235930386</v>
      </c>
      <c r="K98" s="29">
        <f t="shared" si="6"/>
        <v>0.4165564894</v>
      </c>
      <c r="L98" s="65">
        <f t="shared" si="7"/>
        <v>24205.3825</v>
      </c>
      <c r="M98" s="25">
        <f t="shared" si="8"/>
        <v>-0.01287498379</v>
      </c>
      <c r="N98" s="65">
        <f t="shared" si="9"/>
        <v>57529.5075</v>
      </c>
      <c r="O98" s="25">
        <f t="shared" si="10"/>
        <v>-0.002786447189</v>
      </c>
      <c r="P98" s="25">
        <f t="shared" si="11"/>
        <v>-0.0100885366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IFERROR(__xludf.DUMMYFUNCTION("""COMPUTED_VALUE"""),46272.64583333333)</f>
        <v>46272.64583</v>
      </c>
      <c r="C99" s="1">
        <f>IFERROR(__xludf.DUMMYFUNCTION("""COMPUTED_VALUE"""),23779.15)</f>
        <v>23779.15</v>
      </c>
      <c r="D99" s="1"/>
      <c r="E99" s="112">
        <f>IFERROR(__xludf.DUMMYFUNCTION("""COMPUTED_VALUE"""),46272.64583333333)</f>
        <v>46272.64583</v>
      </c>
      <c r="F99" s="1">
        <f>IFERROR(__xludf.DUMMYFUNCTION("""COMPUTED_VALUE"""),57088.3)</f>
        <v>57088.3</v>
      </c>
      <c r="G99" s="1"/>
      <c r="H99" s="29">
        <f t="shared" si="3"/>
        <v>0.4165328097</v>
      </c>
      <c r="I99" s="1">
        <f t="shared" si="4"/>
        <v>-33309.15</v>
      </c>
      <c r="J99" s="113">
        <f t="shared" si="5"/>
        <v>-0.5910786376</v>
      </c>
      <c r="K99" s="29">
        <f t="shared" si="6"/>
        <v>0.4165328097</v>
      </c>
      <c r="L99" s="65">
        <f t="shared" si="7"/>
        <v>24165.15</v>
      </c>
      <c r="M99" s="25">
        <f t="shared" si="8"/>
        <v>-0.01623270807</v>
      </c>
      <c r="N99" s="65">
        <f t="shared" si="9"/>
        <v>57499.575</v>
      </c>
      <c r="O99" s="25">
        <f t="shared" si="10"/>
        <v>-0.007204190701</v>
      </c>
      <c r="P99" s="25">
        <f t="shared" si="11"/>
        <v>-0.009028517365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IFERROR(__xludf.DUMMYFUNCTION("""COMPUTED_VALUE"""),46273.64583333333)</f>
        <v>46273.64583</v>
      </c>
      <c r="C100" s="1">
        <f>IFERROR(__xludf.DUMMYFUNCTION("""COMPUTED_VALUE"""),23635.1)</f>
        <v>23635.1</v>
      </c>
      <c r="D100" s="1"/>
      <c r="E100" s="112">
        <f>IFERROR(__xludf.DUMMYFUNCTION("""COMPUTED_VALUE"""),46273.64583333333)</f>
        <v>46273.64583</v>
      </c>
      <c r="F100" s="1">
        <f>IFERROR(__xludf.DUMMYFUNCTION("""COMPUTED_VALUE"""),56777.55)</f>
        <v>56777.55</v>
      </c>
      <c r="G100" s="1"/>
      <c r="H100" s="29">
        <f t="shared" si="3"/>
        <v>0.4162754469</v>
      </c>
      <c r="I100" s="1">
        <f t="shared" si="4"/>
        <v>-33142.45</v>
      </c>
      <c r="J100" s="113">
        <f t="shared" si="5"/>
        <v>-0.4553897516</v>
      </c>
      <c r="K100" s="29">
        <f t="shared" si="6"/>
        <v>0.4162754469</v>
      </c>
      <c r="L100" s="65">
        <f t="shared" si="7"/>
        <v>24123.32</v>
      </c>
      <c r="M100" s="25">
        <f t="shared" si="8"/>
        <v>-0.02065656587</v>
      </c>
      <c r="N100" s="65">
        <f t="shared" si="9"/>
        <v>57466.14</v>
      </c>
      <c r="O100" s="25">
        <f t="shared" si="10"/>
        <v>-0.01212785687</v>
      </c>
      <c r="P100" s="25">
        <f t="shared" si="11"/>
        <v>-0.008528708997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IFERROR(__xludf.DUMMYFUNCTION("""COMPUTED_VALUE"""),46274.64583333333)</f>
        <v>46274.64583</v>
      </c>
      <c r="C101" s="1">
        <f>IFERROR(__xludf.DUMMYFUNCTION("""COMPUTED_VALUE"""),23431.5)</f>
        <v>23431.5</v>
      </c>
      <c r="D101" s="1"/>
      <c r="E101" s="112">
        <f>IFERROR(__xludf.DUMMYFUNCTION("""COMPUTED_VALUE"""),46274.64583333333)</f>
        <v>46274.64583</v>
      </c>
      <c r="F101" s="1">
        <f>IFERROR(__xludf.DUMMYFUNCTION("""COMPUTED_VALUE"""),56295.55)</f>
        <v>56295.55</v>
      </c>
      <c r="G101" s="1"/>
      <c r="H101" s="29">
        <f t="shared" si="3"/>
        <v>0.4162229519</v>
      </c>
      <c r="I101" s="1">
        <f t="shared" si="4"/>
        <v>-32864.05</v>
      </c>
      <c r="J101" s="113">
        <f t="shared" si="5"/>
        <v>-0.2287803582</v>
      </c>
      <c r="K101" s="29">
        <f t="shared" si="6"/>
        <v>0.4162229519</v>
      </c>
      <c r="L101" s="65">
        <f t="shared" si="7"/>
        <v>24073.0975</v>
      </c>
      <c r="M101" s="25">
        <f t="shared" si="8"/>
        <v>-0.02738183642</v>
      </c>
      <c r="N101" s="65">
        <f t="shared" si="9"/>
        <v>57386.625</v>
      </c>
      <c r="O101" s="25">
        <f t="shared" si="10"/>
        <v>-0.01938119443</v>
      </c>
      <c r="P101" s="25">
        <f t="shared" si="11"/>
        <v>-0.008000641988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IFERROR(__xludf.DUMMYFUNCTION("""COMPUTED_VALUE"""),46275.64583333333)</f>
        <v>46275.64583</v>
      </c>
      <c r="C102" s="1">
        <f>IFERROR(__xludf.DUMMYFUNCTION("""COMPUTED_VALUE"""),23477.8)</f>
        <v>23477.8</v>
      </c>
      <c r="D102" s="1"/>
      <c r="E102" s="112">
        <f>IFERROR(__xludf.DUMMYFUNCTION("""COMPUTED_VALUE"""),46275.64583333333)</f>
        <v>46275.64583</v>
      </c>
      <c r="F102" s="1">
        <f>IFERROR(__xludf.DUMMYFUNCTION("""COMPUTED_VALUE"""),56471.95)</f>
        <v>56471.95</v>
      </c>
      <c r="G102" s="1"/>
      <c r="H102" s="29">
        <f t="shared" si="3"/>
        <v>0.4157426829</v>
      </c>
      <c r="I102" s="1">
        <f t="shared" si="4"/>
        <v>-32994.15</v>
      </c>
      <c r="J102" s="113">
        <f t="shared" si="5"/>
        <v>-0.3346779232</v>
      </c>
      <c r="K102" s="29">
        <f t="shared" si="6"/>
        <v>0.4157426829</v>
      </c>
      <c r="L102" s="65">
        <f t="shared" si="7"/>
        <v>24027.195</v>
      </c>
      <c r="M102" s="25">
        <f t="shared" si="8"/>
        <v>-0.02340061675</v>
      </c>
      <c r="N102" s="65">
        <f t="shared" si="9"/>
        <v>57328.46</v>
      </c>
      <c r="O102" s="25">
        <f t="shared" si="10"/>
        <v>-0.01516699884</v>
      </c>
      <c r="P102" s="25">
        <f t="shared" si="11"/>
        <v>-0.008233617915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IFERROR(__xludf.DUMMYFUNCTION("""COMPUTED_VALUE"""),46276.64583333333)</f>
        <v>46276.64583</v>
      </c>
      <c r="C103" s="1">
        <f>IFERROR(__xludf.DUMMYFUNCTION("""COMPUTED_VALUE"""),23398.1)</f>
        <v>23398.1</v>
      </c>
      <c r="D103" s="1"/>
      <c r="E103" s="112">
        <f>IFERROR(__xludf.DUMMYFUNCTION("""COMPUTED_VALUE"""),46276.64583333333)</f>
        <v>46276.64583</v>
      </c>
      <c r="F103" s="1">
        <f>IFERROR(__xludf.DUMMYFUNCTION("""COMPUTED_VALUE"""),56606.55)</f>
        <v>56606.55</v>
      </c>
      <c r="G103" s="1"/>
      <c r="H103" s="29">
        <f t="shared" si="3"/>
        <v>0.4133461587</v>
      </c>
      <c r="I103" s="1">
        <f t="shared" si="4"/>
        <v>-33208.45</v>
      </c>
      <c r="J103" s="113">
        <f t="shared" si="5"/>
        <v>-0.509111806</v>
      </c>
      <c r="K103" s="29">
        <f t="shared" si="6"/>
        <v>0.4133461587</v>
      </c>
      <c r="L103" s="65">
        <f t="shared" si="7"/>
        <v>23978.8</v>
      </c>
      <c r="M103" s="25">
        <f t="shared" si="8"/>
        <v>-0.02481825447</v>
      </c>
      <c r="N103" s="65">
        <f t="shared" si="9"/>
        <v>57284.2325</v>
      </c>
      <c r="O103" s="25">
        <f t="shared" si="10"/>
        <v>-0.01197180362</v>
      </c>
      <c r="P103" s="25">
        <f t="shared" si="11"/>
        <v>-0.01284645086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IFERROR(__xludf.DUMMYFUNCTION("""COMPUTED_VALUE"""),46280.64583333333)</f>
        <v>46280.64583</v>
      </c>
      <c r="C104" s="1">
        <f>IFERROR(__xludf.DUMMYFUNCTION("""COMPUTED_VALUE"""),23118.6)</f>
        <v>23118.6</v>
      </c>
      <c r="D104" s="1"/>
      <c r="E104" s="112">
        <f>IFERROR(__xludf.DUMMYFUNCTION("""COMPUTED_VALUE"""),46280.64583333333)</f>
        <v>46280.64583</v>
      </c>
      <c r="F104" s="1">
        <f>IFERROR(__xludf.DUMMYFUNCTION("""COMPUTED_VALUE"""),55794.75)</f>
        <v>55794.75</v>
      </c>
      <c r="G104" s="1"/>
      <c r="H104" s="29">
        <f t="shared" si="3"/>
        <v>0.4143508126</v>
      </c>
      <c r="I104" s="1">
        <f t="shared" si="4"/>
        <v>-32676.15</v>
      </c>
      <c r="J104" s="113">
        <f t="shared" si="5"/>
        <v>-0.07583529714</v>
      </c>
      <c r="K104" s="29">
        <f t="shared" si="6"/>
        <v>0.4143508126</v>
      </c>
      <c r="L104" s="65">
        <f t="shared" si="7"/>
        <v>23920.3475</v>
      </c>
      <c r="M104" s="25">
        <f t="shared" si="8"/>
        <v>-0.03467976002</v>
      </c>
      <c r="N104" s="65">
        <f t="shared" si="9"/>
        <v>57199.08</v>
      </c>
      <c r="O104" s="25">
        <f t="shared" si="10"/>
        <v>-0.02516957241</v>
      </c>
      <c r="P104" s="25">
        <f t="shared" si="11"/>
        <v>-0.009510187614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IFERROR(__xludf.DUMMYFUNCTION("""COMPUTED_VALUE"""),46281.64583333333)</f>
        <v>46281.64583</v>
      </c>
      <c r="C105" s="1">
        <f>IFERROR(__xludf.DUMMYFUNCTION("""COMPUTED_VALUE"""),23217.6)</f>
        <v>23217.6</v>
      </c>
      <c r="D105" s="1"/>
      <c r="E105" s="112">
        <f>IFERROR(__xludf.DUMMYFUNCTION("""COMPUTED_VALUE"""),46281.64583333333)</f>
        <v>46281.64583</v>
      </c>
      <c r="F105" s="1">
        <f>IFERROR(__xludf.DUMMYFUNCTION("""COMPUTED_VALUE"""),56292.45)</f>
        <v>56292.45</v>
      </c>
      <c r="G105" s="1"/>
      <c r="H105" s="29">
        <f t="shared" si="3"/>
        <v>0.412446074</v>
      </c>
      <c r="I105" s="1">
        <f t="shared" si="4"/>
        <v>-33074.85</v>
      </c>
      <c r="J105" s="113">
        <f t="shared" si="5"/>
        <v>-0.4003653443</v>
      </c>
      <c r="K105" s="29">
        <f t="shared" si="6"/>
        <v>0.412446074</v>
      </c>
      <c r="L105" s="65">
        <f t="shared" si="7"/>
        <v>23873.4825</v>
      </c>
      <c r="M105" s="25">
        <f t="shared" si="8"/>
        <v>-0.02824936686</v>
      </c>
      <c r="N105" s="65">
        <f t="shared" si="9"/>
        <v>57150.5825</v>
      </c>
      <c r="O105" s="25">
        <f t="shared" si="10"/>
        <v>-0.01524418461</v>
      </c>
      <c r="P105" s="25">
        <f t="shared" si="11"/>
        <v>-0.01300518225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IFERROR(__xludf.DUMMYFUNCTION("""COMPUTED_VALUE"""),46282.64583333333)</f>
        <v>46282.64583</v>
      </c>
      <c r="C106" s="1">
        <f>IFERROR(__xludf.DUMMYFUNCTION("""COMPUTED_VALUE"""),23270.6)</f>
        <v>23270.6</v>
      </c>
      <c r="D106" s="1"/>
      <c r="E106" s="112">
        <f>IFERROR(__xludf.DUMMYFUNCTION("""COMPUTED_VALUE"""),46282.64583333333)</f>
        <v>46282.64583</v>
      </c>
      <c r="F106" s="1">
        <f>IFERROR(__xludf.DUMMYFUNCTION("""COMPUTED_VALUE"""),56055.75)</f>
        <v>56055.75</v>
      </c>
      <c r="G106" s="1"/>
      <c r="H106" s="29">
        <f t="shared" si="3"/>
        <v>0.4151331487</v>
      </c>
      <c r="I106" s="1">
        <f t="shared" si="4"/>
        <v>-32785.15</v>
      </c>
      <c r="J106" s="113">
        <f t="shared" si="5"/>
        <v>-0.164558084</v>
      </c>
      <c r="K106" s="29">
        <f t="shared" si="6"/>
        <v>0.4151331487</v>
      </c>
      <c r="L106" s="65">
        <f t="shared" si="7"/>
        <v>23833.0975</v>
      </c>
      <c r="M106" s="25">
        <f t="shared" si="8"/>
        <v>-0.02417202393</v>
      </c>
      <c r="N106" s="65">
        <f t="shared" si="9"/>
        <v>57091.3825</v>
      </c>
      <c r="O106" s="25">
        <f t="shared" si="10"/>
        <v>-0.01847504493</v>
      </c>
      <c r="P106" s="25">
        <f t="shared" si="11"/>
        <v>-0.005696978994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IFERROR(__xludf.DUMMYFUNCTION("""COMPUTED_VALUE"""),46283.64583333333)</f>
        <v>46283.64583</v>
      </c>
      <c r="C107" s="1">
        <f>IFERROR(__xludf.DUMMYFUNCTION("""COMPUTED_VALUE"""),23346.4)</f>
        <v>23346.4</v>
      </c>
      <c r="D107" s="1"/>
      <c r="E107" s="112">
        <f>IFERROR(__xludf.DUMMYFUNCTION("""COMPUTED_VALUE"""),46283.64583333333)</f>
        <v>46283.64583</v>
      </c>
      <c r="F107" s="1">
        <f>IFERROR(__xludf.DUMMYFUNCTION("""COMPUTED_VALUE"""),56358.7)</f>
        <v>56358.7</v>
      </c>
      <c r="G107" s="1"/>
      <c r="H107" s="29">
        <f t="shared" si="3"/>
        <v>0.4142466026</v>
      </c>
      <c r="I107" s="1">
        <f t="shared" si="4"/>
        <v>-33012.3</v>
      </c>
      <c r="J107" s="113">
        <f t="shared" si="5"/>
        <v>-0.3494514881</v>
      </c>
      <c r="K107" s="29">
        <f t="shared" si="6"/>
        <v>0.4142466026</v>
      </c>
      <c r="L107" s="65">
        <f t="shared" si="7"/>
        <v>23788.825</v>
      </c>
      <c r="M107" s="25">
        <f t="shared" si="8"/>
        <v>-0.01895045917</v>
      </c>
      <c r="N107" s="65">
        <f t="shared" si="9"/>
        <v>57034.5225</v>
      </c>
      <c r="O107" s="25">
        <f t="shared" si="10"/>
        <v>-0.01199144941</v>
      </c>
      <c r="P107" s="25">
        <f t="shared" si="11"/>
        <v>-0.006959009759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IFERROR(__xludf.DUMMYFUNCTION("""COMPUTED_VALUE"""),46286.64583333333)</f>
        <v>46286.64583</v>
      </c>
      <c r="C108" s="1">
        <f>IFERROR(__xludf.DUMMYFUNCTION("""COMPUTED_VALUE"""),23414.3)</f>
        <v>23414.3</v>
      </c>
      <c r="D108" s="1"/>
      <c r="E108" s="112">
        <f>IFERROR(__xludf.DUMMYFUNCTION("""COMPUTED_VALUE"""),46286.64583333333)</f>
        <v>46286.64583</v>
      </c>
      <c r="F108" s="1">
        <f>IFERROR(__xludf.DUMMYFUNCTION("""COMPUTED_VALUE"""),56470.65)</f>
        <v>56470.65</v>
      </c>
      <c r="G108" s="1"/>
      <c r="H108" s="29">
        <f t="shared" si="3"/>
        <v>0.4146277757</v>
      </c>
      <c r="I108" s="1">
        <f t="shared" si="4"/>
        <v>-33056.35</v>
      </c>
      <c r="J108" s="113">
        <f t="shared" si="5"/>
        <v>-0.3853068896</v>
      </c>
      <c r="K108" s="29">
        <f t="shared" si="6"/>
        <v>0.4146277757</v>
      </c>
      <c r="L108" s="65">
        <f t="shared" si="7"/>
        <v>23746.94</v>
      </c>
      <c r="M108" s="25">
        <f t="shared" si="8"/>
        <v>-0.01420670274</v>
      </c>
      <c r="N108" s="65">
        <f t="shared" si="9"/>
        <v>56969.9575</v>
      </c>
      <c r="O108" s="25">
        <f t="shared" si="10"/>
        <v>-0.008841893975</v>
      </c>
      <c r="P108" s="25">
        <f t="shared" si="11"/>
        <v>-0.005364808766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IFERROR(__xludf.DUMMYFUNCTION("""COMPUTED_VALUE"""),46287.64583333333)</f>
        <v>46287.64583</v>
      </c>
      <c r="C109" s="1">
        <f>IFERROR(__xludf.DUMMYFUNCTION("""COMPUTED_VALUE"""),23329.0)</f>
        <v>23329</v>
      </c>
      <c r="D109" s="1"/>
      <c r="E109" s="112">
        <f>IFERROR(__xludf.DUMMYFUNCTION("""COMPUTED_VALUE"""),46287.64583333333)</f>
        <v>46287.64583</v>
      </c>
      <c r="F109" s="1">
        <f>IFERROR(__xludf.DUMMYFUNCTION("""COMPUTED_VALUE"""),56215.55)</f>
        <v>56215.55</v>
      </c>
      <c r="G109" s="1"/>
      <c r="H109" s="29">
        <f t="shared" si="3"/>
        <v>0.4149919373</v>
      </c>
      <c r="I109" s="1">
        <f t="shared" si="4"/>
        <v>-32886.55</v>
      </c>
      <c r="J109" s="113">
        <f t="shared" si="5"/>
        <v>-0.247094695</v>
      </c>
      <c r="K109" s="29">
        <f t="shared" si="6"/>
        <v>0.4149919373</v>
      </c>
      <c r="L109" s="65">
        <f t="shared" si="7"/>
        <v>23702.4375</v>
      </c>
      <c r="M109" s="25">
        <f t="shared" si="8"/>
        <v>-0.0160074371</v>
      </c>
      <c r="N109" s="65">
        <f t="shared" si="9"/>
        <v>56904.4375</v>
      </c>
      <c r="O109" s="25">
        <f t="shared" si="10"/>
        <v>-0.01225439402</v>
      </c>
      <c r="P109" s="25">
        <f t="shared" si="11"/>
        <v>-0.003753043071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IFERROR(__xludf.DUMMYFUNCTION("""COMPUTED_VALUE"""),46288.64583333333)</f>
        <v>46288.64583</v>
      </c>
      <c r="C110" s="1">
        <f>IFERROR(__xludf.DUMMYFUNCTION("""COMPUTED_VALUE"""),23446.8)</f>
        <v>23446.8</v>
      </c>
      <c r="D110" s="1"/>
      <c r="E110" s="112">
        <f>IFERROR(__xludf.DUMMYFUNCTION("""COMPUTED_VALUE"""),46288.64583333333)</f>
        <v>46288.64583</v>
      </c>
      <c r="F110" s="1">
        <f>IFERROR(__xludf.DUMMYFUNCTION("""COMPUTED_VALUE"""),56548.9)</f>
        <v>56548.9</v>
      </c>
      <c r="G110" s="1"/>
      <c r="H110" s="29">
        <f t="shared" si="3"/>
        <v>0.4146287549</v>
      </c>
      <c r="I110" s="1">
        <f t="shared" si="4"/>
        <v>-33102.1</v>
      </c>
      <c r="J110" s="113">
        <f t="shared" si="5"/>
        <v>-0.422546041</v>
      </c>
      <c r="K110" s="29">
        <f t="shared" si="6"/>
        <v>0.4146287549</v>
      </c>
      <c r="L110" s="65">
        <f t="shared" si="7"/>
        <v>23658.05</v>
      </c>
      <c r="M110" s="25">
        <f t="shared" si="8"/>
        <v>-0.009009758261</v>
      </c>
      <c r="N110" s="65">
        <f t="shared" si="9"/>
        <v>56856.1725</v>
      </c>
      <c r="O110" s="25">
        <f t="shared" si="10"/>
        <v>-0.00543374849</v>
      </c>
      <c r="P110" s="25">
        <f t="shared" si="11"/>
        <v>-0.003576009771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IFERROR(__xludf.DUMMYFUNCTION("""COMPUTED_VALUE"""),46289.64583333333)</f>
        <v>46289.64583</v>
      </c>
      <c r="C111" s="1">
        <f>IFERROR(__xludf.DUMMYFUNCTION("""COMPUTED_VALUE"""),23063.1)</f>
        <v>23063.1</v>
      </c>
      <c r="D111" s="1"/>
      <c r="E111" s="112">
        <f>IFERROR(__xludf.DUMMYFUNCTION("""COMPUTED_VALUE"""),46289.64583333333)</f>
        <v>46289.64583</v>
      </c>
      <c r="F111" s="1">
        <f>IFERROR(__xludf.DUMMYFUNCTION("""COMPUTED_VALUE"""),55438.5)</f>
        <v>55438.5</v>
      </c>
      <c r="G111" s="1"/>
      <c r="H111" s="29">
        <f t="shared" si="3"/>
        <v>0.416012338</v>
      </c>
      <c r="I111" s="1">
        <f t="shared" si="4"/>
        <v>-32375.4</v>
      </c>
      <c r="J111" s="113">
        <f t="shared" si="5"/>
        <v>0.1689663374</v>
      </c>
      <c r="K111" s="29">
        <f t="shared" si="6"/>
        <v>0.416012338</v>
      </c>
      <c r="L111" s="65">
        <f t="shared" si="7"/>
        <v>23600.8175</v>
      </c>
      <c r="M111" s="25">
        <f t="shared" si="8"/>
        <v>-0.02331505739</v>
      </c>
      <c r="N111" s="65">
        <f t="shared" si="9"/>
        <v>56738.91</v>
      </c>
      <c r="O111" s="25">
        <f t="shared" si="10"/>
        <v>-0.02345680348</v>
      </c>
      <c r="P111" s="25">
        <f t="shared" si="11"/>
        <v>0.0001417460989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IFERROR(__xludf.DUMMYFUNCTION("""COMPUTED_VALUE"""),46290.64583333333)</f>
        <v>46290.64583</v>
      </c>
      <c r="C112" s="1">
        <f>IFERROR(__xludf.DUMMYFUNCTION("""COMPUTED_VALUE"""),23140.5)</f>
        <v>23140.5</v>
      </c>
      <c r="D112" s="1"/>
      <c r="E112" s="112">
        <f>IFERROR(__xludf.DUMMYFUNCTION("""COMPUTED_VALUE"""),46290.64583333333)</f>
        <v>46290.64583</v>
      </c>
      <c r="F112" s="1">
        <f>IFERROR(__xludf.DUMMYFUNCTION("""COMPUTED_VALUE"""),55580.4)</f>
        <v>55580.4</v>
      </c>
      <c r="G112" s="1"/>
      <c r="H112" s="29">
        <f t="shared" si="3"/>
        <v>0.4163428115</v>
      </c>
      <c r="I112" s="1">
        <f t="shared" si="4"/>
        <v>-32439.9</v>
      </c>
      <c r="J112" s="113">
        <f t="shared" si="5"/>
        <v>0.1164652387</v>
      </c>
      <c r="K112" s="29">
        <f t="shared" si="6"/>
        <v>0.4163428115</v>
      </c>
      <c r="L112" s="65">
        <f t="shared" si="7"/>
        <v>23553.3</v>
      </c>
      <c r="M112" s="25">
        <f t="shared" si="8"/>
        <v>-0.01783885396</v>
      </c>
      <c r="N112" s="65">
        <f t="shared" si="9"/>
        <v>56642.4325</v>
      </c>
      <c r="O112" s="25">
        <f t="shared" si="10"/>
        <v>-0.01910803988</v>
      </c>
      <c r="P112" s="25">
        <f t="shared" si="11"/>
        <v>0.001269185927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IFERROR(__xludf.DUMMYFUNCTION("""COMPUTED_VALUE"""),46293.64583333333)</f>
        <v>46293.64583</v>
      </c>
      <c r="C113" s="1">
        <f>IFERROR(__xludf.DUMMYFUNCTION("""COMPUTED_VALUE"""),22780.25)</f>
        <v>22780.25</v>
      </c>
      <c r="D113" s="1"/>
      <c r="E113" s="112">
        <f>IFERROR(__xludf.DUMMYFUNCTION("""COMPUTED_VALUE"""),46293.64583333333)</f>
        <v>46293.64583</v>
      </c>
      <c r="F113" s="1">
        <f>IFERROR(__xludf.DUMMYFUNCTION("""COMPUTED_VALUE"""),54471.65)</f>
        <v>54471.65</v>
      </c>
      <c r="G113" s="1"/>
      <c r="H113" s="29">
        <f t="shared" si="3"/>
        <v>0.4182037812</v>
      </c>
      <c r="I113" s="1">
        <f t="shared" si="4"/>
        <v>-31691.4</v>
      </c>
      <c r="J113" s="113">
        <f t="shared" si="5"/>
        <v>0.7257221745</v>
      </c>
      <c r="K113" s="29">
        <f t="shared" si="6"/>
        <v>0.4182037812</v>
      </c>
      <c r="L113" s="65">
        <f t="shared" si="7"/>
        <v>23483.53</v>
      </c>
      <c r="M113" s="25">
        <f t="shared" si="8"/>
        <v>-0.03087235654</v>
      </c>
      <c r="N113" s="65">
        <f t="shared" si="9"/>
        <v>56491.2</v>
      </c>
      <c r="O113" s="25">
        <f t="shared" si="10"/>
        <v>-0.03707524924</v>
      </c>
      <c r="P113" s="25">
        <f t="shared" si="11"/>
        <v>0.006202892698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IFERROR(__xludf.DUMMYFUNCTION("""COMPUTED_VALUE"""),46294.64583333333)</f>
        <v>46294.64583</v>
      </c>
      <c r="C114" s="1">
        <f>IFERROR(__xludf.DUMMYFUNCTION("""COMPUTED_VALUE"""),22716.2)</f>
        <v>22716.2</v>
      </c>
      <c r="D114" s="1"/>
      <c r="E114" s="112">
        <f>IFERROR(__xludf.DUMMYFUNCTION("""COMPUTED_VALUE"""),46294.64583333333)</f>
        <v>46294.64583</v>
      </c>
      <c r="F114" s="1">
        <f>IFERROR(__xludf.DUMMYFUNCTION("""COMPUTED_VALUE"""),54259.95)</f>
        <v>54259.95</v>
      </c>
      <c r="G114" s="1"/>
      <c r="H114" s="29">
        <f t="shared" si="3"/>
        <v>0.4186550117</v>
      </c>
      <c r="I114" s="1">
        <f t="shared" si="4"/>
        <v>-31543.75</v>
      </c>
      <c r="J114" s="113">
        <f t="shared" si="5"/>
        <v>0.845904922</v>
      </c>
      <c r="K114" s="29">
        <f t="shared" si="6"/>
        <v>0.4186550117</v>
      </c>
      <c r="L114" s="65">
        <f t="shared" si="7"/>
        <v>23415.32</v>
      </c>
      <c r="M114" s="25">
        <f t="shared" si="8"/>
        <v>-0.0307762742</v>
      </c>
      <c r="N114" s="65">
        <f t="shared" si="9"/>
        <v>56302.95</v>
      </c>
      <c r="O114" s="25">
        <f t="shared" si="10"/>
        <v>-0.0376520804</v>
      </c>
      <c r="P114" s="25">
        <f t="shared" si="11"/>
        <v>0.006875806201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IFERROR(__xludf.DUMMYFUNCTION("""COMPUTED_VALUE"""),46295.64583333333)</f>
        <v>46295.64583</v>
      </c>
      <c r="C115" s="1">
        <f>IFERROR(__xludf.DUMMYFUNCTION("""COMPUTED_VALUE"""),22620.45)</f>
        <v>22620.45</v>
      </c>
      <c r="D115" s="1"/>
      <c r="E115" s="112">
        <f>IFERROR(__xludf.DUMMYFUNCTION("""COMPUTED_VALUE"""),46295.64583333333)</f>
        <v>46295.64583</v>
      </c>
      <c r="F115" s="1">
        <f>IFERROR(__xludf.DUMMYFUNCTION("""COMPUTED_VALUE"""),54633.05)</f>
        <v>54633.05</v>
      </c>
      <c r="G115" s="1"/>
      <c r="H115" s="29">
        <f t="shared" si="3"/>
        <v>0.4140433309</v>
      </c>
      <c r="I115" s="1">
        <f t="shared" si="4"/>
        <v>-32012.6</v>
      </c>
      <c r="J115" s="113">
        <f t="shared" si="5"/>
        <v>0.4642748428</v>
      </c>
      <c r="K115" s="29">
        <f t="shared" si="6"/>
        <v>0.4140433309</v>
      </c>
      <c r="L115" s="65">
        <f t="shared" si="7"/>
        <v>23343.5525</v>
      </c>
      <c r="M115" s="25">
        <f t="shared" si="8"/>
        <v>-0.03196676017</v>
      </c>
      <c r="N115" s="65">
        <f t="shared" si="9"/>
        <v>56164.1225</v>
      </c>
      <c r="O115" s="25">
        <f t="shared" si="10"/>
        <v>-0.02802465724</v>
      </c>
      <c r="P115" s="25">
        <f t="shared" si="11"/>
        <v>-0.00394210293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IFERROR(__xludf.DUMMYFUNCTION("""COMPUTED_VALUE"""),46296.64583333333)</f>
        <v>46296.64583</v>
      </c>
      <c r="C116" s="1">
        <f>IFERROR(__xludf.DUMMYFUNCTION("""COMPUTED_VALUE"""),22421.95)</f>
        <v>22421.95</v>
      </c>
      <c r="D116" s="1"/>
      <c r="E116" s="112">
        <f>IFERROR(__xludf.DUMMYFUNCTION("""COMPUTED_VALUE"""),46296.64583333333)</f>
        <v>46296.64583</v>
      </c>
      <c r="F116" s="1">
        <f>IFERROR(__xludf.DUMMYFUNCTION("""COMPUTED_VALUE"""),54450.75)</f>
        <v>54450.75</v>
      </c>
      <c r="G116" s="1"/>
      <c r="H116" s="29">
        <f t="shared" si="3"/>
        <v>0.4117840434</v>
      </c>
      <c r="I116" s="1">
        <f t="shared" si="4"/>
        <v>-32028.8</v>
      </c>
      <c r="J116" s="113">
        <f t="shared" si="5"/>
        <v>0.4510885203</v>
      </c>
      <c r="K116" s="29">
        <f t="shared" si="6"/>
        <v>0.4117840434</v>
      </c>
      <c r="L116" s="65">
        <f t="shared" si="7"/>
        <v>23268.9275</v>
      </c>
      <c r="M116" s="25">
        <f t="shared" si="8"/>
        <v>-0.03777447992</v>
      </c>
      <c r="N116" s="65">
        <f t="shared" si="9"/>
        <v>56028.06</v>
      </c>
      <c r="O116" s="25">
        <f t="shared" si="10"/>
        <v>-0.02896764507</v>
      </c>
      <c r="P116" s="25">
        <f t="shared" si="11"/>
        <v>-0.008806834844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IFERROR(__xludf.DUMMYFUNCTION("""COMPUTED_VALUE"""),46300.64583333333)</f>
        <v>46300.64583</v>
      </c>
      <c r="C117" s="1">
        <f>IFERROR(__xludf.DUMMYFUNCTION("""COMPUTED_VALUE"""),22555.75)</f>
        <v>22555.75</v>
      </c>
      <c r="D117" s="1"/>
      <c r="E117" s="112">
        <f>IFERROR(__xludf.DUMMYFUNCTION("""COMPUTED_VALUE"""),46300.64583333333)</f>
        <v>46300.64583</v>
      </c>
      <c r="F117" s="1">
        <f>IFERROR(__xludf.DUMMYFUNCTION("""COMPUTED_VALUE"""),54714.1)</f>
        <v>54714.1</v>
      </c>
      <c r="G117" s="1"/>
      <c r="H117" s="29">
        <f t="shared" si="3"/>
        <v>0.4122474828</v>
      </c>
      <c r="I117" s="1">
        <f t="shared" si="4"/>
        <v>-32158.35</v>
      </c>
      <c r="J117" s="113">
        <f t="shared" si="5"/>
        <v>0.3456386392</v>
      </c>
      <c r="K117" s="29">
        <f t="shared" si="6"/>
        <v>0.4122474828</v>
      </c>
      <c r="L117" s="65">
        <f t="shared" si="7"/>
        <v>23203.0425</v>
      </c>
      <c r="M117" s="25">
        <f t="shared" si="8"/>
        <v>-0.02869744965</v>
      </c>
      <c r="N117" s="65">
        <f t="shared" si="9"/>
        <v>55894.735</v>
      </c>
      <c r="O117" s="25">
        <f t="shared" si="10"/>
        <v>-0.02157825862</v>
      </c>
      <c r="P117" s="25">
        <f t="shared" si="11"/>
        <v>-0.007119191032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IFERROR(__xludf.DUMMYFUNCTION("""COMPUTED_VALUE"""),46301.64583333333)</f>
        <v>46301.64583</v>
      </c>
      <c r="C118" s="1">
        <f>IFERROR(__xludf.DUMMYFUNCTION("""COMPUTED_VALUE"""),22776.1)</f>
        <v>22776.1</v>
      </c>
      <c r="D118" s="1"/>
      <c r="E118" s="112">
        <f>IFERROR(__xludf.DUMMYFUNCTION("""COMPUTED_VALUE"""),46301.64583333333)</f>
        <v>46301.64583</v>
      </c>
      <c r="F118" s="1">
        <f>IFERROR(__xludf.DUMMYFUNCTION("""COMPUTED_VALUE"""),55128.4)</f>
        <v>55128.4</v>
      </c>
      <c r="G118" s="1"/>
      <c r="H118" s="29">
        <f t="shared" si="3"/>
        <v>0.4131464</v>
      </c>
      <c r="I118" s="1">
        <f t="shared" si="4"/>
        <v>-32352.3</v>
      </c>
      <c r="J118" s="113">
        <f t="shared" si="5"/>
        <v>0.1877690564</v>
      </c>
      <c r="K118" s="29">
        <f t="shared" si="6"/>
        <v>0.4131464</v>
      </c>
      <c r="L118" s="65">
        <f t="shared" si="7"/>
        <v>23146.9625</v>
      </c>
      <c r="M118" s="25">
        <f t="shared" si="8"/>
        <v>-0.01628296767</v>
      </c>
      <c r="N118" s="65">
        <f t="shared" si="9"/>
        <v>55782.6725</v>
      </c>
      <c r="O118" s="25">
        <f t="shared" si="10"/>
        <v>-0.01186815688</v>
      </c>
      <c r="P118" s="25">
        <f t="shared" si="11"/>
        <v>-0.004414810788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IFERROR(__xludf.DUMMYFUNCTION("""COMPUTED_VALUE"""),46302.64583333333)</f>
        <v>46302.64583</v>
      </c>
      <c r="C119" s="1">
        <f>IFERROR(__xludf.DUMMYFUNCTION("""COMPUTED_VALUE"""),22603.05)</f>
        <v>22603.05</v>
      </c>
      <c r="D119" s="1"/>
      <c r="E119" s="112">
        <f>IFERROR(__xludf.DUMMYFUNCTION("""COMPUTED_VALUE"""),46302.64583333333)</f>
        <v>46302.64583</v>
      </c>
      <c r="F119" s="1">
        <f>IFERROR(__xludf.DUMMYFUNCTION("""COMPUTED_VALUE"""),55055.55)</f>
        <v>55055.55</v>
      </c>
      <c r="G119" s="1"/>
      <c r="H119" s="29">
        <f t="shared" si="3"/>
        <v>0.4105498901</v>
      </c>
      <c r="I119" s="1"/>
      <c r="J119" s="1"/>
      <c r="K119" s="29">
        <f t="shared" si="6"/>
        <v>0.4105498901</v>
      </c>
      <c r="L119" s="65">
        <f t="shared" si="7"/>
        <v>23088.1575</v>
      </c>
      <c r="M119" s="25">
        <f t="shared" si="8"/>
        <v>-0.0214620372</v>
      </c>
      <c r="N119" s="65">
        <f t="shared" si="9"/>
        <v>55681.035</v>
      </c>
      <c r="O119" s="25">
        <f t="shared" si="10"/>
        <v>-0.01136097996</v>
      </c>
      <c r="P119" s="25">
        <f t="shared" si="11"/>
        <v>-0.01010105725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81"/>
      <c r="B120" s="182">
        <f>IFERROR(__xludf.DUMMYFUNCTION("""COMPUTED_VALUE"""),46303.64583333333)</f>
        <v>46303.64583</v>
      </c>
      <c r="C120" s="183">
        <f>IFERROR(__xludf.DUMMYFUNCTION("""COMPUTED_VALUE"""),22231.8)</f>
        <v>22231.8</v>
      </c>
      <c r="D120" s="183"/>
      <c r="E120" s="182">
        <f>IFERROR(__xludf.DUMMYFUNCTION("""COMPUTED_VALUE"""),46303.64583333333)</f>
        <v>46303.64583</v>
      </c>
      <c r="F120" s="183">
        <f>IFERROR(__xludf.DUMMYFUNCTION("""COMPUTED_VALUE"""),54515.05)</f>
        <v>54515.05</v>
      </c>
      <c r="G120" s="183"/>
      <c r="H120" s="29">
        <f t="shared" si="3"/>
        <v>0.4078103203</v>
      </c>
      <c r="I120" s="175"/>
      <c r="J120" s="176"/>
      <c r="K120" s="184"/>
      <c r="L120" s="185"/>
      <c r="M120" s="186"/>
      <c r="N120" s="185"/>
      <c r="O120" s="186"/>
      <c r="P120" s="18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81"/>
      <c r="B121" s="182">
        <f>IFERROR(__xludf.DUMMYFUNCTION("""COMPUTED_VALUE"""),46304.64583333333)</f>
        <v>46304.64583</v>
      </c>
      <c r="C121" s="183">
        <f>IFERROR(__xludf.DUMMYFUNCTION("""COMPUTED_VALUE"""),22520.45)</f>
        <v>22520.45</v>
      </c>
      <c r="D121" s="183"/>
      <c r="E121" s="182">
        <f>IFERROR(__xludf.DUMMYFUNCTION("""COMPUTED_VALUE"""),46304.64583333333)</f>
        <v>46304.64583</v>
      </c>
      <c r="F121" s="183">
        <f>IFERROR(__xludf.DUMMYFUNCTION("""COMPUTED_VALUE"""),55256.65)</f>
        <v>55256.65</v>
      </c>
      <c r="G121" s="183"/>
      <c r="H121" s="29">
        <f t="shared" si="3"/>
        <v>0.4075608999</v>
      </c>
      <c r="I121" s="175"/>
      <c r="J121" s="176"/>
      <c r="K121" s="184"/>
      <c r="L121" s="185"/>
      <c r="M121" s="186"/>
      <c r="N121" s="185"/>
      <c r="O121" s="186"/>
      <c r="P121" s="18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81"/>
      <c r="B122" s="182">
        <f>IFERROR(__xludf.DUMMYFUNCTION("""COMPUTED_VALUE"""),46307.64583333333)</f>
        <v>46307.64583</v>
      </c>
      <c r="C122" s="183">
        <f>IFERROR(__xludf.DUMMYFUNCTION("""COMPUTED_VALUE"""),22363.35)</f>
        <v>22363.35</v>
      </c>
      <c r="D122" s="183"/>
      <c r="E122" s="182">
        <f>IFERROR(__xludf.DUMMYFUNCTION("""COMPUTED_VALUE"""),46307.64583333333)</f>
        <v>46307.64583</v>
      </c>
      <c r="F122" s="183">
        <f>IFERROR(__xludf.DUMMYFUNCTION("""COMPUTED_VALUE"""),54918.0)</f>
        <v>54918</v>
      </c>
      <c r="G122" s="183"/>
      <c r="H122" s="29">
        <f t="shared" si="3"/>
        <v>0.4072134819</v>
      </c>
      <c r="I122" s="175"/>
      <c r="J122" s="176"/>
      <c r="K122" s="184"/>
      <c r="L122" s="185"/>
      <c r="M122" s="186"/>
      <c r="N122" s="185"/>
      <c r="O122" s="186"/>
      <c r="P122" s="18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81"/>
      <c r="B123" s="182">
        <f>IFERROR(__xludf.DUMMYFUNCTION("""COMPUTED_VALUE"""),46308.64583333333)</f>
        <v>46308.64583</v>
      </c>
      <c r="C123" s="183">
        <f>IFERROR(__xludf.DUMMYFUNCTION("""COMPUTED_VALUE"""),22721.95)</f>
        <v>22721.95</v>
      </c>
      <c r="D123" s="183"/>
      <c r="E123" s="182">
        <f>IFERROR(__xludf.DUMMYFUNCTION("""COMPUTED_VALUE"""),46308.64583333333)</f>
        <v>46308.64583</v>
      </c>
      <c r="F123" s="183">
        <f>IFERROR(__xludf.DUMMYFUNCTION("""COMPUTED_VALUE"""),55481.05)</f>
        <v>55481.05</v>
      </c>
      <c r="G123" s="183"/>
      <c r="H123" s="29">
        <f t="shared" si="3"/>
        <v>0.4095443399</v>
      </c>
      <c r="I123" s="175"/>
      <c r="J123" s="176"/>
      <c r="K123" s="184"/>
      <c r="L123" s="185"/>
      <c r="M123" s="186"/>
      <c r="N123" s="185"/>
      <c r="O123" s="186"/>
      <c r="P123" s="18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81"/>
      <c r="B124" s="182">
        <f>IFERROR(__xludf.DUMMYFUNCTION("""COMPUTED_VALUE"""),46309.64583333333)</f>
        <v>46309.64583</v>
      </c>
      <c r="C124" s="183">
        <f>IFERROR(__xludf.DUMMYFUNCTION("""COMPUTED_VALUE"""),22622.7)</f>
        <v>22622.7</v>
      </c>
      <c r="D124" s="183"/>
      <c r="E124" s="182">
        <f>IFERROR(__xludf.DUMMYFUNCTION("""COMPUTED_VALUE"""),46309.64583333333)</f>
        <v>46309.64583</v>
      </c>
      <c r="F124" s="183">
        <f>IFERROR(__xludf.DUMMYFUNCTION("""COMPUTED_VALUE"""),55316.0)</f>
        <v>55316</v>
      </c>
      <c r="G124" s="183"/>
      <c r="H124" s="29"/>
      <c r="I124" s="175"/>
      <c r="J124" s="176"/>
      <c r="K124" s="184"/>
      <c r="L124" s="185"/>
      <c r="M124" s="186"/>
      <c r="N124" s="185"/>
      <c r="O124" s="186"/>
      <c r="P124" s="18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81"/>
      <c r="B125" s="182">
        <f>IFERROR(__xludf.DUMMYFUNCTION("""COMPUTED_VALUE"""),46310.64583333333)</f>
        <v>46310.64583</v>
      </c>
      <c r="C125" s="183">
        <f>IFERROR(__xludf.DUMMYFUNCTION("""COMPUTED_VALUE"""),22997.35)</f>
        <v>22997.35</v>
      </c>
      <c r="D125" s="183"/>
      <c r="E125" s="182">
        <f>IFERROR(__xludf.DUMMYFUNCTION("""COMPUTED_VALUE"""),46310.64583333333)</f>
        <v>46310.64583</v>
      </c>
      <c r="F125" s="183">
        <f>IFERROR(__xludf.DUMMYFUNCTION("""COMPUTED_VALUE"""),55810.5)</f>
        <v>55810.5</v>
      </c>
      <c r="G125" s="183"/>
      <c r="H125" s="179"/>
      <c r="I125" s="175"/>
      <c r="J125" s="176"/>
      <c r="K125" s="184"/>
      <c r="L125" s="185"/>
      <c r="M125" s="186"/>
      <c r="N125" s="185"/>
      <c r="O125" s="186"/>
      <c r="P125" s="18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81"/>
      <c r="B126" s="182">
        <f>IFERROR(__xludf.DUMMYFUNCTION("""COMPUTED_VALUE"""),46311.64583333333)</f>
        <v>46311.64583</v>
      </c>
      <c r="C126" s="183">
        <f>IFERROR(__xludf.DUMMYFUNCTION("""COMPUTED_VALUE"""),23146.15)</f>
        <v>23146.15</v>
      </c>
      <c r="D126" s="183"/>
      <c r="E126" s="182">
        <f>IFERROR(__xludf.DUMMYFUNCTION("""COMPUTED_VALUE"""),46311.64583333333)</f>
        <v>46311.64583</v>
      </c>
      <c r="F126" s="183">
        <f>IFERROR(__xludf.DUMMYFUNCTION("""COMPUTED_VALUE"""),55844.0)</f>
        <v>55844</v>
      </c>
      <c r="G126" s="183"/>
      <c r="H126" s="179"/>
      <c r="I126" s="175"/>
      <c r="J126" s="176"/>
      <c r="K126" s="184"/>
      <c r="L126" s="185"/>
      <c r="M126" s="186"/>
      <c r="N126" s="185"/>
      <c r="O126" s="186"/>
      <c r="P126" s="18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81"/>
      <c r="B127" s="183"/>
      <c r="C127" s="183"/>
      <c r="D127" s="183"/>
      <c r="E127" s="183"/>
      <c r="F127" s="183"/>
      <c r="G127" s="183"/>
      <c r="H127" s="179"/>
      <c r="I127" s="175"/>
      <c r="J127" s="176"/>
      <c r="K127" s="184"/>
      <c r="L127" s="185"/>
      <c r="M127" s="186"/>
      <c r="N127" s="185"/>
      <c r="O127" s="186"/>
      <c r="P127" s="18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81" t="s">
        <v>9</v>
      </c>
      <c r="B128" s="182">
        <f>IFERROR(__xludf.DUMMYFUNCTION("GOOGLEFINANCE(B9,""TRADETIME"")"),46311.6466087963)</f>
        <v>46311.64661</v>
      </c>
      <c r="C128" s="183">
        <f>IFERROR(__xludf.DUMMYFUNCTION("GOOGLEFINANCE(B9,""PRICE"")"),23146.15)</f>
        <v>23146.15</v>
      </c>
      <c r="D128" s="183"/>
      <c r="E128" s="182">
        <f>IFERROR(__xludf.DUMMYFUNCTION("GOOGLEFINANCE(E9,""TRADETIME"")"),46311.6466087963)</f>
        <v>46311.64661</v>
      </c>
      <c r="F128" s="183">
        <f>IFERROR(__xludf.DUMMYFUNCTION("GOOGLEFINANCE(E9,""PRICE"")"),55844.0)</f>
        <v>55844</v>
      </c>
      <c r="G128" s="183"/>
      <c r="H128" s="179">
        <f>C128/F128</f>
        <v>0.4144787265</v>
      </c>
      <c r="I128" s="175">
        <f>C128-F128</f>
        <v>-32697.85</v>
      </c>
      <c r="J128" s="176">
        <f>((I128-$I$129)/$I$130)</f>
        <v>-0.09349845747</v>
      </c>
      <c r="K128" s="184">
        <f>C128/F128</f>
        <v>0.4144787265</v>
      </c>
      <c r="L128" s="185">
        <f>AVERAGE(C73:C109)</f>
        <v>24030.53784</v>
      </c>
      <c r="M128" s="186">
        <f>(C128-L128)/C128</f>
        <v>-0.03820885278</v>
      </c>
      <c r="N128" s="185">
        <f>AVERAGE(F73:F109)</f>
        <v>57242.91757</v>
      </c>
      <c r="O128" s="186">
        <f>(F128-N128)/F128</f>
        <v>-0.02505045426</v>
      </c>
      <c r="P128" s="186">
        <f>M128-O128</f>
        <v>-0.01315839853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7"/>
      <c r="D129" s="1"/>
      <c r="E129" s="1"/>
      <c r="F129" s="7"/>
      <c r="G129" s="1"/>
      <c r="H129" s="96" t="s">
        <v>138</v>
      </c>
      <c r="I129" s="177">
        <f>AVERAGE(I11:I118)</f>
        <v>-32582.98287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96" t="s">
        <v>139</v>
      </c>
      <c r="I130" s="189">
        <f>_xlfn.STDEV.P(I11:I117)</f>
        <v>1228.545719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93"/>
      <c r="D131" s="193"/>
      <c r="E131" s="193"/>
      <c r="F131" s="194"/>
      <c r="G131" s="19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10"/>
      <c r="D132" s="193"/>
      <c r="E132" s="193"/>
      <c r="F132" s="110"/>
      <c r="G132" s="19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10"/>
      <c r="D133" s="193"/>
      <c r="E133" s="193"/>
      <c r="F133" s="110"/>
      <c r="G133" s="19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93"/>
      <c r="D134" s="193"/>
      <c r="E134" s="193"/>
      <c r="F134" s="193"/>
      <c r="G134" s="19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3">
        <f>C38</f>
        <v>23161.6</v>
      </c>
      <c r="D136" s="1"/>
      <c r="E136" s="1"/>
      <c r="F136" s="13">
        <f>F38</f>
        <v>55176.75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7"/>
      <c r="G137" s="1" t="str">
        <f>C137/F137</f>
        <v>#DIV/0!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7"/>
      <c r="D138" s="1"/>
      <c r="E138" s="1"/>
      <c r="F138" s="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7">
        <v>24050.0</v>
      </c>
      <c r="D139" s="1"/>
      <c r="E139" s="1"/>
      <c r="F139" s="7">
        <v>55091.0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>
        <f>C136-C139</f>
        <v>-888.4</v>
      </c>
      <c r="D141" s="1">
        <f>C141*C143*C144</f>
        <v>-173238</v>
      </c>
      <c r="E141" s="1"/>
      <c r="F141" s="1">
        <f>F139-F136</f>
        <v>-85.75</v>
      </c>
      <c r="G141" s="1">
        <f>F141*F143*F144</f>
        <v>-8575</v>
      </c>
      <c r="H141" s="7">
        <f>D141+G141</f>
        <v>-181813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7" t="s">
        <v>143</v>
      </c>
      <c r="C143" s="7">
        <v>65.0</v>
      </c>
      <c r="D143" s="1"/>
      <c r="E143" s="1"/>
      <c r="F143" s="7">
        <v>20.0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7" t="s">
        <v>144</v>
      </c>
      <c r="C144" s="7">
        <v>3.0</v>
      </c>
      <c r="D144" s="1"/>
      <c r="E144" s="1"/>
      <c r="F144" s="7">
        <v>5.0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>
        <f>C141*C143*C144</f>
        <v>-173238</v>
      </c>
      <c r="D145" s="1"/>
      <c r="E145" s="1"/>
      <c r="F145" s="1">
        <f>F141*F143*F144</f>
        <v>-8575</v>
      </c>
      <c r="G145" s="1">
        <f>C145+F145</f>
        <v>-181813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7" t="s">
        <v>145</v>
      </c>
      <c r="C147" s="1">
        <f>C136*C143*C144</f>
        <v>4516512</v>
      </c>
      <c r="D147" s="7" t="s">
        <v>147</v>
      </c>
      <c r="E147" s="1"/>
      <c r="F147" s="1">
        <f>F136*F143*F144</f>
        <v>5517675</v>
      </c>
      <c r="G147" s="1">
        <f>C147/F147</f>
        <v>0.8185534668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3" max="4" width="7.0"/>
    <col customWidth="1" min="5" max="5" width="20.63"/>
    <col customWidth="1" min="6" max="6" width="7.0"/>
    <col customWidth="1" min="7" max="7" width="17.5"/>
    <col customWidth="1" min="8" max="8" width="13.38"/>
    <col customWidth="1" min="9" max="11" width="19.38"/>
    <col customWidth="1" min="12" max="12" width="20.5"/>
    <col customWidth="1" min="13" max="13" width="15.38"/>
    <col customWidth="1" min="14" max="14" width="21.63"/>
    <col customWidth="1" min="15" max="15" width="16.0"/>
    <col customWidth="1" min="17" max="17" width="20.88"/>
    <col customWidth="1" min="18" max="18" width="6.13"/>
    <col customWidth="1" min="19" max="19" width="16.0"/>
  </cols>
  <sheetData>
    <row r="1">
      <c r="A1" s="1"/>
      <c r="B1" s="2" t="s">
        <v>0</v>
      </c>
      <c r="C1" s="4">
        <f>AVERAGE(C98:C118)</f>
        <v>1351.709524</v>
      </c>
      <c r="D1" s="1"/>
      <c r="E1" s="2" t="s">
        <v>0</v>
      </c>
      <c r="F1" s="4">
        <f>AVERAGE(F98:F118)</f>
        <v>717.3595238</v>
      </c>
      <c r="G1" s="1">
        <f>STDEV(F74:F93)</f>
        <v>8.516147202</v>
      </c>
      <c r="L1" s="1"/>
      <c r="M1" s="1"/>
      <c r="N1" s="1"/>
      <c r="O1" s="7" t="s">
        <v>1</v>
      </c>
      <c r="P1" s="7" t="s">
        <v>2</v>
      </c>
      <c r="Q1" s="7" t="s">
        <v>3</v>
      </c>
      <c r="R1" s="9"/>
      <c r="S1" s="7" t="s">
        <v>5</v>
      </c>
      <c r="T1" s="7" t="s">
        <v>7</v>
      </c>
      <c r="U1" s="7" t="s">
        <v>10</v>
      </c>
      <c r="V1" s="7" t="s">
        <v>11</v>
      </c>
      <c r="W1" s="13" t="s">
        <v>12</v>
      </c>
      <c r="X1" s="14" t="s">
        <v>14</v>
      </c>
      <c r="Y1" s="1"/>
      <c r="Z1" s="1"/>
      <c r="AA1" s="1"/>
      <c r="AB1" s="1"/>
    </row>
    <row r="2">
      <c r="A2" s="1"/>
      <c r="B2" s="17" t="s">
        <v>20</v>
      </c>
      <c r="C2" s="19">
        <f>AVERAGE(C88:C118)</f>
        <v>1377.029032</v>
      </c>
      <c r="D2" s="1"/>
      <c r="E2" s="17" t="s">
        <v>20</v>
      </c>
      <c r="F2" s="19">
        <f>AVERAGE(F88:F118)</f>
        <v>717.2532258</v>
      </c>
      <c r="G2" s="1"/>
      <c r="L2" s="7" t="s">
        <v>23</v>
      </c>
      <c r="M2" s="25">
        <f>CORREL(C88:C118,F88:F118)</f>
        <v>-0.3146345394</v>
      </c>
      <c r="N2" s="7" t="s">
        <v>25</v>
      </c>
      <c r="O2" s="29">
        <f>AVERAGE(H88:H116)</f>
        <v>1.923078302</v>
      </c>
      <c r="P2" s="29">
        <f>MAX(H88:H116)</f>
        <v>2.05077574</v>
      </c>
      <c r="Q2" s="29">
        <f>MIN(H88:H116)</f>
        <v>1.788017158</v>
      </c>
      <c r="R2" s="40">
        <f t="shared" ref="R2:R5" si="1">P2-Q2</f>
        <v>0.2627585826</v>
      </c>
      <c r="S2" s="1">
        <f>MATCH(MAX(H11:H116), H11:H116, 0)</f>
        <v>84</v>
      </c>
      <c r="T2" s="1">
        <f t="array" ref="T2">INDEX(C11:C116, MATCH(MAX(H11:H116), H11:H116, 0))</f>
        <v>1454</v>
      </c>
      <c r="U2" s="1">
        <f t="array" ref="U2">INDEX(F11:F116, MATCH(MAX(H11:H116), H11:H116, 0))</f>
        <v>709</v>
      </c>
      <c r="V2" s="54">
        <f t="shared" ref="V2:V3" si="2">T2/U2</f>
        <v>2.05077574</v>
      </c>
      <c r="W2" s="7" t="s">
        <v>2</v>
      </c>
      <c r="X2" s="14">
        <v>2711.0</v>
      </c>
      <c r="Y2" s="1"/>
      <c r="Z2" s="1"/>
      <c r="AA2" s="1"/>
      <c r="AB2" s="1"/>
    </row>
    <row r="3">
      <c r="A3" s="1">
        <f>STDEV(C75:C93)</f>
        <v>15.83446718</v>
      </c>
      <c r="B3" s="58" t="s">
        <v>61</v>
      </c>
      <c r="C3" s="61">
        <f>max(C98:C118)</f>
        <v>1427.5</v>
      </c>
      <c r="D3" s="65">
        <f>C1+A3*2</f>
        <v>1383.378458</v>
      </c>
      <c r="E3" s="58" t="s">
        <v>61</v>
      </c>
      <c r="F3" s="61">
        <f>max(F98:F118)</f>
        <v>739.5</v>
      </c>
      <c r="G3" s="65">
        <f>F1+G1*2</f>
        <v>734.3918182</v>
      </c>
      <c r="L3" s="7" t="s">
        <v>64</v>
      </c>
      <c r="M3" s="25">
        <f>CORREL(C58:C118,F58:F118)</f>
        <v>0.2589301818</v>
      </c>
      <c r="N3" s="7" t="s">
        <v>67</v>
      </c>
      <c r="O3" s="29">
        <f>AVERAGE((H58:H116))</f>
        <v>1.911026548</v>
      </c>
      <c r="P3" s="29">
        <f>MAX(H58:H116)</f>
        <v>2.05077574</v>
      </c>
      <c r="Q3" s="29">
        <f>MIN(H58:H116)</f>
        <v>1.698527183</v>
      </c>
      <c r="R3" s="40">
        <f t="shared" si="1"/>
        <v>0.352248557</v>
      </c>
      <c r="S3" s="1">
        <f>MATCH(Min(H11:H116), H11:H116, 0)</f>
        <v>3</v>
      </c>
      <c r="T3" s="1">
        <f t="array" ref="T3">INDEX(C11:C116, MATCH(Min(H11:H116), H11:H116, 0))</f>
        <v>1279.5</v>
      </c>
      <c r="U3" s="1">
        <f t="array" ref="U3">INDEX(F11:F116, MATCH(MIN(H11:H116), H11:H116, 0))</f>
        <v>796.55</v>
      </c>
      <c r="V3" s="54">
        <f t="shared" si="2"/>
        <v>1.606302178</v>
      </c>
      <c r="W3" s="7" t="s">
        <v>3</v>
      </c>
      <c r="X3" s="9"/>
      <c r="Y3" s="1"/>
      <c r="Z3" s="1"/>
      <c r="AA3" s="1"/>
      <c r="AB3" s="1"/>
    </row>
    <row r="4">
      <c r="A4" s="1"/>
      <c r="B4" s="58" t="s">
        <v>73</v>
      </c>
      <c r="C4" s="61">
        <f>MIN(C98:C118)</f>
        <v>1292.2</v>
      </c>
      <c r="D4" s="65">
        <f>C1-A3*2</f>
        <v>1320.040589</v>
      </c>
      <c r="E4" s="58" t="s">
        <v>73</v>
      </c>
      <c r="F4" s="61">
        <f>MIN(F98:F118)</f>
        <v>687.1</v>
      </c>
      <c r="G4" s="65">
        <f>F1-G1*2</f>
        <v>700.3272294</v>
      </c>
      <c r="L4" s="7" t="s">
        <v>77</v>
      </c>
      <c r="M4" s="25">
        <f>CORREL(C28:C118,F28:F118)</f>
        <v>0.02126703425</v>
      </c>
      <c r="N4" s="7" t="s">
        <v>79</v>
      </c>
      <c r="O4" s="29">
        <f>AVERAGE(H28:H116)</f>
        <v>1.843184994</v>
      </c>
      <c r="P4" s="29">
        <f>MAX(H28:H116)</f>
        <v>2.05077574</v>
      </c>
      <c r="Q4" s="29">
        <f>MIN(H28:H116)</f>
        <v>1.639291681</v>
      </c>
      <c r="R4" s="40">
        <f t="shared" si="1"/>
        <v>0.4114840599</v>
      </c>
      <c r="S4" s="1"/>
      <c r="T4" s="1"/>
      <c r="U4" s="1"/>
      <c r="V4" s="54"/>
      <c r="W4" s="1"/>
      <c r="X4" s="9"/>
      <c r="Y4" s="1"/>
      <c r="Z4" s="1"/>
      <c r="AA4" s="1"/>
      <c r="AB4" s="1"/>
    </row>
    <row r="5">
      <c r="A5" s="1"/>
      <c r="B5" s="58" t="s">
        <v>81</v>
      </c>
      <c r="C5" s="61">
        <f>max(C108:C118)</f>
        <v>1345</v>
      </c>
      <c r="D5" s="65">
        <f>C1+A3</f>
        <v>1367.543991</v>
      </c>
      <c r="E5" s="58" t="s">
        <v>81</v>
      </c>
      <c r="F5" s="61">
        <f>max(F108:F118)</f>
        <v>739.5</v>
      </c>
      <c r="G5" s="65">
        <f>F1+G1</f>
        <v>725.875671</v>
      </c>
      <c r="H5" s="1"/>
      <c r="I5" s="1"/>
      <c r="J5" s="1"/>
      <c r="K5" s="1"/>
      <c r="L5" s="7" t="s">
        <v>82</v>
      </c>
      <c r="M5" s="25">
        <f>CORREL(C11:C118,F11:F118)</f>
        <v>-0.1122244226</v>
      </c>
      <c r="N5" s="7" t="s">
        <v>83</v>
      </c>
      <c r="O5" s="29">
        <f>AVERAGE(H11:H116)</f>
        <v>1.80925433</v>
      </c>
      <c r="P5" s="29">
        <f>MAX(H11:H116)</f>
        <v>2.05077574</v>
      </c>
      <c r="Q5" s="29">
        <f>MIN(H11:H116)</f>
        <v>1.606302178</v>
      </c>
      <c r="R5" s="40">
        <f t="shared" si="1"/>
        <v>0.4444735623</v>
      </c>
      <c r="S5" s="96" t="s">
        <v>7</v>
      </c>
      <c r="T5" s="96">
        <v>1.0</v>
      </c>
      <c r="U5" s="99">
        <f>T2*T7*T5</f>
        <v>1017800</v>
      </c>
      <c r="V5" s="101">
        <f>U2*T6*T8</f>
        <v>389950</v>
      </c>
      <c r="W5" s="99"/>
      <c r="X5" s="9"/>
      <c r="Y5" s="1"/>
      <c r="Z5" s="1"/>
      <c r="AA5" s="1"/>
      <c r="AB5" s="1"/>
    </row>
    <row r="6">
      <c r="A6" s="1"/>
      <c r="B6" s="58" t="s">
        <v>87</v>
      </c>
      <c r="C6" s="61">
        <f>MIN(C108:C118)</f>
        <v>1292.2</v>
      </c>
      <c r="D6" s="65">
        <f>C1-A3</f>
        <v>1335.875057</v>
      </c>
      <c r="E6" s="58" t="s">
        <v>87</v>
      </c>
      <c r="F6" s="61">
        <f>MIN(F108:F118)</f>
        <v>704.8</v>
      </c>
      <c r="G6" s="65">
        <f>F1-G1</f>
        <v>708.8433766</v>
      </c>
      <c r="H6" s="1"/>
      <c r="I6" s="1"/>
      <c r="J6" s="1"/>
      <c r="K6" s="1"/>
      <c r="L6" s="1"/>
      <c r="M6" s="1"/>
      <c r="N6" s="1"/>
      <c r="O6" s="1"/>
      <c r="P6" s="1"/>
      <c r="Q6" s="1"/>
      <c r="R6" s="9"/>
      <c r="S6" s="96" t="s">
        <v>10</v>
      </c>
      <c r="T6" s="96">
        <v>1.0</v>
      </c>
      <c r="U6" s="99">
        <f>T3*T5*T7</f>
        <v>895650</v>
      </c>
      <c r="V6" s="99">
        <f>U3*T6*T8</f>
        <v>438102.5</v>
      </c>
      <c r="W6" s="99"/>
      <c r="X6" s="9"/>
      <c r="Y6" s="1"/>
      <c r="Z6" s="1"/>
      <c r="AA6" s="1"/>
      <c r="AB6" s="1"/>
    </row>
    <row r="7">
      <c r="A7" s="1"/>
      <c r="B7" s="7" t="s">
        <v>88</v>
      </c>
      <c r="C7" s="1">
        <f>max(C88:C118)</f>
        <v>1454</v>
      </c>
      <c r="D7" s="1"/>
      <c r="E7" s="7" t="s">
        <v>88</v>
      </c>
      <c r="F7" s="1">
        <f>max(F88:F118)</f>
        <v>739.5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9"/>
      <c r="S7" s="7" t="s">
        <v>7</v>
      </c>
      <c r="T7" s="7">
        <v>700.0</v>
      </c>
      <c r="U7" s="1"/>
      <c r="V7" s="1"/>
      <c r="W7" s="1"/>
      <c r="X7" s="9"/>
      <c r="Y7" s="1"/>
      <c r="Z7" s="1"/>
      <c r="AA7" s="1"/>
      <c r="AB7" s="1"/>
    </row>
    <row r="8">
      <c r="A8" s="1"/>
      <c r="B8" s="58" t="s">
        <v>90</v>
      </c>
      <c r="C8" s="107">
        <f>AVERAGE(C98:C118)</f>
        <v>1351.709524</v>
      </c>
      <c r="D8" s="1"/>
      <c r="E8" s="58" t="s">
        <v>90</v>
      </c>
      <c r="F8" s="107">
        <f>AVERAGE(F98:F118)</f>
        <v>717.3595238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9"/>
      <c r="S8" s="7" t="s">
        <v>10</v>
      </c>
      <c r="T8" s="7">
        <v>550.0</v>
      </c>
      <c r="U8" s="1"/>
      <c r="V8" s="1"/>
      <c r="W8" s="1"/>
      <c r="X8" s="9"/>
      <c r="Y8" s="1"/>
      <c r="Z8" s="1"/>
      <c r="AA8" s="1"/>
      <c r="AB8" s="1"/>
    </row>
    <row r="9">
      <c r="A9" s="1"/>
      <c r="B9" s="13" t="s">
        <v>65</v>
      </c>
      <c r="C9" s="1"/>
      <c r="D9" s="1"/>
      <c r="E9" s="13" t="s">
        <v>68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9"/>
      <c r="S9" s="1"/>
      <c r="T9" s="1"/>
      <c r="U9" s="1"/>
      <c r="V9" s="1"/>
      <c r="W9" s="1"/>
      <c r="X9" s="9"/>
      <c r="Y9" s="1"/>
      <c r="Z9" s="1"/>
      <c r="AA9" s="1"/>
      <c r="AB9" s="1"/>
    </row>
    <row r="10">
      <c r="A10" s="1"/>
      <c r="B10" s="1" t="str">
        <f>IFERROR(__xludf.DUMMYFUNCTION("GOOGLEFINANCE(B9,""price"",TODAY()-166,TODAY())"),"Date")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IFERROR(__xludf.DUMMYFUNCTION("GOOGLEFINANCE(E9,""price"",TODAY()-166,TODAY())"),"Date")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95</v>
      </c>
      <c r="L10" s="7" t="s">
        <v>96</v>
      </c>
      <c r="M10" s="7" t="s">
        <v>97</v>
      </c>
      <c r="N10" s="7" t="s">
        <v>98</v>
      </c>
      <c r="O10" s="7" t="s">
        <v>99</v>
      </c>
      <c r="P10" s="1"/>
      <c r="Q10" s="1"/>
      <c r="R10" s="9"/>
      <c r="S10" s="1"/>
      <c r="T10" s="1"/>
      <c r="U10" s="1"/>
      <c r="V10" s="1"/>
      <c r="W10" s="1"/>
      <c r="X10" s="110" t="s">
        <v>1</v>
      </c>
      <c r="Y10" s="111" t="s">
        <v>7</v>
      </c>
      <c r="Z10" s="111" t="s">
        <v>10</v>
      </c>
      <c r="AA10" s="1"/>
      <c r="AB10" s="1"/>
    </row>
    <row r="11">
      <c r="A11" s="1"/>
      <c r="B11" s="112">
        <f>IFERROR(__xludf.DUMMYFUNCTION("""COMPUTED_VALUE"""),46146.64583333333)</f>
        <v>46146.64583</v>
      </c>
      <c r="C11" s="1">
        <f>IFERROR(__xludf.DUMMYFUNCTION("""COMPUTED_VALUE"""),1270.8)</f>
        <v>1270.8</v>
      </c>
      <c r="D11" s="1"/>
      <c r="E11" s="112">
        <f>IFERROR(__xludf.DUMMYFUNCTION("""COMPUTED_VALUE"""),46146.64583333333)</f>
        <v>46146.64583</v>
      </c>
      <c r="F11" s="1">
        <f>IFERROR(__xludf.DUMMYFUNCTION("""COMPUTED_VALUE"""),779.4)</f>
        <v>779.4</v>
      </c>
      <c r="G11" s="1"/>
      <c r="H11" s="29">
        <f t="shared" ref="H11:H121" si="3">C11/F11</f>
        <v>1.630484988</v>
      </c>
      <c r="I11" s="1">
        <f t="shared" ref="I11:I117" si="4">C11-F11</f>
        <v>491.4</v>
      </c>
      <c r="J11" s="113">
        <f t="shared" ref="J11:J117" si="5">((I11-$I$129)/$I$130)</f>
        <v>-1.394315665</v>
      </c>
      <c r="K11" s="1"/>
      <c r="L11" s="1"/>
      <c r="M11" s="1"/>
      <c r="N11" s="1"/>
      <c r="O11" s="1"/>
      <c r="P11" s="1"/>
      <c r="Q11" s="1"/>
      <c r="R11" s="9"/>
      <c r="S11" s="1"/>
      <c r="T11" s="1"/>
      <c r="U11" s="1">
        <f>U5-U6</f>
        <v>122150</v>
      </c>
      <c r="V11" s="54">
        <f>V6-V5</f>
        <v>48152.5</v>
      </c>
      <c r="W11" s="101">
        <f>U11+V11</f>
        <v>170302.5</v>
      </c>
      <c r="X11" s="110" t="s">
        <v>101</v>
      </c>
      <c r="Y11" s="115">
        <f>AVERAGE(C88,C118)</f>
        <v>1381.4</v>
      </c>
      <c r="Z11" s="115">
        <f>AVERAGE(F88,F118)</f>
        <v>719.2</v>
      </c>
      <c r="AA11" s="1"/>
      <c r="AB11" s="1"/>
    </row>
    <row r="12">
      <c r="A12" s="1"/>
      <c r="B12" s="112">
        <f>IFERROR(__xludf.DUMMYFUNCTION("""COMPUTED_VALUE"""),46147.64583333333)</f>
        <v>46147.64583</v>
      </c>
      <c r="C12" s="1">
        <f>IFERROR(__xludf.DUMMYFUNCTION("""COMPUTED_VALUE"""),1251.3)</f>
        <v>1251.3</v>
      </c>
      <c r="D12" s="1"/>
      <c r="E12" s="112">
        <f>IFERROR(__xludf.DUMMYFUNCTION("""COMPUTED_VALUE"""),46147.64583333333)</f>
        <v>46147.64583</v>
      </c>
      <c r="F12" s="1">
        <f>IFERROR(__xludf.DUMMYFUNCTION("""COMPUTED_VALUE"""),772.3)</f>
        <v>772.3</v>
      </c>
      <c r="G12" s="1"/>
      <c r="H12" s="29">
        <f t="shared" si="3"/>
        <v>1.620225301</v>
      </c>
      <c r="I12" s="1">
        <f t="shared" si="4"/>
        <v>479</v>
      </c>
      <c r="J12" s="113">
        <f t="shared" si="5"/>
        <v>-1.543817295</v>
      </c>
      <c r="K12" s="1"/>
      <c r="L12" s="1"/>
      <c r="M12" s="1"/>
      <c r="N12" s="1"/>
      <c r="O12" s="1"/>
      <c r="P12" s="1"/>
      <c r="Q12" s="1"/>
      <c r="R12" s="9"/>
      <c r="S12" s="7" t="s">
        <v>103</v>
      </c>
      <c r="T12" s="116">
        <f>R2/2</f>
        <v>0.1313792913</v>
      </c>
      <c r="U12" s="1"/>
      <c r="V12" s="1"/>
      <c r="W12" s="1"/>
      <c r="X12" s="110" t="s">
        <v>104</v>
      </c>
      <c r="Y12" s="115">
        <f>AVERAGE(C58,C118)</f>
        <v>1372</v>
      </c>
      <c r="Z12" s="115">
        <f>AVERAGE(F58,F118)</f>
        <v>768.2</v>
      </c>
      <c r="AA12" s="1"/>
      <c r="AB12" s="1"/>
    </row>
    <row r="13">
      <c r="A13" s="1"/>
      <c r="B13" s="112">
        <f>IFERROR(__xludf.DUMMYFUNCTION("""COMPUTED_VALUE"""),46148.64583333333)</f>
        <v>46148.64583</v>
      </c>
      <c r="C13" s="1">
        <f>IFERROR(__xludf.DUMMYFUNCTION("""COMPUTED_VALUE"""),1279.5)</f>
        <v>1279.5</v>
      </c>
      <c r="D13" s="1"/>
      <c r="E13" s="112">
        <f>IFERROR(__xludf.DUMMYFUNCTION("""COMPUTED_VALUE"""),46148.64583333333)</f>
        <v>46148.64583</v>
      </c>
      <c r="F13" s="1">
        <f>IFERROR(__xludf.DUMMYFUNCTION("""COMPUTED_VALUE"""),796.55)</f>
        <v>796.55</v>
      </c>
      <c r="G13" s="1"/>
      <c r="H13" s="29">
        <f t="shared" si="3"/>
        <v>1.606302178</v>
      </c>
      <c r="I13" s="1">
        <f t="shared" si="4"/>
        <v>482.95</v>
      </c>
      <c r="J13" s="113">
        <f t="shared" si="5"/>
        <v>-1.496193792</v>
      </c>
      <c r="K13" s="1"/>
      <c r="L13" s="1"/>
      <c r="M13" s="1"/>
      <c r="N13" s="25"/>
      <c r="O13" s="1"/>
      <c r="P13" s="1"/>
      <c r="Q13" s="1"/>
      <c r="R13" s="9"/>
      <c r="S13" s="117"/>
      <c r="T13" s="118">
        <f>(W11*T12)/R2</f>
        <v>85151.25</v>
      </c>
      <c r="U13" s="117"/>
      <c r="V13" s="117"/>
      <c r="W13" s="119">
        <f>W11/(Q2/T12)</f>
        <v>12513.42676</v>
      </c>
      <c r="X13" s="110" t="s">
        <v>105</v>
      </c>
      <c r="Y13" s="115">
        <f>AVERAGE(C28,C118)</f>
        <v>1307.75</v>
      </c>
      <c r="Z13" s="115">
        <f>AVERAGE(F28,F118)</f>
        <v>735.05</v>
      </c>
      <c r="AA13" s="1"/>
      <c r="AB13" s="1"/>
    </row>
    <row r="14">
      <c r="A14" s="1"/>
      <c r="B14" s="112">
        <f>IFERROR(__xludf.DUMMYFUNCTION("""COMPUTED_VALUE"""),46149.64583333333)</f>
        <v>46149.64583</v>
      </c>
      <c r="C14" s="1">
        <f>IFERROR(__xludf.DUMMYFUNCTION("""COMPUTED_VALUE"""),1279.0)</f>
        <v>1279</v>
      </c>
      <c r="D14" s="1"/>
      <c r="E14" s="112">
        <f>IFERROR(__xludf.DUMMYFUNCTION("""COMPUTED_VALUE"""),46149.64583333333)</f>
        <v>46149.64583</v>
      </c>
      <c r="F14" s="1">
        <f>IFERROR(__xludf.DUMMYFUNCTION("""COMPUTED_VALUE"""),796.05)</f>
        <v>796.05</v>
      </c>
      <c r="G14" s="1"/>
      <c r="H14" s="29">
        <f t="shared" si="3"/>
        <v>1.606682997</v>
      </c>
      <c r="I14" s="1">
        <f t="shared" si="4"/>
        <v>482.95</v>
      </c>
      <c r="J14" s="113">
        <f t="shared" si="5"/>
        <v>-1.496193792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12">
        <f>IFERROR(__xludf.DUMMYFUNCTION("""COMPUTED_VALUE"""),46150.64583333333)</f>
        <v>46150.64583</v>
      </c>
      <c r="C15" s="1">
        <f>IFERROR(__xludf.DUMMYFUNCTION("""COMPUTED_VALUE"""),1264.8)</f>
        <v>1264.8</v>
      </c>
      <c r="D15" s="1"/>
      <c r="E15" s="112">
        <f>IFERROR(__xludf.DUMMYFUNCTION("""COMPUTED_VALUE"""),46150.64583333333)</f>
        <v>46150.64583</v>
      </c>
      <c r="F15" s="1">
        <f>IFERROR(__xludf.DUMMYFUNCTION("""COMPUTED_VALUE"""),780.85)</f>
        <v>780.85</v>
      </c>
      <c r="G15" s="1"/>
      <c r="H15" s="29">
        <f t="shared" si="3"/>
        <v>1.619773324</v>
      </c>
      <c r="I15" s="1">
        <f t="shared" si="4"/>
        <v>483.95</v>
      </c>
      <c r="J15" s="113">
        <f t="shared" si="5"/>
        <v>-1.484137209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12">
        <f>IFERROR(__xludf.DUMMYFUNCTION("""COMPUTED_VALUE"""),46153.64583333333)</f>
        <v>46153.64583</v>
      </c>
      <c r="C16" s="1">
        <f>IFERROR(__xludf.DUMMYFUNCTION("""COMPUTED_VALUE"""),1266.4)</f>
        <v>1266.4</v>
      </c>
      <c r="D16" s="1"/>
      <c r="E16" s="112">
        <f>IFERROR(__xludf.DUMMYFUNCTION("""COMPUTED_VALUE"""),46153.64583333333)</f>
        <v>46153.64583</v>
      </c>
      <c r="F16" s="1">
        <f>IFERROR(__xludf.DUMMYFUNCTION("""COMPUTED_VALUE"""),763.65)</f>
        <v>763.65</v>
      </c>
      <c r="G16" s="1"/>
      <c r="H16" s="29">
        <f t="shared" si="3"/>
        <v>1.658351339</v>
      </c>
      <c r="I16" s="1">
        <f t="shared" si="4"/>
        <v>502.75</v>
      </c>
      <c r="J16" s="113">
        <f t="shared" si="5"/>
        <v>-1.257473447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12">
        <f>IFERROR(__xludf.DUMMYFUNCTION("""COMPUTED_VALUE"""),46154.64583333333)</f>
        <v>46154.64583</v>
      </c>
      <c r="C17" s="1">
        <f>IFERROR(__xludf.DUMMYFUNCTION("""COMPUTED_VALUE"""),1240.3)</f>
        <v>1240.3</v>
      </c>
      <c r="D17" s="1"/>
      <c r="E17" s="112">
        <f>IFERROR(__xludf.DUMMYFUNCTION("""COMPUTED_VALUE"""),46154.64583333333)</f>
        <v>46154.64583</v>
      </c>
      <c r="F17" s="1">
        <f>IFERROR(__xludf.DUMMYFUNCTION("""COMPUTED_VALUE"""),750.45)</f>
        <v>750.45</v>
      </c>
      <c r="G17" s="1"/>
      <c r="H17" s="29">
        <f t="shared" si="3"/>
        <v>1.652741688</v>
      </c>
      <c r="I17" s="1">
        <f t="shared" si="4"/>
        <v>489.85</v>
      </c>
      <c r="J17" s="113">
        <f t="shared" si="5"/>
        <v>-1.413003368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12">
        <f>IFERROR(__xludf.DUMMYFUNCTION("""COMPUTED_VALUE"""),46155.64583333333)</f>
        <v>46155.64583</v>
      </c>
      <c r="C18" s="1">
        <f>IFERROR(__xludf.DUMMYFUNCTION("""COMPUTED_VALUE"""),1235.6)</f>
        <v>1235.6</v>
      </c>
      <c r="D18" s="1"/>
      <c r="E18" s="112">
        <f>IFERROR(__xludf.DUMMYFUNCTION("""COMPUTED_VALUE"""),46155.64583333333)</f>
        <v>46155.64583</v>
      </c>
      <c r="F18" s="1">
        <f>IFERROR(__xludf.DUMMYFUNCTION("""COMPUTED_VALUE"""),749.6)</f>
        <v>749.6</v>
      </c>
      <c r="G18" s="1"/>
      <c r="H18" s="29">
        <f t="shared" si="3"/>
        <v>1.648345784</v>
      </c>
      <c r="I18" s="1">
        <f t="shared" si="4"/>
        <v>486</v>
      </c>
      <c r="J18" s="113">
        <f t="shared" si="5"/>
        <v>-1.459421213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12">
        <f>IFERROR(__xludf.DUMMYFUNCTION("""COMPUTED_VALUE"""),46156.64583333333)</f>
        <v>46156.64583</v>
      </c>
      <c r="C19" s="1">
        <f>IFERROR(__xludf.DUMMYFUNCTION("""COMPUTED_VALUE"""),1246.0)</f>
        <v>1246</v>
      </c>
      <c r="D19" s="1"/>
      <c r="E19" s="112">
        <f>IFERROR(__xludf.DUMMYFUNCTION("""COMPUTED_VALUE"""),46156.64583333333)</f>
        <v>46156.64583</v>
      </c>
      <c r="F19" s="1">
        <f>IFERROR(__xludf.DUMMYFUNCTION("""COMPUTED_VALUE"""),769.55)</f>
        <v>769.55</v>
      </c>
      <c r="G19" s="1"/>
      <c r="H19" s="29">
        <f t="shared" si="3"/>
        <v>1.619128062</v>
      </c>
      <c r="I19" s="1">
        <f t="shared" si="4"/>
        <v>476.45</v>
      </c>
      <c r="J19" s="113">
        <f t="shared" si="5"/>
        <v>-1.574561582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12">
        <f>IFERROR(__xludf.DUMMYFUNCTION("""COMPUTED_VALUE"""),46157.64583333333)</f>
        <v>46157.64583</v>
      </c>
      <c r="C20" s="1">
        <f>IFERROR(__xludf.DUMMYFUNCTION("""COMPUTED_VALUE"""),1244.5)</f>
        <v>1244.5</v>
      </c>
      <c r="D20" s="1"/>
      <c r="E20" s="112">
        <f>IFERROR(__xludf.DUMMYFUNCTION("""COMPUTED_VALUE"""),46157.64583333333)</f>
        <v>46157.64583</v>
      </c>
      <c r="F20" s="1">
        <f>IFERROR(__xludf.DUMMYFUNCTION("""COMPUTED_VALUE"""),767.5)</f>
        <v>767.5</v>
      </c>
      <c r="G20" s="1"/>
      <c r="H20" s="29">
        <f t="shared" si="3"/>
        <v>1.621498371</v>
      </c>
      <c r="I20" s="1">
        <f t="shared" si="4"/>
        <v>477</v>
      </c>
      <c r="J20" s="113">
        <f t="shared" si="5"/>
        <v>-1.567930461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12">
        <f>IFERROR(__xludf.DUMMYFUNCTION("""COMPUTED_VALUE"""),46160.64583333333)</f>
        <v>46160.64583</v>
      </c>
      <c r="C21" s="1">
        <f>IFERROR(__xludf.DUMMYFUNCTION("""COMPUTED_VALUE"""),1251.1)</f>
        <v>1251.1</v>
      </c>
      <c r="D21" s="1"/>
      <c r="E21" s="112">
        <f>IFERROR(__xludf.DUMMYFUNCTION("""COMPUTED_VALUE"""),46160.64583333333)</f>
        <v>46160.64583</v>
      </c>
      <c r="F21" s="1">
        <f>IFERROR(__xludf.DUMMYFUNCTION("""COMPUTED_VALUE"""),768.65)</f>
        <v>768.65</v>
      </c>
      <c r="G21" s="1"/>
      <c r="H21" s="29">
        <f t="shared" si="3"/>
        <v>1.627658882</v>
      </c>
      <c r="I21" s="1">
        <f t="shared" si="4"/>
        <v>482.45</v>
      </c>
      <c r="J21" s="113">
        <f t="shared" si="5"/>
        <v>-1.502222083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12">
        <f>IFERROR(__xludf.DUMMYFUNCTION("""COMPUTED_VALUE"""),46161.64583333333)</f>
        <v>46161.64583</v>
      </c>
      <c r="C22" s="1">
        <f>IFERROR(__xludf.DUMMYFUNCTION("""COMPUTED_VALUE"""),1240.8)</f>
        <v>1240.8</v>
      </c>
      <c r="D22" s="1"/>
      <c r="E22" s="112">
        <f>IFERROR(__xludf.DUMMYFUNCTION("""COMPUTED_VALUE"""),46161.64583333333)</f>
        <v>46161.64583</v>
      </c>
      <c r="F22" s="1">
        <f>IFERROR(__xludf.DUMMYFUNCTION("""COMPUTED_VALUE"""),762.45)</f>
        <v>762.45</v>
      </c>
      <c r="G22" s="1"/>
      <c r="H22" s="29">
        <f t="shared" si="3"/>
        <v>1.627385402</v>
      </c>
      <c r="I22" s="1">
        <f t="shared" si="4"/>
        <v>478.35</v>
      </c>
      <c r="J22" s="113">
        <f t="shared" si="5"/>
        <v>-1.551654074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12">
        <f>IFERROR(__xludf.DUMMYFUNCTION("""COMPUTED_VALUE"""),46162.64583333333)</f>
        <v>46162.64583</v>
      </c>
      <c r="C23" s="1">
        <f>IFERROR(__xludf.DUMMYFUNCTION("""COMPUTED_VALUE"""),1237.3)</f>
        <v>1237.3</v>
      </c>
      <c r="D23" s="1"/>
      <c r="E23" s="112">
        <f>IFERROR(__xludf.DUMMYFUNCTION("""COMPUTED_VALUE"""),46162.64583333333)</f>
        <v>46162.64583</v>
      </c>
      <c r="F23" s="1">
        <f>IFERROR(__xludf.DUMMYFUNCTION("""COMPUTED_VALUE"""),759.5)</f>
        <v>759.5</v>
      </c>
      <c r="G23" s="1"/>
      <c r="H23" s="29">
        <f t="shared" si="3"/>
        <v>1.629098091</v>
      </c>
      <c r="I23" s="1">
        <f t="shared" si="4"/>
        <v>477.8</v>
      </c>
      <c r="J23" s="113">
        <f t="shared" si="5"/>
        <v>-1.558285195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12">
        <f>IFERROR(__xludf.DUMMYFUNCTION("""COMPUTED_VALUE"""),46163.64583333333)</f>
        <v>46163.64583</v>
      </c>
      <c r="C24" s="1">
        <f>IFERROR(__xludf.DUMMYFUNCTION("""COMPUTED_VALUE"""),1242.8)</f>
        <v>1242.8</v>
      </c>
      <c r="D24" s="1"/>
      <c r="E24" s="112">
        <f>IFERROR(__xludf.DUMMYFUNCTION("""COMPUTED_VALUE"""),46163.64583333333)</f>
        <v>46163.64583</v>
      </c>
      <c r="F24" s="1">
        <f>IFERROR(__xludf.DUMMYFUNCTION("""COMPUTED_VALUE"""),759.15)</f>
        <v>759.15</v>
      </c>
      <c r="G24" s="1"/>
      <c r="H24" s="29">
        <f t="shared" si="3"/>
        <v>1.637094118</v>
      </c>
      <c r="I24" s="1">
        <f t="shared" si="4"/>
        <v>483.65</v>
      </c>
      <c r="J24" s="113">
        <f t="shared" si="5"/>
        <v>-1.487754184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12">
        <f>IFERROR(__xludf.DUMMYFUNCTION("""COMPUTED_VALUE"""),46164.64583333333)</f>
        <v>46164.64583</v>
      </c>
      <c r="C25" s="1">
        <f>IFERROR(__xludf.DUMMYFUNCTION("""COMPUTED_VALUE"""),1264.3)</f>
        <v>1264.3</v>
      </c>
      <c r="D25" s="1"/>
      <c r="E25" s="112">
        <f>IFERROR(__xludf.DUMMYFUNCTION("""COMPUTED_VALUE"""),46164.64583333333)</f>
        <v>46164.64583</v>
      </c>
      <c r="F25" s="1">
        <f>IFERROR(__xludf.DUMMYFUNCTION("""COMPUTED_VALUE"""),766.8)</f>
        <v>766.8</v>
      </c>
      <c r="G25" s="1"/>
      <c r="H25" s="29">
        <f t="shared" si="3"/>
        <v>1.648800209</v>
      </c>
      <c r="I25" s="1">
        <f t="shared" si="4"/>
        <v>497.5</v>
      </c>
      <c r="J25" s="113">
        <f t="shared" si="5"/>
        <v>-1.320770508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12">
        <f>IFERROR(__xludf.DUMMYFUNCTION("""COMPUTED_VALUE"""),46167.64583333333)</f>
        <v>46167.64583</v>
      </c>
      <c r="C26" s="1">
        <f>IFERROR(__xludf.DUMMYFUNCTION("""COMPUTED_VALUE"""),1291.8)</f>
        <v>1291.8</v>
      </c>
      <c r="D26" s="1"/>
      <c r="E26" s="112">
        <f>IFERROR(__xludf.DUMMYFUNCTION("""COMPUTED_VALUE"""),46167.64583333333)</f>
        <v>46167.64583</v>
      </c>
      <c r="F26" s="1">
        <f>IFERROR(__xludf.DUMMYFUNCTION("""COMPUTED_VALUE"""),786.85)</f>
        <v>786.85</v>
      </c>
      <c r="G26" s="1"/>
      <c r="H26" s="29">
        <f t="shared" si="3"/>
        <v>1.641736036</v>
      </c>
      <c r="I26" s="1">
        <f t="shared" si="4"/>
        <v>504.95</v>
      </c>
      <c r="J26" s="113">
        <f t="shared" si="5"/>
        <v>-1.230948964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12">
        <f>IFERROR(__xludf.DUMMYFUNCTION("""COMPUTED_VALUE"""),46168.64583333333)</f>
        <v>46168.64583</v>
      </c>
      <c r="C27" s="1">
        <f>IFERROR(__xludf.DUMMYFUNCTION("""COMPUTED_VALUE"""),1279.1)</f>
        <v>1279.1</v>
      </c>
      <c r="D27" s="1"/>
      <c r="E27" s="112">
        <f>IFERROR(__xludf.DUMMYFUNCTION("""COMPUTED_VALUE"""),46168.64583333333)</f>
        <v>46168.64583</v>
      </c>
      <c r="F27" s="1">
        <f>IFERROR(__xludf.DUMMYFUNCTION("""COMPUTED_VALUE"""),778.9)</f>
        <v>778.9</v>
      </c>
      <c r="G27" s="1"/>
      <c r="H27" s="29">
        <f t="shared" si="3"/>
        <v>1.642187701</v>
      </c>
      <c r="I27" s="1">
        <f t="shared" si="4"/>
        <v>500.2</v>
      </c>
      <c r="J27" s="113">
        <f t="shared" si="5"/>
        <v>-1.288217733</v>
      </c>
      <c r="K27" s="1"/>
      <c r="L27" s="1"/>
      <c r="M27" s="1"/>
      <c r="N27" s="1"/>
      <c r="O27" s="1"/>
      <c r="P27" s="1"/>
      <c r="Q27" s="58" t="s">
        <v>112</v>
      </c>
      <c r="R27" s="124">
        <f>AVERAGE(H88:H118)</f>
        <v>1.920857472</v>
      </c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12">
        <f>IFERROR(__xludf.DUMMYFUNCTION("""COMPUTED_VALUE"""),46169.64583333333)</f>
        <v>46169.64583</v>
      </c>
      <c r="C28" s="1">
        <f>IFERROR(__xludf.DUMMYFUNCTION("""COMPUTED_VALUE"""),1272.7)</f>
        <v>1272.7</v>
      </c>
      <c r="D28" s="1"/>
      <c r="E28" s="112">
        <f>IFERROR(__xludf.DUMMYFUNCTION("""COMPUTED_VALUE"""),46169.64583333333)</f>
        <v>46169.64583</v>
      </c>
      <c r="F28" s="1">
        <f>IFERROR(__xludf.DUMMYFUNCTION("""COMPUTED_VALUE"""),758.65)</f>
        <v>758.65</v>
      </c>
      <c r="G28" s="1"/>
      <c r="H28" s="29">
        <f t="shared" si="3"/>
        <v>1.677585184</v>
      </c>
      <c r="I28" s="1">
        <f t="shared" si="4"/>
        <v>514.05</v>
      </c>
      <c r="J28" s="113">
        <f t="shared" si="5"/>
        <v>-1.121234058</v>
      </c>
      <c r="K28" s="1"/>
      <c r="L28" s="1"/>
      <c r="M28" s="1"/>
      <c r="N28" s="1"/>
      <c r="O28" s="1"/>
      <c r="P28" s="1"/>
      <c r="Q28" s="58" t="s">
        <v>113</v>
      </c>
      <c r="R28" s="124">
        <f>MAX(H88:H118)</f>
        <v>2.05077574</v>
      </c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12">
        <f>IFERROR(__xludf.DUMMYFUNCTION("""COMPUTED_VALUE"""),46171.64583333333)</f>
        <v>46171.64583</v>
      </c>
      <c r="C29" s="1">
        <f>IFERROR(__xludf.DUMMYFUNCTION("""COMPUTED_VALUE"""),1256.4)</f>
        <v>1256.4</v>
      </c>
      <c r="D29" s="1"/>
      <c r="E29" s="112">
        <f>IFERROR(__xludf.DUMMYFUNCTION("""COMPUTED_VALUE"""),46171.64583333333)</f>
        <v>46171.64583</v>
      </c>
      <c r="F29" s="1">
        <f>IFERROR(__xludf.DUMMYFUNCTION("""COMPUTED_VALUE"""),744.55)</f>
        <v>744.55</v>
      </c>
      <c r="G29" s="1"/>
      <c r="H29" s="29">
        <f t="shared" si="3"/>
        <v>1.687462226</v>
      </c>
      <c r="I29" s="1">
        <f t="shared" si="4"/>
        <v>511.85</v>
      </c>
      <c r="J29" s="113">
        <f t="shared" si="5"/>
        <v>-1.14775854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12">
        <f>IFERROR(__xludf.DUMMYFUNCTION("""COMPUTED_VALUE"""),46174.64583333333)</f>
        <v>46174.64583</v>
      </c>
      <c r="C30" s="1">
        <f>IFERROR(__xludf.DUMMYFUNCTION("""COMPUTED_VALUE"""),1239.7)</f>
        <v>1239.7</v>
      </c>
      <c r="D30" s="1"/>
      <c r="E30" s="112">
        <f>IFERROR(__xludf.DUMMYFUNCTION("""COMPUTED_VALUE"""),46174.64583333333)</f>
        <v>46174.64583</v>
      </c>
      <c r="F30" s="1">
        <f>IFERROR(__xludf.DUMMYFUNCTION("""COMPUTED_VALUE"""),742.7)</f>
        <v>742.7</v>
      </c>
      <c r="G30" s="1"/>
      <c r="H30" s="29">
        <f t="shared" si="3"/>
        <v>1.669180019</v>
      </c>
      <c r="I30" s="1">
        <f t="shared" si="4"/>
        <v>497</v>
      </c>
      <c r="J30" s="113">
        <f t="shared" si="5"/>
        <v>-1.326798799</v>
      </c>
      <c r="K30" s="1">
        <f t="shared" ref="K30:K117" si="6">AVERAGE(C11:C30)</f>
        <v>1257.71</v>
      </c>
      <c r="L30" s="25">
        <f t="shared" ref="L30:L117" si="7">(C30-K30)/C30</f>
        <v>-0.01452770832</v>
      </c>
      <c r="M30" s="65">
        <f t="shared" ref="M30:M117" si="8">AVERAGE(F11:F30)</f>
        <v>767.705</v>
      </c>
      <c r="N30" s="25">
        <f t="shared" ref="N30:N117" si="9">(F30-M30)/F30</f>
        <v>-0.03366769894</v>
      </c>
      <c r="O30" s="25">
        <f t="shared" ref="O30:O117" si="10">L30-N30</f>
        <v>0.01913999062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12">
        <f>IFERROR(__xludf.DUMMYFUNCTION("""COMPUTED_VALUE"""),46175.64583333333)</f>
        <v>46175.64583</v>
      </c>
      <c r="C31" s="1">
        <f>IFERROR(__xludf.DUMMYFUNCTION("""COMPUTED_VALUE"""),1226.6)</f>
        <v>1226.6</v>
      </c>
      <c r="D31" s="1"/>
      <c r="E31" s="112">
        <f>IFERROR(__xludf.DUMMYFUNCTION("""COMPUTED_VALUE"""),46175.64583333333)</f>
        <v>46175.64583</v>
      </c>
      <c r="F31" s="1">
        <f>IFERROR(__xludf.DUMMYFUNCTION("""COMPUTED_VALUE"""),748.25)</f>
        <v>748.25</v>
      </c>
      <c r="G31" s="1"/>
      <c r="H31" s="29">
        <f t="shared" si="3"/>
        <v>1.639291681</v>
      </c>
      <c r="I31" s="1">
        <f t="shared" si="4"/>
        <v>478.35</v>
      </c>
      <c r="J31" s="113">
        <f t="shared" si="5"/>
        <v>-1.551654074</v>
      </c>
      <c r="K31" s="65">
        <f t="shared" si="6"/>
        <v>1255.5</v>
      </c>
      <c r="L31" s="25">
        <f t="shared" si="7"/>
        <v>-0.0235610631</v>
      </c>
      <c r="M31" s="65">
        <f t="shared" si="8"/>
        <v>766.1475</v>
      </c>
      <c r="N31" s="25">
        <f t="shared" si="9"/>
        <v>-0.02391914467</v>
      </c>
      <c r="O31" s="25">
        <f t="shared" si="10"/>
        <v>0.0003580815696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12">
        <f>IFERROR(__xludf.DUMMYFUNCTION("""COMPUTED_VALUE"""),46176.64583333333)</f>
        <v>46176.64583</v>
      </c>
      <c r="C32" s="1">
        <f>IFERROR(__xludf.DUMMYFUNCTION("""COMPUTED_VALUE"""),1242.0)</f>
        <v>1242</v>
      </c>
      <c r="D32" s="1"/>
      <c r="E32" s="112">
        <f>IFERROR(__xludf.DUMMYFUNCTION("""COMPUTED_VALUE"""),46176.64583333333)</f>
        <v>46176.64583</v>
      </c>
      <c r="F32" s="1">
        <f>IFERROR(__xludf.DUMMYFUNCTION("""COMPUTED_VALUE"""),753.65)</f>
        <v>753.65</v>
      </c>
      <c r="G32" s="1"/>
      <c r="H32" s="29">
        <f t="shared" si="3"/>
        <v>1.647979831</v>
      </c>
      <c r="I32" s="1">
        <f t="shared" si="4"/>
        <v>488.35</v>
      </c>
      <c r="J32" s="113">
        <f t="shared" si="5"/>
        <v>-1.431088243</v>
      </c>
      <c r="K32" s="65">
        <f t="shared" si="6"/>
        <v>1255.035</v>
      </c>
      <c r="L32" s="25">
        <f t="shared" si="7"/>
        <v>-0.01049516908</v>
      </c>
      <c r="M32" s="65">
        <f t="shared" si="8"/>
        <v>765.215</v>
      </c>
      <c r="N32" s="25">
        <f t="shared" si="9"/>
        <v>-0.01534531945</v>
      </c>
      <c r="O32" s="25">
        <f t="shared" si="10"/>
        <v>0.004850150363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12">
        <f>IFERROR(__xludf.DUMMYFUNCTION("""COMPUTED_VALUE"""),46177.64583333333)</f>
        <v>46177.64583</v>
      </c>
      <c r="C33" s="1">
        <f>IFERROR(__xludf.DUMMYFUNCTION("""COMPUTED_VALUE"""),1251.7)</f>
        <v>1251.7</v>
      </c>
      <c r="D33" s="1"/>
      <c r="E33" s="112">
        <f>IFERROR(__xludf.DUMMYFUNCTION("""COMPUTED_VALUE"""),46177.64583333333)</f>
        <v>46177.64583</v>
      </c>
      <c r="F33" s="1">
        <f>IFERROR(__xludf.DUMMYFUNCTION("""COMPUTED_VALUE"""),754.2)</f>
        <v>754.2</v>
      </c>
      <c r="G33" s="1"/>
      <c r="H33" s="29">
        <f t="shared" si="3"/>
        <v>1.659639353</v>
      </c>
      <c r="I33" s="1">
        <f t="shared" si="4"/>
        <v>497.5</v>
      </c>
      <c r="J33" s="113">
        <f t="shared" si="5"/>
        <v>-1.320770508</v>
      </c>
      <c r="K33" s="65">
        <f t="shared" si="6"/>
        <v>1253.645</v>
      </c>
      <c r="L33" s="25">
        <f t="shared" si="7"/>
        <v>-0.001553886714</v>
      </c>
      <c r="M33" s="65">
        <f t="shared" si="8"/>
        <v>763.0975</v>
      </c>
      <c r="N33" s="25">
        <f t="shared" si="9"/>
        <v>-0.01179726863</v>
      </c>
      <c r="O33" s="25">
        <f t="shared" si="10"/>
        <v>0.01024338191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7"/>
      <c r="B34" s="112">
        <f>IFERROR(__xludf.DUMMYFUNCTION("""COMPUTED_VALUE"""),46178.64583333333)</f>
        <v>46178.64583</v>
      </c>
      <c r="C34" s="1">
        <f>IFERROR(__xludf.DUMMYFUNCTION("""COMPUTED_VALUE"""),1262.1)</f>
        <v>1262.1</v>
      </c>
      <c r="D34" s="1"/>
      <c r="E34" s="112">
        <f>IFERROR(__xludf.DUMMYFUNCTION("""COMPUTED_VALUE"""),46178.64583333333)</f>
        <v>46178.64583</v>
      </c>
      <c r="F34" s="1">
        <f>IFERROR(__xludf.DUMMYFUNCTION("""COMPUTED_VALUE"""),747.05)</f>
        <v>747.05</v>
      </c>
      <c r="G34" s="1"/>
      <c r="H34" s="29">
        <f t="shared" si="3"/>
        <v>1.689445151</v>
      </c>
      <c r="I34" s="1">
        <f t="shared" si="4"/>
        <v>515.05</v>
      </c>
      <c r="J34" s="113">
        <f t="shared" si="5"/>
        <v>-1.109177475</v>
      </c>
      <c r="K34" s="65">
        <f t="shared" si="6"/>
        <v>1252.8</v>
      </c>
      <c r="L34" s="25">
        <f t="shared" si="7"/>
        <v>0.007368671262</v>
      </c>
      <c r="M34" s="65">
        <f t="shared" si="8"/>
        <v>760.6475</v>
      </c>
      <c r="N34" s="25">
        <f t="shared" si="9"/>
        <v>-0.01820159293</v>
      </c>
      <c r="O34" s="25">
        <f t="shared" si="10"/>
        <v>0.02557026419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12">
        <f>IFERROR(__xludf.DUMMYFUNCTION("""COMPUTED_VALUE"""),46181.64583333333)</f>
        <v>46181.64583</v>
      </c>
      <c r="C35" s="1">
        <f>IFERROR(__xludf.DUMMYFUNCTION("""COMPUTED_VALUE"""),1250.2)</f>
        <v>1250.2</v>
      </c>
      <c r="D35" s="1"/>
      <c r="E35" s="112">
        <f>IFERROR(__xludf.DUMMYFUNCTION("""COMPUTED_VALUE"""),46181.64583333333)</f>
        <v>46181.64583</v>
      </c>
      <c r="F35" s="1">
        <f>IFERROR(__xludf.DUMMYFUNCTION("""COMPUTED_VALUE"""),738.65)</f>
        <v>738.65</v>
      </c>
      <c r="G35" s="1"/>
      <c r="H35" s="29">
        <f t="shared" si="3"/>
        <v>1.692547215</v>
      </c>
      <c r="I35" s="1">
        <f t="shared" si="4"/>
        <v>511.55</v>
      </c>
      <c r="J35" s="113">
        <f t="shared" si="5"/>
        <v>-1.151375515</v>
      </c>
      <c r="K35" s="65">
        <f t="shared" si="6"/>
        <v>1252.07</v>
      </c>
      <c r="L35" s="25">
        <f t="shared" si="7"/>
        <v>-0.001495760678</v>
      </c>
      <c r="M35" s="65">
        <f t="shared" si="8"/>
        <v>758.5375</v>
      </c>
      <c r="N35" s="25">
        <f t="shared" si="9"/>
        <v>-0.02692411832</v>
      </c>
      <c r="O35" s="25">
        <f t="shared" si="10"/>
        <v>0.02542835765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12">
        <f>IFERROR(__xludf.DUMMYFUNCTION("""COMPUTED_VALUE"""),46182.64583333333)</f>
        <v>46182.64583</v>
      </c>
      <c r="C36" s="1">
        <f>IFERROR(__xludf.DUMMYFUNCTION("""COMPUTED_VALUE"""),1275.0)</f>
        <v>1275</v>
      </c>
      <c r="D36" s="1"/>
      <c r="E36" s="112">
        <f>IFERROR(__xludf.DUMMYFUNCTION("""COMPUTED_VALUE"""),46182.64583333333)</f>
        <v>46182.64583</v>
      </c>
      <c r="F36" s="1">
        <f>IFERROR(__xludf.DUMMYFUNCTION("""COMPUTED_VALUE"""),738.35)</f>
        <v>738.35</v>
      </c>
      <c r="G36" s="1"/>
      <c r="H36" s="29">
        <f t="shared" si="3"/>
        <v>1.726823322</v>
      </c>
      <c r="I36" s="1">
        <f t="shared" si="4"/>
        <v>536.65</v>
      </c>
      <c r="J36" s="113">
        <f t="shared" si="5"/>
        <v>-0.8487552798</v>
      </c>
      <c r="K36" s="65">
        <f t="shared" si="6"/>
        <v>1252.5</v>
      </c>
      <c r="L36" s="25">
        <f t="shared" si="7"/>
        <v>0.01764705882</v>
      </c>
      <c r="M36" s="65">
        <f t="shared" si="8"/>
        <v>757.2725</v>
      </c>
      <c r="N36" s="25">
        <f t="shared" si="9"/>
        <v>-0.02562808966</v>
      </c>
      <c r="O36" s="25">
        <f t="shared" si="10"/>
        <v>0.04327514848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12">
        <f>IFERROR(__xludf.DUMMYFUNCTION("""COMPUTED_VALUE"""),46183.64583333333)</f>
        <v>46183.64583</v>
      </c>
      <c r="C37" s="1">
        <f>IFERROR(__xludf.DUMMYFUNCTION("""COMPUTED_VALUE"""),1293.3)</f>
        <v>1293.3</v>
      </c>
      <c r="D37" s="1"/>
      <c r="E37" s="112">
        <f>IFERROR(__xludf.DUMMYFUNCTION("""COMPUTED_VALUE"""),46183.64583333333)</f>
        <v>46183.64583</v>
      </c>
      <c r="F37" s="1">
        <f>IFERROR(__xludf.DUMMYFUNCTION("""COMPUTED_VALUE"""),746.85)</f>
        <v>746.85</v>
      </c>
      <c r="G37" s="1"/>
      <c r="H37" s="29">
        <f t="shared" si="3"/>
        <v>1.731673027</v>
      </c>
      <c r="I37" s="1">
        <f t="shared" si="4"/>
        <v>546.45</v>
      </c>
      <c r="J37" s="113">
        <f t="shared" si="5"/>
        <v>-0.7306007656</v>
      </c>
      <c r="K37" s="65">
        <f t="shared" si="6"/>
        <v>1255.15</v>
      </c>
      <c r="L37" s="25">
        <f t="shared" si="7"/>
        <v>0.02949818294</v>
      </c>
      <c r="M37" s="65">
        <f t="shared" si="8"/>
        <v>757.0925</v>
      </c>
      <c r="N37" s="25">
        <f t="shared" si="9"/>
        <v>-0.01371426659</v>
      </c>
      <c r="O37" s="25">
        <f t="shared" si="10"/>
        <v>0.04321244953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12">
        <f>IFERROR(__xludf.DUMMYFUNCTION("""COMPUTED_VALUE"""),46184.64583333333)</f>
        <v>46184.64583</v>
      </c>
      <c r="C38" s="1">
        <f>IFERROR(__xludf.DUMMYFUNCTION("""COMPUTED_VALUE"""),1317.0)</f>
        <v>1317</v>
      </c>
      <c r="D38" s="1"/>
      <c r="E38" s="112">
        <f>IFERROR(__xludf.DUMMYFUNCTION("""COMPUTED_VALUE"""),46184.64583333333)</f>
        <v>46184.64583</v>
      </c>
      <c r="F38" s="1">
        <f>IFERROR(__xludf.DUMMYFUNCTION("""COMPUTED_VALUE"""),744.6)</f>
        <v>744.6</v>
      </c>
      <c r="G38" s="1"/>
      <c r="H38" s="29">
        <f t="shared" si="3"/>
        <v>1.768734891</v>
      </c>
      <c r="I38" s="1">
        <f t="shared" si="4"/>
        <v>572.4</v>
      </c>
      <c r="J38" s="113">
        <f t="shared" si="5"/>
        <v>-0.4177324344</v>
      </c>
      <c r="K38" s="65">
        <f t="shared" si="6"/>
        <v>1259.22</v>
      </c>
      <c r="L38" s="25">
        <f t="shared" si="7"/>
        <v>0.04387243736</v>
      </c>
      <c r="M38" s="65">
        <f t="shared" si="8"/>
        <v>756.8425</v>
      </c>
      <c r="N38" s="25">
        <f t="shared" si="9"/>
        <v>-0.01644171367</v>
      </c>
      <c r="O38" s="25">
        <f t="shared" si="10"/>
        <v>0.06031415103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12">
        <f>IFERROR(__xludf.DUMMYFUNCTION("""COMPUTED_VALUE"""),46185.64583333333)</f>
        <v>46185.64583</v>
      </c>
      <c r="C39" s="1">
        <f>IFERROR(__xludf.DUMMYFUNCTION("""COMPUTED_VALUE"""),1340.8)</f>
        <v>1340.8</v>
      </c>
      <c r="D39" s="1"/>
      <c r="E39" s="112">
        <f>IFERROR(__xludf.DUMMYFUNCTION("""COMPUTED_VALUE"""),46185.64583333333)</f>
        <v>46185.64583</v>
      </c>
      <c r="F39" s="1">
        <f>IFERROR(__xludf.DUMMYFUNCTION("""COMPUTED_VALUE"""),772.45)</f>
        <v>772.45</v>
      </c>
      <c r="G39" s="1"/>
      <c r="H39" s="29">
        <f t="shared" si="3"/>
        <v>1.735775778</v>
      </c>
      <c r="I39" s="1">
        <f t="shared" si="4"/>
        <v>568.35</v>
      </c>
      <c r="J39" s="113">
        <f t="shared" si="5"/>
        <v>-0.4665615959</v>
      </c>
      <c r="K39" s="65">
        <f t="shared" si="6"/>
        <v>1263.96</v>
      </c>
      <c r="L39" s="25">
        <f t="shared" si="7"/>
        <v>0.05730906921</v>
      </c>
      <c r="M39" s="65">
        <f t="shared" si="8"/>
        <v>756.9875</v>
      </c>
      <c r="N39" s="25">
        <f t="shared" si="9"/>
        <v>0.02001747686</v>
      </c>
      <c r="O39" s="25">
        <f t="shared" si="10"/>
        <v>0.03729159235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12">
        <f>IFERROR(__xludf.DUMMYFUNCTION("""COMPUTED_VALUE"""),46188.64583333333)</f>
        <v>46188.64583</v>
      </c>
      <c r="C40" s="1">
        <f>IFERROR(__xludf.DUMMYFUNCTION("""COMPUTED_VALUE"""),1327.6)</f>
        <v>1327.6</v>
      </c>
      <c r="D40" s="1"/>
      <c r="E40" s="112">
        <f>IFERROR(__xludf.DUMMYFUNCTION("""COMPUTED_VALUE"""),46188.64583333333)</f>
        <v>46188.64583</v>
      </c>
      <c r="F40" s="1">
        <f>IFERROR(__xludf.DUMMYFUNCTION("""COMPUTED_VALUE"""),777.35)</f>
        <v>777.35</v>
      </c>
      <c r="G40" s="1"/>
      <c r="H40" s="29">
        <f t="shared" si="3"/>
        <v>1.707853605</v>
      </c>
      <c r="I40" s="1">
        <f t="shared" si="4"/>
        <v>550.25</v>
      </c>
      <c r="J40" s="113">
        <f t="shared" si="5"/>
        <v>-0.6847857498</v>
      </c>
      <c r="K40" s="65">
        <f t="shared" si="6"/>
        <v>1268.115</v>
      </c>
      <c r="L40" s="25">
        <f t="shared" si="7"/>
        <v>0.0448064176</v>
      </c>
      <c r="M40" s="65">
        <f t="shared" si="8"/>
        <v>757.48</v>
      </c>
      <c r="N40" s="25">
        <f t="shared" si="9"/>
        <v>0.02556120152</v>
      </c>
      <c r="O40" s="25">
        <f t="shared" si="10"/>
        <v>0.01924521608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12">
        <f>IFERROR(__xludf.DUMMYFUNCTION("""COMPUTED_VALUE"""),46189.64583333333)</f>
        <v>46189.64583</v>
      </c>
      <c r="C41" s="1">
        <f>IFERROR(__xludf.DUMMYFUNCTION("""COMPUTED_VALUE"""),1334.3)</f>
        <v>1334.3</v>
      </c>
      <c r="D41" s="1"/>
      <c r="E41" s="112">
        <f>IFERROR(__xludf.DUMMYFUNCTION("""COMPUTED_VALUE"""),46189.64583333333)</f>
        <v>46189.64583</v>
      </c>
      <c r="F41" s="1">
        <f>IFERROR(__xludf.DUMMYFUNCTION("""COMPUTED_VALUE"""),784.9)</f>
        <v>784.9</v>
      </c>
      <c r="G41" s="1"/>
      <c r="H41" s="29">
        <f t="shared" si="3"/>
        <v>1.699961779</v>
      </c>
      <c r="I41" s="1">
        <f t="shared" si="4"/>
        <v>549.4</v>
      </c>
      <c r="J41" s="113">
        <f t="shared" si="5"/>
        <v>-0.6950338455</v>
      </c>
      <c r="K41" s="65">
        <f t="shared" si="6"/>
        <v>1272.275</v>
      </c>
      <c r="L41" s="25">
        <f t="shared" si="7"/>
        <v>0.04648504834</v>
      </c>
      <c r="M41" s="65">
        <f t="shared" si="8"/>
        <v>758.2925</v>
      </c>
      <c r="N41" s="25">
        <f t="shared" si="9"/>
        <v>0.03389922283</v>
      </c>
      <c r="O41" s="25">
        <f t="shared" si="10"/>
        <v>0.01258582551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12">
        <f>IFERROR(__xludf.DUMMYFUNCTION("""COMPUTED_VALUE"""),46190.64583333333)</f>
        <v>46190.64583</v>
      </c>
      <c r="C42" s="1">
        <f>IFERROR(__xludf.DUMMYFUNCTION("""COMPUTED_VALUE"""),1336.8)</f>
        <v>1336.8</v>
      </c>
      <c r="D42" s="1"/>
      <c r="E42" s="112">
        <f>IFERROR(__xludf.DUMMYFUNCTION("""COMPUTED_VALUE"""),46190.64583333333)</f>
        <v>46190.64583</v>
      </c>
      <c r="F42" s="1">
        <f>IFERROR(__xludf.DUMMYFUNCTION("""COMPUTED_VALUE"""),787.1)</f>
        <v>787.1</v>
      </c>
      <c r="G42" s="1"/>
      <c r="H42" s="29">
        <f t="shared" si="3"/>
        <v>1.698386482</v>
      </c>
      <c r="I42" s="1">
        <f t="shared" si="4"/>
        <v>549.7</v>
      </c>
      <c r="J42" s="113">
        <f t="shared" si="5"/>
        <v>-0.6914168705</v>
      </c>
      <c r="K42" s="65">
        <f t="shared" si="6"/>
        <v>1277.075</v>
      </c>
      <c r="L42" s="25">
        <f t="shared" si="7"/>
        <v>0.04467758827</v>
      </c>
      <c r="M42" s="65">
        <f t="shared" si="8"/>
        <v>759.525</v>
      </c>
      <c r="N42" s="25">
        <f t="shared" si="9"/>
        <v>0.03503366789</v>
      </c>
      <c r="O42" s="25">
        <f t="shared" si="10"/>
        <v>0.009643920376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12">
        <f>IFERROR(__xludf.DUMMYFUNCTION("""COMPUTED_VALUE"""),46191.64583333333)</f>
        <v>46191.64583</v>
      </c>
      <c r="C43" s="1">
        <f>IFERROR(__xludf.DUMMYFUNCTION("""COMPUTED_VALUE"""),1342.3)</f>
        <v>1342.3</v>
      </c>
      <c r="D43" s="1"/>
      <c r="E43" s="112">
        <f>IFERROR(__xludf.DUMMYFUNCTION("""COMPUTED_VALUE"""),46191.64583333333)</f>
        <v>46191.64583</v>
      </c>
      <c r="F43" s="1">
        <f>IFERROR(__xludf.DUMMYFUNCTION("""COMPUTED_VALUE"""),799.0)</f>
        <v>799</v>
      </c>
      <c r="G43" s="1"/>
      <c r="H43" s="29">
        <f t="shared" si="3"/>
        <v>1.679974969</v>
      </c>
      <c r="I43" s="1">
        <f t="shared" si="4"/>
        <v>543.3</v>
      </c>
      <c r="J43" s="113">
        <f t="shared" si="5"/>
        <v>-0.7685790023</v>
      </c>
      <c r="K43" s="65">
        <f t="shared" si="6"/>
        <v>1282.325</v>
      </c>
      <c r="L43" s="25">
        <f t="shared" si="7"/>
        <v>0.04468077181</v>
      </c>
      <c r="M43" s="65">
        <f t="shared" si="8"/>
        <v>761.5</v>
      </c>
      <c r="N43" s="25">
        <f t="shared" si="9"/>
        <v>0.04693366708</v>
      </c>
      <c r="O43" s="25">
        <f t="shared" si="10"/>
        <v>-0.002252895274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12">
        <f>IFERROR(__xludf.DUMMYFUNCTION("""COMPUTED_VALUE"""),46192.64583333333)</f>
        <v>46192.64583</v>
      </c>
      <c r="C44" s="1">
        <f>IFERROR(__xludf.DUMMYFUNCTION("""COMPUTED_VALUE"""),1346.5)</f>
        <v>1346.5</v>
      </c>
      <c r="D44" s="1"/>
      <c r="E44" s="112">
        <f>IFERROR(__xludf.DUMMYFUNCTION("""COMPUTED_VALUE"""),46192.64583333333)</f>
        <v>46192.64583</v>
      </c>
      <c r="F44" s="1">
        <f>IFERROR(__xludf.DUMMYFUNCTION("""COMPUTED_VALUE"""),779.8)</f>
        <v>779.8</v>
      </c>
      <c r="G44" s="1"/>
      <c r="H44" s="29">
        <f t="shared" si="3"/>
        <v>1.726724801</v>
      </c>
      <c r="I44" s="1">
        <f t="shared" si="4"/>
        <v>566.7</v>
      </c>
      <c r="J44" s="113">
        <f t="shared" si="5"/>
        <v>-0.486454958</v>
      </c>
      <c r="K44" s="65">
        <f t="shared" si="6"/>
        <v>1287.51</v>
      </c>
      <c r="L44" s="25">
        <f t="shared" si="7"/>
        <v>0.04380987746</v>
      </c>
      <c r="M44" s="65">
        <f t="shared" si="8"/>
        <v>762.5325</v>
      </c>
      <c r="N44" s="25">
        <f t="shared" si="9"/>
        <v>0.02214349833</v>
      </c>
      <c r="O44" s="25">
        <f t="shared" si="10"/>
        <v>0.02166637913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12">
        <f>IFERROR(__xludf.DUMMYFUNCTION("""COMPUTED_VALUE"""),46195.64583333333)</f>
        <v>46195.64583</v>
      </c>
      <c r="C45" s="1">
        <f>IFERROR(__xludf.DUMMYFUNCTION("""COMPUTED_VALUE"""),1352.4)</f>
        <v>1352.4</v>
      </c>
      <c r="D45" s="1"/>
      <c r="E45" s="112">
        <f>IFERROR(__xludf.DUMMYFUNCTION("""COMPUTED_VALUE"""),46195.64583333333)</f>
        <v>46195.64583</v>
      </c>
      <c r="F45" s="1">
        <f>IFERROR(__xludf.DUMMYFUNCTION("""COMPUTED_VALUE"""),786.4)</f>
        <v>786.4</v>
      </c>
      <c r="G45" s="1"/>
      <c r="H45" s="29">
        <f t="shared" si="3"/>
        <v>1.719735504</v>
      </c>
      <c r="I45" s="1">
        <f t="shared" si="4"/>
        <v>566</v>
      </c>
      <c r="J45" s="113">
        <f t="shared" si="5"/>
        <v>-0.4948945662</v>
      </c>
      <c r="K45" s="65">
        <f t="shared" si="6"/>
        <v>1291.915</v>
      </c>
      <c r="L45" s="25">
        <f t="shared" si="7"/>
        <v>0.04472419403</v>
      </c>
      <c r="M45" s="65">
        <f t="shared" si="8"/>
        <v>763.5125</v>
      </c>
      <c r="N45" s="25">
        <f t="shared" si="9"/>
        <v>0.02910414547</v>
      </c>
      <c r="O45" s="25">
        <f t="shared" si="10"/>
        <v>0.01562004855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12">
        <f>IFERROR(__xludf.DUMMYFUNCTION("""COMPUTED_VALUE"""),46196.64583333333)</f>
        <v>46196.64583</v>
      </c>
      <c r="C46" s="1">
        <f>IFERROR(__xludf.DUMMYFUNCTION("""COMPUTED_VALUE"""),1338.3)</f>
        <v>1338.3</v>
      </c>
      <c r="D46" s="1"/>
      <c r="E46" s="112">
        <f>IFERROR(__xludf.DUMMYFUNCTION("""COMPUTED_VALUE"""),46196.64583333333)</f>
        <v>46196.64583</v>
      </c>
      <c r="F46" s="1">
        <f>IFERROR(__xludf.DUMMYFUNCTION("""COMPUTED_VALUE"""),774.65)</f>
        <v>774.65</v>
      </c>
      <c r="G46" s="1"/>
      <c r="H46" s="29">
        <f t="shared" si="3"/>
        <v>1.727618925</v>
      </c>
      <c r="I46" s="1">
        <f t="shared" si="4"/>
        <v>563.65</v>
      </c>
      <c r="J46" s="113">
        <f t="shared" si="5"/>
        <v>-0.5232275365</v>
      </c>
      <c r="K46" s="65">
        <f t="shared" si="6"/>
        <v>1294.24</v>
      </c>
      <c r="L46" s="25">
        <f t="shared" si="7"/>
        <v>0.03292236419</v>
      </c>
      <c r="M46" s="65">
        <f t="shared" si="8"/>
        <v>762.9025</v>
      </c>
      <c r="N46" s="25">
        <f t="shared" si="9"/>
        <v>0.01516491319</v>
      </c>
      <c r="O46" s="25">
        <f t="shared" si="10"/>
        <v>0.01775745101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12">
        <f>IFERROR(__xludf.DUMMYFUNCTION("""COMPUTED_VALUE"""),46197.64583333333)</f>
        <v>46197.64583</v>
      </c>
      <c r="C47" s="1">
        <f>IFERROR(__xludf.DUMMYFUNCTION("""COMPUTED_VALUE"""),1373.6)</f>
        <v>1373.6</v>
      </c>
      <c r="D47" s="1"/>
      <c r="E47" s="112">
        <f>IFERROR(__xludf.DUMMYFUNCTION("""COMPUTED_VALUE"""),46197.64583333333)</f>
        <v>46197.64583</v>
      </c>
      <c r="F47" s="1">
        <f>IFERROR(__xludf.DUMMYFUNCTION("""COMPUTED_VALUE"""),793.2)</f>
        <v>793.2</v>
      </c>
      <c r="G47" s="1"/>
      <c r="H47" s="29">
        <f t="shared" si="3"/>
        <v>1.731719617</v>
      </c>
      <c r="I47" s="1">
        <f t="shared" si="4"/>
        <v>580.4</v>
      </c>
      <c r="J47" s="113">
        <f t="shared" si="5"/>
        <v>-0.3212797697</v>
      </c>
      <c r="K47" s="65">
        <f t="shared" si="6"/>
        <v>1298.965</v>
      </c>
      <c r="L47" s="25">
        <f t="shared" si="7"/>
        <v>0.05433532324</v>
      </c>
      <c r="M47" s="65">
        <f t="shared" si="8"/>
        <v>763.6175</v>
      </c>
      <c r="N47" s="25">
        <f t="shared" si="9"/>
        <v>0.03729513364</v>
      </c>
      <c r="O47" s="25">
        <f t="shared" si="10"/>
        <v>0.0170401896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12">
        <f>IFERROR(__xludf.DUMMYFUNCTION("""COMPUTED_VALUE"""),46198.64583333333)</f>
        <v>46198.64583</v>
      </c>
      <c r="C48" s="1">
        <f>IFERROR(__xludf.DUMMYFUNCTION("""COMPUTED_VALUE"""),1387.5)</f>
        <v>1387.5</v>
      </c>
      <c r="D48" s="1"/>
      <c r="E48" s="112">
        <f>IFERROR(__xludf.DUMMYFUNCTION("""COMPUTED_VALUE"""),46198.64583333333)</f>
        <v>46198.64583</v>
      </c>
      <c r="F48" s="1">
        <f>IFERROR(__xludf.DUMMYFUNCTION("""COMPUTED_VALUE"""),796.3)</f>
        <v>796.3</v>
      </c>
      <c r="G48" s="1"/>
      <c r="H48" s="29">
        <f t="shared" si="3"/>
        <v>1.742433756</v>
      </c>
      <c r="I48" s="1">
        <f t="shared" si="4"/>
        <v>591.2</v>
      </c>
      <c r="J48" s="113">
        <f t="shared" si="5"/>
        <v>-0.1910686724</v>
      </c>
      <c r="K48" s="65">
        <f t="shared" si="6"/>
        <v>1304.705</v>
      </c>
      <c r="L48" s="25">
        <f t="shared" si="7"/>
        <v>0.05967207207</v>
      </c>
      <c r="M48" s="65">
        <f t="shared" si="8"/>
        <v>765.5</v>
      </c>
      <c r="N48" s="25">
        <f t="shared" si="9"/>
        <v>0.03867888987</v>
      </c>
      <c r="O48" s="25">
        <f t="shared" si="10"/>
        <v>0.02099318221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12">
        <f>IFERROR(__xludf.DUMMYFUNCTION("""COMPUTED_VALUE"""),46202.64583333333)</f>
        <v>46202.64583</v>
      </c>
      <c r="C49" s="1">
        <f>IFERROR(__xludf.DUMMYFUNCTION("""COMPUTED_VALUE"""),1387.6)</f>
        <v>1387.6</v>
      </c>
      <c r="D49" s="1"/>
      <c r="E49" s="112">
        <f>IFERROR(__xludf.DUMMYFUNCTION("""COMPUTED_VALUE"""),46202.64583333333)</f>
        <v>46202.64583</v>
      </c>
      <c r="F49" s="1">
        <f>IFERROR(__xludf.DUMMYFUNCTION("""COMPUTED_VALUE"""),798.9)</f>
        <v>798.9</v>
      </c>
      <c r="G49" s="1"/>
      <c r="H49" s="29">
        <f t="shared" si="3"/>
        <v>1.736888221</v>
      </c>
      <c r="I49" s="1">
        <f t="shared" si="4"/>
        <v>588.7</v>
      </c>
      <c r="J49" s="113">
        <f t="shared" si="5"/>
        <v>-0.2212101301</v>
      </c>
      <c r="K49" s="65">
        <f t="shared" si="6"/>
        <v>1311.265</v>
      </c>
      <c r="L49" s="25">
        <f t="shared" si="7"/>
        <v>0.05501225137</v>
      </c>
      <c r="M49" s="65">
        <f t="shared" si="8"/>
        <v>768.2175</v>
      </c>
      <c r="N49" s="25">
        <f t="shared" si="9"/>
        <v>0.03840593316</v>
      </c>
      <c r="O49" s="25">
        <f t="shared" si="10"/>
        <v>0.01660631821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12">
        <f>IFERROR(__xludf.DUMMYFUNCTION("""COMPUTED_VALUE"""),46203.64583333333)</f>
        <v>46203.64583</v>
      </c>
      <c r="C50" s="1">
        <f>IFERROR(__xludf.DUMMYFUNCTION("""COMPUTED_VALUE"""),1375.2)</f>
        <v>1375.2</v>
      </c>
      <c r="D50" s="1"/>
      <c r="E50" s="112">
        <f>IFERROR(__xludf.DUMMYFUNCTION("""COMPUTED_VALUE"""),46203.64583333333)</f>
        <v>46203.64583</v>
      </c>
      <c r="F50" s="1">
        <f>IFERROR(__xludf.DUMMYFUNCTION("""COMPUTED_VALUE"""),797.95)</f>
        <v>797.95</v>
      </c>
      <c r="G50" s="1"/>
      <c r="H50" s="29">
        <f t="shared" si="3"/>
        <v>1.723416254</v>
      </c>
      <c r="I50" s="1">
        <f t="shared" si="4"/>
        <v>577.25</v>
      </c>
      <c r="J50" s="113">
        <f t="shared" si="5"/>
        <v>-0.3592580065</v>
      </c>
      <c r="K50" s="65">
        <f t="shared" si="6"/>
        <v>1318.04</v>
      </c>
      <c r="L50" s="25">
        <f t="shared" si="7"/>
        <v>0.04156486329</v>
      </c>
      <c r="M50" s="65">
        <f t="shared" si="8"/>
        <v>770.98</v>
      </c>
      <c r="N50" s="25">
        <f t="shared" si="9"/>
        <v>0.03379911022</v>
      </c>
      <c r="O50" s="25">
        <f t="shared" si="10"/>
        <v>0.007765753073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12">
        <f>IFERROR(__xludf.DUMMYFUNCTION("""COMPUTED_VALUE"""),46204.64583333333)</f>
        <v>46204.64583</v>
      </c>
      <c r="C51" s="1">
        <f>IFERROR(__xludf.DUMMYFUNCTION("""COMPUTED_VALUE"""),1379.8)</f>
        <v>1379.8</v>
      </c>
      <c r="D51" s="1"/>
      <c r="E51" s="112">
        <f>IFERROR(__xludf.DUMMYFUNCTION("""COMPUTED_VALUE"""),46204.64583333333)</f>
        <v>46204.64583</v>
      </c>
      <c r="F51" s="1">
        <f>IFERROR(__xludf.DUMMYFUNCTION("""COMPUTED_VALUE"""),796.15)</f>
        <v>796.15</v>
      </c>
      <c r="G51" s="1"/>
      <c r="H51" s="29">
        <f t="shared" si="3"/>
        <v>1.733090498</v>
      </c>
      <c r="I51" s="1">
        <f t="shared" si="4"/>
        <v>583.65</v>
      </c>
      <c r="J51" s="113">
        <f t="shared" si="5"/>
        <v>-0.2820958747</v>
      </c>
      <c r="K51" s="65">
        <f t="shared" si="6"/>
        <v>1325.7</v>
      </c>
      <c r="L51" s="25">
        <f t="shared" si="7"/>
        <v>0.03920858095</v>
      </c>
      <c r="M51" s="65">
        <f t="shared" si="8"/>
        <v>773.375</v>
      </c>
      <c r="N51" s="25">
        <f t="shared" si="9"/>
        <v>0.02860641839</v>
      </c>
      <c r="O51" s="25">
        <f t="shared" si="10"/>
        <v>0.01060216257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12">
        <f>IFERROR(__xludf.DUMMYFUNCTION("""COMPUTED_VALUE"""),46205.64583333333)</f>
        <v>46205.64583</v>
      </c>
      <c r="C52" s="1">
        <f>IFERROR(__xludf.DUMMYFUNCTION("""COMPUTED_VALUE"""),1400.0)</f>
        <v>1400</v>
      </c>
      <c r="D52" s="1"/>
      <c r="E52" s="112">
        <f>IFERROR(__xludf.DUMMYFUNCTION("""COMPUTED_VALUE"""),46205.64583333333)</f>
        <v>46205.64583</v>
      </c>
      <c r="F52" s="1">
        <f>IFERROR(__xludf.DUMMYFUNCTION("""COMPUTED_VALUE"""),795.9)</f>
        <v>795.9</v>
      </c>
      <c r="G52" s="1"/>
      <c r="H52" s="29">
        <f t="shared" si="3"/>
        <v>1.759014952</v>
      </c>
      <c r="I52" s="1">
        <f t="shared" si="4"/>
        <v>604.1</v>
      </c>
      <c r="J52" s="113">
        <f t="shared" si="5"/>
        <v>-0.03553875052</v>
      </c>
      <c r="K52" s="65">
        <f t="shared" si="6"/>
        <v>1333.6</v>
      </c>
      <c r="L52" s="25">
        <f t="shared" si="7"/>
        <v>0.04742857143</v>
      </c>
      <c r="M52" s="65">
        <f t="shared" si="8"/>
        <v>775.4875</v>
      </c>
      <c r="N52" s="25">
        <f t="shared" si="9"/>
        <v>0.02564706621</v>
      </c>
      <c r="O52" s="25">
        <f t="shared" si="10"/>
        <v>0.02178150521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12">
        <f>IFERROR(__xludf.DUMMYFUNCTION("""COMPUTED_VALUE"""),46206.64583333333)</f>
        <v>46206.64583</v>
      </c>
      <c r="C53" s="1">
        <f>IFERROR(__xludf.DUMMYFUNCTION("""COMPUTED_VALUE"""),1411.4)</f>
        <v>1411.4</v>
      </c>
      <c r="D53" s="1"/>
      <c r="E53" s="112">
        <f>IFERROR(__xludf.DUMMYFUNCTION("""COMPUTED_VALUE"""),46206.64583333333)</f>
        <v>46206.64583</v>
      </c>
      <c r="F53" s="1">
        <f>IFERROR(__xludf.DUMMYFUNCTION("""COMPUTED_VALUE"""),801.05)</f>
        <v>801.05</v>
      </c>
      <c r="G53" s="1"/>
      <c r="H53" s="29">
        <f t="shared" si="3"/>
        <v>1.761937457</v>
      </c>
      <c r="I53" s="1">
        <f t="shared" si="4"/>
        <v>610.35</v>
      </c>
      <c r="J53" s="113">
        <f t="shared" si="5"/>
        <v>0.03981489378</v>
      </c>
      <c r="K53" s="65">
        <f t="shared" si="6"/>
        <v>1341.585</v>
      </c>
      <c r="L53" s="25">
        <f t="shared" si="7"/>
        <v>0.04946507014</v>
      </c>
      <c r="M53" s="65">
        <f t="shared" si="8"/>
        <v>777.83</v>
      </c>
      <c r="N53" s="25">
        <f t="shared" si="9"/>
        <v>0.02898695462</v>
      </c>
      <c r="O53" s="25">
        <f t="shared" si="10"/>
        <v>0.02047811552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12">
        <f>IFERROR(__xludf.DUMMYFUNCTION("""COMPUTED_VALUE"""),46209.64583333333)</f>
        <v>46209.64583</v>
      </c>
      <c r="C54" s="1">
        <f>IFERROR(__xludf.DUMMYFUNCTION("""COMPUTED_VALUE"""),1426.9)</f>
        <v>1426.9</v>
      </c>
      <c r="D54" s="1"/>
      <c r="E54" s="112">
        <f>IFERROR(__xludf.DUMMYFUNCTION("""COMPUTED_VALUE"""),46209.64583333333)</f>
        <v>46209.64583</v>
      </c>
      <c r="F54" s="1">
        <f>IFERROR(__xludf.DUMMYFUNCTION("""COMPUTED_VALUE"""),829.85)</f>
        <v>829.85</v>
      </c>
      <c r="G54" s="1"/>
      <c r="H54" s="29">
        <f t="shared" si="3"/>
        <v>1.719467374</v>
      </c>
      <c r="I54" s="1">
        <f t="shared" si="4"/>
        <v>597.05</v>
      </c>
      <c r="J54" s="113">
        <f t="shared" si="5"/>
        <v>-0.1205376613</v>
      </c>
      <c r="K54" s="65">
        <f t="shared" si="6"/>
        <v>1349.825</v>
      </c>
      <c r="L54" s="25">
        <f t="shared" si="7"/>
        <v>0.05401569837</v>
      </c>
      <c r="M54" s="65">
        <f t="shared" si="8"/>
        <v>781.97</v>
      </c>
      <c r="N54" s="25">
        <f t="shared" si="9"/>
        <v>0.05769717419</v>
      </c>
      <c r="O54" s="25">
        <f t="shared" si="10"/>
        <v>-0.003681475821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12">
        <f>IFERROR(__xludf.DUMMYFUNCTION("""COMPUTED_VALUE"""),46210.64583333333)</f>
        <v>46210.64583</v>
      </c>
      <c r="C55" s="1">
        <f>IFERROR(__xludf.DUMMYFUNCTION("""COMPUTED_VALUE"""),1414.7)</f>
        <v>1414.7</v>
      </c>
      <c r="D55" s="1"/>
      <c r="E55" s="112">
        <f>IFERROR(__xludf.DUMMYFUNCTION("""COMPUTED_VALUE"""),46210.64583333333)</f>
        <v>46210.64583</v>
      </c>
      <c r="F55" s="1">
        <f>IFERROR(__xludf.DUMMYFUNCTION("""COMPUTED_VALUE"""),829.3)</f>
        <v>829.3</v>
      </c>
      <c r="G55" s="1"/>
      <c r="H55" s="29">
        <f t="shared" si="3"/>
        <v>1.705896539</v>
      </c>
      <c r="I55" s="1">
        <f t="shared" si="4"/>
        <v>585.4</v>
      </c>
      <c r="J55" s="113">
        <f t="shared" si="5"/>
        <v>-0.2609968543</v>
      </c>
      <c r="K55" s="65">
        <f t="shared" si="6"/>
        <v>1358.05</v>
      </c>
      <c r="L55" s="25">
        <f t="shared" si="7"/>
        <v>0.04004382555</v>
      </c>
      <c r="M55" s="65">
        <f t="shared" si="8"/>
        <v>786.5025</v>
      </c>
      <c r="N55" s="25">
        <f t="shared" si="9"/>
        <v>0.0516067768</v>
      </c>
      <c r="O55" s="25">
        <f t="shared" si="10"/>
        <v>-0.01156295125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12">
        <f>IFERROR(__xludf.DUMMYFUNCTION("""COMPUTED_VALUE"""),46211.64583333333)</f>
        <v>46211.64583</v>
      </c>
      <c r="C56" s="1">
        <f>IFERROR(__xludf.DUMMYFUNCTION("""COMPUTED_VALUE"""),1380.6)</f>
        <v>1380.6</v>
      </c>
      <c r="D56" s="1"/>
      <c r="E56" s="112">
        <f>IFERROR(__xludf.DUMMYFUNCTION("""COMPUTED_VALUE"""),46211.64583333333)</f>
        <v>46211.64583</v>
      </c>
      <c r="F56" s="1">
        <f>IFERROR(__xludf.DUMMYFUNCTION("""COMPUTED_VALUE"""),810.3)</f>
        <v>810.3</v>
      </c>
      <c r="G56" s="1"/>
      <c r="H56" s="29">
        <f t="shared" si="3"/>
        <v>1.703813402</v>
      </c>
      <c r="I56" s="1">
        <f t="shared" si="4"/>
        <v>570.3</v>
      </c>
      <c r="J56" s="113">
        <f t="shared" si="5"/>
        <v>-0.4430512589</v>
      </c>
      <c r="K56" s="65">
        <f t="shared" si="6"/>
        <v>1363.33</v>
      </c>
      <c r="L56" s="25">
        <f t="shared" si="7"/>
        <v>0.01250905403</v>
      </c>
      <c r="M56" s="65">
        <f t="shared" si="8"/>
        <v>790.1</v>
      </c>
      <c r="N56" s="25">
        <f t="shared" si="9"/>
        <v>0.02492903863</v>
      </c>
      <c r="O56" s="25">
        <f t="shared" si="10"/>
        <v>-0.01241998459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12">
        <f>IFERROR(__xludf.DUMMYFUNCTION("""COMPUTED_VALUE"""),46212.64583333333)</f>
        <v>46212.64583</v>
      </c>
      <c r="C57" s="1">
        <f>IFERROR(__xludf.DUMMYFUNCTION("""COMPUTED_VALUE"""),1380.7)</f>
        <v>1380.7</v>
      </c>
      <c r="D57" s="1"/>
      <c r="E57" s="112">
        <f>IFERROR(__xludf.DUMMYFUNCTION("""COMPUTED_VALUE"""),46212.64583333333)</f>
        <v>46212.64583</v>
      </c>
      <c r="F57" s="1">
        <f>IFERROR(__xludf.DUMMYFUNCTION("""COMPUTED_VALUE"""),817.55)</f>
        <v>817.55</v>
      </c>
      <c r="G57" s="1"/>
      <c r="H57" s="29">
        <f t="shared" si="3"/>
        <v>1.688826371</v>
      </c>
      <c r="I57" s="1">
        <f t="shared" si="4"/>
        <v>563.15</v>
      </c>
      <c r="J57" s="113">
        <f t="shared" si="5"/>
        <v>-0.529255828</v>
      </c>
      <c r="K57" s="65">
        <f t="shared" si="6"/>
        <v>1367.7</v>
      </c>
      <c r="L57" s="25">
        <f t="shared" si="7"/>
        <v>0.00941551387</v>
      </c>
      <c r="M57" s="65">
        <f t="shared" si="8"/>
        <v>793.635</v>
      </c>
      <c r="N57" s="25">
        <f t="shared" si="9"/>
        <v>0.02925203351</v>
      </c>
      <c r="O57" s="25">
        <f t="shared" si="10"/>
        <v>-0.01983651964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12">
        <f>IFERROR(__xludf.DUMMYFUNCTION("""COMPUTED_VALUE"""),46213.64583333333)</f>
        <v>46213.64583</v>
      </c>
      <c r="C58" s="1">
        <f>IFERROR(__xludf.DUMMYFUNCTION("""COMPUTED_VALUE"""),1401.2)</f>
        <v>1401.2</v>
      </c>
      <c r="D58" s="1"/>
      <c r="E58" s="112">
        <f>IFERROR(__xludf.DUMMYFUNCTION("""COMPUTED_VALUE"""),46213.64583333333)</f>
        <v>46213.64583</v>
      </c>
      <c r="F58" s="1">
        <f>IFERROR(__xludf.DUMMYFUNCTION("""COMPUTED_VALUE"""),824.95)</f>
        <v>824.95</v>
      </c>
      <c r="G58" s="1"/>
      <c r="H58" s="29">
        <f t="shared" si="3"/>
        <v>1.698527183</v>
      </c>
      <c r="I58" s="1">
        <f t="shared" si="4"/>
        <v>576.25</v>
      </c>
      <c r="J58" s="113">
        <f t="shared" si="5"/>
        <v>-0.3713145895</v>
      </c>
      <c r="K58" s="65">
        <f t="shared" si="6"/>
        <v>1371.91</v>
      </c>
      <c r="L58" s="25">
        <f t="shared" si="7"/>
        <v>0.02090351128</v>
      </c>
      <c r="M58" s="65">
        <f t="shared" si="8"/>
        <v>797.6525</v>
      </c>
      <c r="N58" s="25">
        <f t="shared" si="9"/>
        <v>0.03308988424</v>
      </c>
      <c r="O58" s="25">
        <f t="shared" si="10"/>
        <v>-0.01218637296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12">
        <f>IFERROR(__xludf.DUMMYFUNCTION("""COMPUTED_VALUE"""),46216.64583333333)</f>
        <v>46216.64583</v>
      </c>
      <c r="C59" s="1">
        <f>IFERROR(__xludf.DUMMYFUNCTION("""COMPUTED_VALUE"""),1409.5)</f>
        <v>1409.5</v>
      </c>
      <c r="D59" s="1"/>
      <c r="E59" s="112">
        <f>IFERROR(__xludf.DUMMYFUNCTION("""COMPUTED_VALUE"""),46216.64583333333)</f>
        <v>46216.64583</v>
      </c>
      <c r="F59" s="1">
        <f>IFERROR(__xludf.DUMMYFUNCTION("""COMPUTED_VALUE"""),817.95)</f>
        <v>817.95</v>
      </c>
      <c r="G59" s="1"/>
      <c r="H59" s="29">
        <f t="shared" si="3"/>
        <v>1.723210465</v>
      </c>
      <c r="I59" s="1">
        <f t="shared" si="4"/>
        <v>591.55</v>
      </c>
      <c r="J59" s="113">
        <f t="shared" si="5"/>
        <v>-0.1868488683</v>
      </c>
      <c r="K59" s="65">
        <f t="shared" si="6"/>
        <v>1375.345</v>
      </c>
      <c r="L59" s="25">
        <f t="shared" si="7"/>
        <v>0.02423199716</v>
      </c>
      <c r="M59" s="65">
        <f t="shared" si="8"/>
        <v>799.9275</v>
      </c>
      <c r="N59" s="25">
        <f t="shared" si="9"/>
        <v>0.02203374289</v>
      </c>
      <c r="O59" s="25">
        <f t="shared" si="10"/>
        <v>0.002198254268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12">
        <f>IFERROR(__xludf.DUMMYFUNCTION("""COMPUTED_VALUE"""),46217.64583333333)</f>
        <v>46217.64583</v>
      </c>
      <c r="C60" s="1">
        <f>IFERROR(__xludf.DUMMYFUNCTION("""COMPUTED_VALUE"""),1407.7)</f>
        <v>1407.7</v>
      </c>
      <c r="D60" s="1"/>
      <c r="E60" s="112">
        <f>IFERROR(__xludf.DUMMYFUNCTION("""COMPUTED_VALUE"""),46217.64583333333)</f>
        <v>46217.64583</v>
      </c>
      <c r="F60" s="1">
        <f>IFERROR(__xludf.DUMMYFUNCTION("""COMPUTED_VALUE"""),809.4)</f>
        <v>809.4</v>
      </c>
      <c r="G60" s="1"/>
      <c r="H60" s="29">
        <f t="shared" si="3"/>
        <v>1.739189523</v>
      </c>
      <c r="I60" s="1">
        <f t="shared" si="4"/>
        <v>598.3</v>
      </c>
      <c r="J60" s="113">
        <f t="shared" si="5"/>
        <v>-0.1054669324</v>
      </c>
      <c r="K60" s="65">
        <f t="shared" si="6"/>
        <v>1379.35</v>
      </c>
      <c r="L60" s="25">
        <f t="shared" si="7"/>
        <v>0.02013923421</v>
      </c>
      <c r="M60" s="65">
        <f t="shared" si="8"/>
        <v>801.53</v>
      </c>
      <c r="N60" s="25">
        <f t="shared" si="9"/>
        <v>0.009723251791</v>
      </c>
      <c r="O60" s="25">
        <f t="shared" si="10"/>
        <v>0.01041598242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12">
        <f>IFERROR(__xludf.DUMMYFUNCTION("""COMPUTED_VALUE"""),46218.64583333333)</f>
        <v>46218.64583</v>
      </c>
      <c r="C61" s="1">
        <f>IFERROR(__xludf.DUMMYFUNCTION("""COMPUTED_VALUE"""),1416.2)</f>
        <v>1416.2</v>
      </c>
      <c r="D61" s="1"/>
      <c r="E61" s="112">
        <f>IFERROR(__xludf.DUMMYFUNCTION("""COMPUTED_VALUE"""),46218.64583333333)</f>
        <v>46218.64583</v>
      </c>
      <c r="F61" s="1">
        <f>IFERROR(__xludf.DUMMYFUNCTION("""COMPUTED_VALUE"""),815.45)</f>
        <v>815.45</v>
      </c>
      <c r="G61" s="1"/>
      <c r="H61" s="29">
        <f t="shared" si="3"/>
        <v>1.736709792</v>
      </c>
      <c r="I61" s="1">
        <f t="shared" si="4"/>
        <v>600.75</v>
      </c>
      <c r="J61" s="113">
        <f t="shared" si="5"/>
        <v>-0.07592830387</v>
      </c>
      <c r="K61" s="65">
        <f t="shared" si="6"/>
        <v>1383.445</v>
      </c>
      <c r="L61" s="25">
        <f t="shared" si="7"/>
        <v>0.02312879537</v>
      </c>
      <c r="M61" s="65">
        <f t="shared" si="8"/>
        <v>803.0575</v>
      </c>
      <c r="N61" s="25">
        <f t="shared" si="9"/>
        <v>0.01519713042</v>
      </c>
      <c r="O61" s="25">
        <f t="shared" si="10"/>
        <v>0.007931664949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12">
        <f>IFERROR(__xludf.DUMMYFUNCTION("""COMPUTED_VALUE"""),46219.64583333333)</f>
        <v>46219.64583</v>
      </c>
      <c r="C62" s="1">
        <f>IFERROR(__xludf.DUMMYFUNCTION("""COMPUTED_VALUE"""),1418.2)</f>
        <v>1418.2</v>
      </c>
      <c r="D62" s="1"/>
      <c r="E62" s="112">
        <f>IFERROR(__xludf.DUMMYFUNCTION("""COMPUTED_VALUE"""),46219.64583333333)</f>
        <v>46219.64583</v>
      </c>
      <c r="F62" s="1">
        <f>IFERROR(__xludf.DUMMYFUNCTION("""COMPUTED_VALUE"""),808.3)</f>
        <v>808.3</v>
      </c>
      <c r="G62" s="1"/>
      <c r="H62" s="29">
        <f t="shared" si="3"/>
        <v>1.754546579</v>
      </c>
      <c r="I62" s="1">
        <f t="shared" si="4"/>
        <v>609.9</v>
      </c>
      <c r="J62" s="113">
        <f t="shared" si="5"/>
        <v>0.03438943139</v>
      </c>
      <c r="K62" s="65">
        <f t="shared" si="6"/>
        <v>1387.515</v>
      </c>
      <c r="L62" s="25">
        <f t="shared" si="7"/>
        <v>0.02163658158</v>
      </c>
      <c r="M62" s="65">
        <f t="shared" si="8"/>
        <v>804.1175</v>
      </c>
      <c r="N62" s="25">
        <f t="shared" si="9"/>
        <v>0.005174440183</v>
      </c>
      <c r="O62" s="25">
        <f t="shared" si="10"/>
        <v>0.0164621414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12">
        <f>IFERROR(__xludf.DUMMYFUNCTION("""COMPUTED_VALUE"""),46220.64583333333)</f>
        <v>46220.64583</v>
      </c>
      <c r="C63" s="1">
        <f>IFERROR(__xludf.DUMMYFUNCTION("""COMPUTED_VALUE"""),1444.3)</f>
        <v>1444.3</v>
      </c>
      <c r="D63" s="1"/>
      <c r="E63" s="112">
        <f>IFERROR(__xludf.DUMMYFUNCTION("""COMPUTED_VALUE"""),46220.64583333333)</f>
        <v>46220.64583</v>
      </c>
      <c r="F63" s="1">
        <f>IFERROR(__xludf.DUMMYFUNCTION("""COMPUTED_VALUE"""),819.6)</f>
        <v>819.6</v>
      </c>
      <c r="G63" s="1"/>
      <c r="H63" s="29">
        <f t="shared" si="3"/>
        <v>1.762201074</v>
      </c>
      <c r="I63" s="1">
        <f t="shared" si="4"/>
        <v>624.7</v>
      </c>
      <c r="J63" s="113">
        <f t="shared" si="5"/>
        <v>0.2128268611</v>
      </c>
      <c r="K63" s="65">
        <f t="shared" si="6"/>
        <v>1392.615</v>
      </c>
      <c r="L63" s="25">
        <f t="shared" si="7"/>
        <v>0.03578550163</v>
      </c>
      <c r="M63" s="65">
        <f t="shared" si="8"/>
        <v>805.1475</v>
      </c>
      <c r="N63" s="25">
        <f t="shared" si="9"/>
        <v>0.01763360176</v>
      </c>
      <c r="O63" s="25">
        <f t="shared" si="10"/>
        <v>0.01815189987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7">
        <v>30.0</v>
      </c>
      <c r="B64" s="112">
        <f>IFERROR(__xludf.DUMMYFUNCTION("""COMPUTED_VALUE"""),46223.64583333333)</f>
        <v>46223.64583</v>
      </c>
      <c r="C64" s="1">
        <f>IFERROR(__xludf.DUMMYFUNCTION("""COMPUTED_VALUE"""),1460.2)</f>
        <v>1460.2</v>
      </c>
      <c r="D64" s="1"/>
      <c r="E64" s="112">
        <f>IFERROR(__xludf.DUMMYFUNCTION("""COMPUTED_VALUE"""),46223.64583333333)</f>
        <v>46223.64583</v>
      </c>
      <c r="F64" s="1">
        <f>IFERROR(__xludf.DUMMYFUNCTION("""COMPUTED_VALUE"""),777.6)</f>
        <v>777.6</v>
      </c>
      <c r="G64" s="1"/>
      <c r="H64" s="29">
        <f t="shared" si="3"/>
        <v>1.877829218</v>
      </c>
      <c r="I64" s="1">
        <f t="shared" si="4"/>
        <v>682.6</v>
      </c>
      <c r="J64" s="113">
        <f t="shared" si="5"/>
        <v>0.9109030219</v>
      </c>
      <c r="K64" s="65">
        <f t="shared" si="6"/>
        <v>1398.3</v>
      </c>
      <c r="L64" s="25">
        <f t="shared" si="7"/>
        <v>0.04239145323</v>
      </c>
      <c r="M64" s="65">
        <f t="shared" si="8"/>
        <v>805.0375</v>
      </c>
      <c r="N64" s="25">
        <f t="shared" si="9"/>
        <v>-0.03528485082</v>
      </c>
      <c r="O64" s="25">
        <f t="shared" si="10"/>
        <v>0.07767630405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12">
        <f>IFERROR(__xludf.DUMMYFUNCTION("""COMPUTED_VALUE"""),46224.64583333333)</f>
        <v>46224.64583</v>
      </c>
      <c r="C65" s="1">
        <f>IFERROR(__xludf.DUMMYFUNCTION("""COMPUTED_VALUE"""),1463.1)</f>
        <v>1463.1</v>
      </c>
      <c r="D65" s="1"/>
      <c r="E65" s="112">
        <f>IFERROR(__xludf.DUMMYFUNCTION("""COMPUTED_VALUE"""),46224.64583333333)</f>
        <v>46224.64583</v>
      </c>
      <c r="F65" s="1">
        <f>IFERROR(__xludf.DUMMYFUNCTION("""COMPUTED_VALUE"""),761.45)</f>
        <v>761.45</v>
      </c>
      <c r="G65" s="1"/>
      <c r="H65" s="29">
        <f t="shared" si="3"/>
        <v>1.921465625</v>
      </c>
      <c r="I65" s="1">
        <f t="shared" si="4"/>
        <v>701.65</v>
      </c>
      <c r="J65" s="113">
        <f t="shared" si="5"/>
        <v>1.14058093</v>
      </c>
      <c r="K65" s="65">
        <f t="shared" si="6"/>
        <v>1403.835</v>
      </c>
      <c r="L65" s="25">
        <f t="shared" si="7"/>
        <v>0.04050645889</v>
      </c>
      <c r="M65" s="65">
        <f t="shared" si="8"/>
        <v>803.79</v>
      </c>
      <c r="N65" s="25">
        <f t="shared" si="9"/>
        <v>-0.0556044389</v>
      </c>
      <c r="O65" s="25">
        <f t="shared" si="10"/>
        <v>0.09611089779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12">
        <f>IFERROR(__xludf.DUMMYFUNCTION("""COMPUTED_VALUE"""),46225.64583333333)</f>
        <v>46225.64583</v>
      </c>
      <c r="C66" s="1">
        <f>IFERROR(__xludf.DUMMYFUNCTION("""COMPUTED_VALUE"""),1440.7)</f>
        <v>1440.7</v>
      </c>
      <c r="D66" s="1"/>
      <c r="E66" s="112">
        <f>IFERROR(__xludf.DUMMYFUNCTION("""COMPUTED_VALUE"""),46225.64583333333)</f>
        <v>46225.64583</v>
      </c>
      <c r="F66" s="1">
        <f>IFERROR(__xludf.DUMMYFUNCTION("""COMPUTED_VALUE"""),753.15)</f>
        <v>753.15</v>
      </c>
      <c r="G66" s="1"/>
      <c r="H66" s="29">
        <f t="shared" si="3"/>
        <v>1.912899157</v>
      </c>
      <c r="I66" s="1">
        <f t="shared" si="4"/>
        <v>687.55</v>
      </c>
      <c r="J66" s="113">
        <f t="shared" si="5"/>
        <v>0.9705831082</v>
      </c>
      <c r="K66" s="65">
        <f t="shared" si="6"/>
        <v>1408.955</v>
      </c>
      <c r="L66" s="25">
        <f t="shared" si="7"/>
        <v>0.02203442771</v>
      </c>
      <c r="M66" s="65">
        <f t="shared" si="8"/>
        <v>802.715</v>
      </c>
      <c r="N66" s="25">
        <f t="shared" si="9"/>
        <v>-0.06581026356</v>
      </c>
      <c r="O66" s="25">
        <f t="shared" si="10"/>
        <v>0.08784469127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12">
        <f>IFERROR(__xludf.DUMMYFUNCTION("""COMPUTED_VALUE"""),46226.64583333333)</f>
        <v>46226.64583</v>
      </c>
      <c r="C67" s="1">
        <f>IFERROR(__xludf.DUMMYFUNCTION("""COMPUTED_VALUE"""),1434.6)</f>
        <v>1434.6</v>
      </c>
      <c r="D67" s="1"/>
      <c r="E67" s="112">
        <f>IFERROR(__xludf.DUMMYFUNCTION("""COMPUTED_VALUE"""),46226.64583333333)</f>
        <v>46226.64583</v>
      </c>
      <c r="F67" s="1">
        <f>IFERROR(__xludf.DUMMYFUNCTION("""COMPUTED_VALUE"""),747.25)</f>
        <v>747.25</v>
      </c>
      <c r="G67" s="1"/>
      <c r="H67" s="29">
        <f t="shared" si="3"/>
        <v>1.919839411</v>
      </c>
      <c r="I67" s="1">
        <f t="shared" si="4"/>
        <v>687.35</v>
      </c>
      <c r="J67" s="113">
        <f t="shared" si="5"/>
        <v>0.9681717916</v>
      </c>
      <c r="K67" s="65">
        <f t="shared" si="6"/>
        <v>1412.005</v>
      </c>
      <c r="L67" s="25">
        <f t="shared" si="7"/>
        <v>0.01575003485</v>
      </c>
      <c r="M67" s="65">
        <f t="shared" si="8"/>
        <v>800.4175</v>
      </c>
      <c r="N67" s="25">
        <f t="shared" si="9"/>
        <v>-0.07115088658</v>
      </c>
      <c r="O67" s="25">
        <f t="shared" si="10"/>
        <v>0.08690092144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12">
        <f>IFERROR(__xludf.DUMMYFUNCTION("""COMPUTED_VALUE"""),46227.64583333333)</f>
        <v>46227.64583</v>
      </c>
      <c r="C68" s="1">
        <f>IFERROR(__xludf.DUMMYFUNCTION("""COMPUTED_VALUE"""),1432.9)</f>
        <v>1432.9</v>
      </c>
      <c r="D68" s="1"/>
      <c r="E68" s="112">
        <f>IFERROR(__xludf.DUMMYFUNCTION("""COMPUTED_VALUE"""),46227.64583333333)</f>
        <v>46227.64583</v>
      </c>
      <c r="F68" s="1">
        <f>IFERROR(__xludf.DUMMYFUNCTION("""COMPUTED_VALUE"""),742.8)</f>
        <v>742.8</v>
      </c>
      <c r="G68" s="1"/>
      <c r="H68" s="29">
        <f t="shared" si="3"/>
        <v>1.929052235</v>
      </c>
      <c r="I68" s="1">
        <f t="shared" si="4"/>
        <v>690.1</v>
      </c>
      <c r="J68" s="113">
        <f t="shared" si="5"/>
        <v>1.001327395</v>
      </c>
      <c r="K68" s="65">
        <f t="shared" si="6"/>
        <v>1414.275</v>
      </c>
      <c r="L68" s="25">
        <f t="shared" si="7"/>
        <v>0.01299811571</v>
      </c>
      <c r="M68" s="65">
        <f t="shared" si="8"/>
        <v>797.7425</v>
      </c>
      <c r="N68" s="25">
        <f t="shared" si="9"/>
        <v>-0.07396674744</v>
      </c>
      <c r="O68" s="25">
        <f t="shared" si="10"/>
        <v>0.08696486315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12">
        <f>IFERROR(__xludf.DUMMYFUNCTION("""COMPUTED_VALUE"""),46230.64583333333)</f>
        <v>46230.64583</v>
      </c>
      <c r="C69" s="1">
        <f>IFERROR(__xludf.DUMMYFUNCTION("""COMPUTED_VALUE"""),1445.7)</f>
        <v>1445.7</v>
      </c>
      <c r="D69" s="1"/>
      <c r="E69" s="112">
        <f>IFERROR(__xludf.DUMMYFUNCTION("""COMPUTED_VALUE"""),46230.64583333333)</f>
        <v>46230.64583</v>
      </c>
      <c r="F69" s="1">
        <f>IFERROR(__xludf.DUMMYFUNCTION("""COMPUTED_VALUE"""),739.55)</f>
        <v>739.55</v>
      </c>
      <c r="G69" s="1"/>
      <c r="H69" s="29">
        <f t="shared" si="3"/>
        <v>1.954837401</v>
      </c>
      <c r="I69" s="1">
        <f t="shared" si="4"/>
        <v>706.15</v>
      </c>
      <c r="J69" s="113">
        <f t="shared" si="5"/>
        <v>1.194835554</v>
      </c>
      <c r="K69" s="65">
        <f t="shared" si="6"/>
        <v>1417.18</v>
      </c>
      <c r="L69" s="25">
        <f t="shared" si="7"/>
        <v>0.01972746766</v>
      </c>
      <c r="M69" s="65">
        <f t="shared" si="8"/>
        <v>794.775</v>
      </c>
      <c r="N69" s="25">
        <f t="shared" si="9"/>
        <v>-0.07467378811</v>
      </c>
      <c r="O69" s="25">
        <f t="shared" si="10"/>
        <v>0.09440125578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12">
        <f>IFERROR(__xludf.DUMMYFUNCTION("""COMPUTED_VALUE"""),46231.64583333333)</f>
        <v>46231.64583</v>
      </c>
      <c r="C70" s="1">
        <f>IFERROR(__xludf.DUMMYFUNCTION("""COMPUTED_VALUE"""),1430.8)</f>
        <v>1430.8</v>
      </c>
      <c r="D70" s="1"/>
      <c r="E70" s="112">
        <f>IFERROR(__xludf.DUMMYFUNCTION("""COMPUTED_VALUE"""),46231.64583333333)</f>
        <v>46231.64583</v>
      </c>
      <c r="F70" s="1">
        <f>IFERROR(__xludf.DUMMYFUNCTION("""COMPUTED_VALUE"""),735.4)</f>
        <v>735.4</v>
      </c>
      <c r="G70" s="1"/>
      <c r="H70" s="29">
        <f t="shared" si="3"/>
        <v>1.945607832</v>
      </c>
      <c r="I70" s="1">
        <f t="shared" si="4"/>
        <v>695.4</v>
      </c>
      <c r="J70" s="113">
        <f t="shared" si="5"/>
        <v>1.065227285</v>
      </c>
      <c r="K70" s="65">
        <f t="shared" si="6"/>
        <v>1419.96</v>
      </c>
      <c r="L70" s="25">
        <f t="shared" si="7"/>
        <v>0.007576181157</v>
      </c>
      <c r="M70" s="65">
        <f t="shared" si="8"/>
        <v>791.6475</v>
      </c>
      <c r="N70" s="25">
        <f t="shared" si="9"/>
        <v>-0.07648558608</v>
      </c>
      <c r="O70" s="25">
        <f t="shared" si="10"/>
        <v>0.08406176723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12">
        <f>IFERROR(__xludf.DUMMYFUNCTION("""COMPUTED_VALUE"""),46232.64583333333)</f>
        <v>46232.64583</v>
      </c>
      <c r="C71" s="1">
        <f>IFERROR(__xludf.DUMMYFUNCTION("""COMPUTED_VALUE"""),1437.9)</f>
        <v>1437.9</v>
      </c>
      <c r="D71" s="1"/>
      <c r="E71" s="112">
        <f>IFERROR(__xludf.DUMMYFUNCTION("""COMPUTED_VALUE"""),46232.64583333333)</f>
        <v>46232.64583</v>
      </c>
      <c r="F71" s="1">
        <f>IFERROR(__xludf.DUMMYFUNCTION("""COMPUTED_VALUE"""),748.2)</f>
        <v>748.2</v>
      </c>
      <c r="G71" s="1"/>
      <c r="H71" s="29">
        <f t="shared" si="3"/>
        <v>1.92181235</v>
      </c>
      <c r="I71" s="1">
        <f t="shared" si="4"/>
        <v>689.7</v>
      </c>
      <c r="J71" s="113">
        <f t="shared" si="5"/>
        <v>0.9965047619</v>
      </c>
      <c r="K71" s="65">
        <f t="shared" si="6"/>
        <v>1422.865</v>
      </c>
      <c r="L71" s="25">
        <f t="shared" si="7"/>
        <v>0.01045622088</v>
      </c>
      <c r="M71" s="65">
        <f t="shared" si="8"/>
        <v>789.25</v>
      </c>
      <c r="N71" s="25">
        <f t="shared" si="9"/>
        <v>-0.05486500936</v>
      </c>
      <c r="O71" s="25">
        <f t="shared" si="10"/>
        <v>0.06532123023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12">
        <f>IFERROR(__xludf.DUMMYFUNCTION("""COMPUTED_VALUE"""),46233.64583333333)</f>
        <v>46233.64583</v>
      </c>
      <c r="C72" s="1">
        <f>IFERROR(__xludf.DUMMYFUNCTION("""COMPUTED_VALUE"""),1433.9)</f>
        <v>1433.9</v>
      </c>
      <c r="D72" s="1"/>
      <c r="E72" s="112">
        <f>IFERROR(__xludf.DUMMYFUNCTION("""COMPUTED_VALUE"""),46233.64583333333)</f>
        <v>46233.64583</v>
      </c>
      <c r="F72" s="1">
        <f>IFERROR(__xludf.DUMMYFUNCTION("""COMPUTED_VALUE"""),753.95)</f>
        <v>753.95</v>
      </c>
      <c r="G72" s="1"/>
      <c r="H72" s="29">
        <f t="shared" si="3"/>
        <v>1.901850255</v>
      </c>
      <c r="I72" s="1">
        <f t="shared" si="4"/>
        <v>679.95</v>
      </c>
      <c r="J72" s="113">
        <f t="shared" si="5"/>
        <v>0.8789530767</v>
      </c>
      <c r="K72" s="65">
        <f t="shared" si="6"/>
        <v>1424.56</v>
      </c>
      <c r="L72" s="25">
        <f t="shared" si="7"/>
        <v>0.006513703885</v>
      </c>
      <c r="M72" s="65">
        <f t="shared" si="8"/>
        <v>787.1525</v>
      </c>
      <c r="N72" s="25">
        <f t="shared" si="9"/>
        <v>-0.04403806618</v>
      </c>
      <c r="O72" s="25">
        <f t="shared" si="10"/>
        <v>0.05055177007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12">
        <f>IFERROR(__xludf.DUMMYFUNCTION("""COMPUTED_VALUE"""),46234.64583333333)</f>
        <v>46234.64583</v>
      </c>
      <c r="C73" s="1">
        <f>IFERROR(__xludf.DUMMYFUNCTION("""COMPUTED_VALUE"""),1435.4)</f>
        <v>1435.4</v>
      </c>
      <c r="D73" s="1"/>
      <c r="E73" s="112">
        <f>IFERROR(__xludf.DUMMYFUNCTION("""COMPUTED_VALUE"""),46234.64583333333)</f>
        <v>46234.64583</v>
      </c>
      <c r="F73" s="1">
        <f>IFERROR(__xludf.DUMMYFUNCTION("""COMPUTED_VALUE"""),748.15)</f>
        <v>748.15</v>
      </c>
      <c r="G73" s="1"/>
      <c r="H73" s="29">
        <f t="shared" si="3"/>
        <v>1.918599211</v>
      </c>
      <c r="I73" s="1">
        <f t="shared" si="4"/>
        <v>687.25</v>
      </c>
      <c r="J73" s="113">
        <f t="shared" si="5"/>
        <v>0.9669661333</v>
      </c>
      <c r="K73" s="65">
        <f t="shared" si="6"/>
        <v>1425.76</v>
      </c>
      <c r="L73" s="25">
        <f t="shared" si="7"/>
        <v>0.006715898008</v>
      </c>
      <c r="M73" s="65">
        <f t="shared" si="8"/>
        <v>784.5075</v>
      </c>
      <c r="N73" s="25">
        <f t="shared" si="9"/>
        <v>-0.04859653813</v>
      </c>
      <c r="O73" s="25">
        <f t="shared" si="10"/>
        <v>0.05531243613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7">
        <v>20.0</v>
      </c>
      <c r="B74" s="112">
        <f>IFERROR(__xludf.DUMMYFUNCTION("""COMPUTED_VALUE"""),46237.64583333333)</f>
        <v>46237.64583</v>
      </c>
      <c r="C74" s="1">
        <f>IFERROR(__xludf.DUMMYFUNCTION("""COMPUTED_VALUE"""),1460.0)</f>
        <v>1460</v>
      </c>
      <c r="D74" s="1"/>
      <c r="E74" s="112">
        <f>IFERROR(__xludf.DUMMYFUNCTION("""COMPUTED_VALUE"""),46237.64583333333)</f>
        <v>46237.64583</v>
      </c>
      <c r="F74" s="1">
        <f>IFERROR(__xludf.DUMMYFUNCTION("""COMPUTED_VALUE"""),753.0)</f>
        <v>753</v>
      </c>
      <c r="G74" s="1"/>
      <c r="H74" s="29">
        <f t="shared" si="3"/>
        <v>1.938911023</v>
      </c>
      <c r="I74" s="1">
        <f t="shared" si="4"/>
        <v>707</v>
      </c>
      <c r="J74" s="113">
        <f t="shared" si="5"/>
        <v>1.205083649</v>
      </c>
      <c r="K74" s="65">
        <f t="shared" si="6"/>
        <v>1427.415</v>
      </c>
      <c r="L74" s="25">
        <f t="shared" si="7"/>
        <v>0.02231849315</v>
      </c>
      <c r="M74" s="65">
        <f t="shared" si="8"/>
        <v>780.665</v>
      </c>
      <c r="N74" s="25">
        <f t="shared" si="9"/>
        <v>-0.03673970784</v>
      </c>
      <c r="O74" s="25">
        <f t="shared" si="10"/>
        <v>0.05905820099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12">
        <f>IFERROR(__xludf.DUMMYFUNCTION("""COMPUTED_VALUE"""),46238.64583333333)</f>
        <v>46238.64583</v>
      </c>
      <c r="C75" s="1">
        <f>IFERROR(__xludf.DUMMYFUNCTION("""COMPUTED_VALUE"""),1454.6)</f>
        <v>1454.6</v>
      </c>
      <c r="D75" s="1"/>
      <c r="E75" s="112">
        <f>IFERROR(__xludf.DUMMYFUNCTION("""COMPUTED_VALUE"""),46238.64583333333)</f>
        <v>46238.64583</v>
      </c>
      <c r="F75" s="1">
        <f>IFERROR(__xludf.DUMMYFUNCTION("""COMPUTED_VALUE"""),742.0)</f>
        <v>742</v>
      </c>
      <c r="G75" s="1"/>
      <c r="H75" s="29">
        <f t="shared" si="3"/>
        <v>1.960377358</v>
      </c>
      <c r="I75" s="1">
        <f t="shared" si="4"/>
        <v>712.6</v>
      </c>
      <c r="J75" s="113">
        <f t="shared" si="5"/>
        <v>1.272600515</v>
      </c>
      <c r="K75" s="65">
        <f t="shared" si="6"/>
        <v>1429.41</v>
      </c>
      <c r="L75" s="25">
        <f t="shared" si="7"/>
        <v>0.01731747559</v>
      </c>
      <c r="M75" s="65">
        <f t="shared" si="8"/>
        <v>776.3</v>
      </c>
      <c r="N75" s="25">
        <f t="shared" si="9"/>
        <v>-0.04622641509</v>
      </c>
      <c r="O75" s="25">
        <f t="shared" si="10"/>
        <v>0.06354389069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12">
        <f>IFERROR(__xludf.DUMMYFUNCTION("""COMPUTED_VALUE"""),46239.64583333333)</f>
        <v>46239.64583</v>
      </c>
      <c r="C76" s="1">
        <f>IFERROR(__xludf.DUMMYFUNCTION("""COMPUTED_VALUE"""),1450.1)</f>
        <v>1450.1</v>
      </c>
      <c r="D76" s="1"/>
      <c r="E76" s="112">
        <f>IFERROR(__xludf.DUMMYFUNCTION("""COMPUTED_VALUE"""),46239.64583333333)</f>
        <v>46239.64583</v>
      </c>
      <c r="F76" s="1">
        <f>IFERROR(__xludf.DUMMYFUNCTION("""COMPUTED_VALUE"""),735.0)</f>
        <v>735</v>
      </c>
      <c r="G76" s="1"/>
      <c r="H76" s="29">
        <f t="shared" si="3"/>
        <v>1.97292517</v>
      </c>
      <c r="I76" s="1">
        <f t="shared" si="4"/>
        <v>715.1</v>
      </c>
      <c r="J76" s="113">
        <f t="shared" si="5"/>
        <v>1.302741972</v>
      </c>
      <c r="K76" s="65">
        <f t="shared" si="6"/>
        <v>1432.885</v>
      </c>
      <c r="L76" s="25">
        <f t="shared" si="7"/>
        <v>0.01187159506</v>
      </c>
      <c r="M76" s="65">
        <f t="shared" si="8"/>
        <v>772.535</v>
      </c>
      <c r="N76" s="25">
        <f t="shared" si="9"/>
        <v>-0.05106802721</v>
      </c>
      <c r="O76" s="25">
        <f t="shared" si="10"/>
        <v>0.06293962227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12">
        <f>IFERROR(__xludf.DUMMYFUNCTION("""COMPUTED_VALUE"""),46240.64583333333)</f>
        <v>46240.64583</v>
      </c>
      <c r="C77" s="1">
        <f>IFERROR(__xludf.DUMMYFUNCTION("""COMPUTED_VALUE"""),1457.5)</f>
        <v>1457.5</v>
      </c>
      <c r="D77" s="1"/>
      <c r="E77" s="112">
        <f>IFERROR(__xludf.DUMMYFUNCTION("""COMPUTED_VALUE"""),46240.64583333333)</f>
        <v>46240.64583</v>
      </c>
      <c r="F77" s="1">
        <f>IFERROR(__xludf.DUMMYFUNCTION("""COMPUTED_VALUE"""),734.3)</f>
        <v>734.3</v>
      </c>
      <c r="G77" s="1"/>
      <c r="H77" s="29">
        <f t="shared" si="3"/>
        <v>1.984883563</v>
      </c>
      <c r="I77" s="1">
        <f t="shared" si="4"/>
        <v>723.2</v>
      </c>
      <c r="J77" s="113">
        <f t="shared" si="5"/>
        <v>1.400400295</v>
      </c>
      <c r="K77" s="65">
        <f t="shared" si="6"/>
        <v>1436.725</v>
      </c>
      <c r="L77" s="25">
        <f t="shared" si="7"/>
        <v>0.01425385935</v>
      </c>
      <c r="M77" s="65">
        <f t="shared" si="8"/>
        <v>768.3725</v>
      </c>
      <c r="N77" s="25">
        <f t="shared" si="9"/>
        <v>-0.0464013346</v>
      </c>
      <c r="O77" s="25">
        <f t="shared" si="10"/>
        <v>0.06065519395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12">
        <f>IFERROR(__xludf.DUMMYFUNCTION("""COMPUTED_VALUE"""),46241.64583333333)</f>
        <v>46241.64583</v>
      </c>
      <c r="C78" s="1">
        <f>IFERROR(__xludf.DUMMYFUNCTION("""COMPUTED_VALUE"""),1421.0)</f>
        <v>1421</v>
      </c>
      <c r="D78" s="1"/>
      <c r="E78" s="112">
        <f>IFERROR(__xludf.DUMMYFUNCTION("""COMPUTED_VALUE"""),46241.64583333333)</f>
        <v>46241.64583</v>
      </c>
      <c r="F78" s="1">
        <f>IFERROR(__xludf.DUMMYFUNCTION("""COMPUTED_VALUE"""),731.0)</f>
        <v>731</v>
      </c>
      <c r="G78" s="1"/>
      <c r="H78" s="29">
        <f t="shared" si="3"/>
        <v>1.943912449</v>
      </c>
      <c r="I78" s="1">
        <f t="shared" si="4"/>
        <v>690</v>
      </c>
      <c r="J78" s="113">
        <f t="shared" si="5"/>
        <v>1.000121737</v>
      </c>
      <c r="K78" s="65">
        <f t="shared" si="6"/>
        <v>1437.715</v>
      </c>
      <c r="L78" s="25">
        <f t="shared" si="7"/>
        <v>-0.01176284307</v>
      </c>
      <c r="M78" s="65">
        <f t="shared" si="8"/>
        <v>763.675</v>
      </c>
      <c r="N78" s="25">
        <f t="shared" si="9"/>
        <v>-0.04469904241</v>
      </c>
      <c r="O78" s="25">
        <f t="shared" si="10"/>
        <v>0.03293619934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12">
        <f>IFERROR(__xludf.DUMMYFUNCTION("""COMPUTED_VALUE"""),46244.64583333333)</f>
        <v>46244.64583</v>
      </c>
      <c r="C79" s="1">
        <f>IFERROR(__xludf.DUMMYFUNCTION("""COMPUTED_VALUE"""),1431.8)</f>
        <v>1431.8</v>
      </c>
      <c r="D79" s="1"/>
      <c r="E79" s="112">
        <f>IFERROR(__xludf.DUMMYFUNCTION("""COMPUTED_VALUE"""),46244.64583333333)</f>
        <v>46244.64583</v>
      </c>
      <c r="F79" s="1">
        <f>IFERROR(__xludf.DUMMYFUNCTION("""COMPUTED_VALUE"""),731.0)</f>
        <v>731</v>
      </c>
      <c r="G79" s="1"/>
      <c r="H79" s="29">
        <f t="shared" si="3"/>
        <v>1.958686731</v>
      </c>
      <c r="I79" s="1">
        <f t="shared" si="4"/>
        <v>700.8</v>
      </c>
      <c r="J79" s="113">
        <f t="shared" si="5"/>
        <v>1.130332834</v>
      </c>
      <c r="K79" s="65">
        <f t="shared" si="6"/>
        <v>1438.83</v>
      </c>
      <c r="L79" s="25">
        <f t="shared" si="7"/>
        <v>-0.004909903618</v>
      </c>
      <c r="M79" s="65">
        <f t="shared" si="8"/>
        <v>759.3275</v>
      </c>
      <c r="N79" s="25">
        <f t="shared" si="9"/>
        <v>-0.03875170999</v>
      </c>
      <c r="O79" s="25">
        <f t="shared" si="10"/>
        <v>0.03384180637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12">
        <f>IFERROR(__xludf.DUMMYFUNCTION("""COMPUTED_VALUE"""),46245.64583333333)</f>
        <v>46245.64583</v>
      </c>
      <c r="C80" s="1">
        <f>IFERROR(__xludf.DUMMYFUNCTION("""COMPUTED_VALUE"""),1429.6)</f>
        <v>1429.6</v>
      </c>
      <c r="D80" s="1"/>
      <c r="E80" s="112">
        <f>IFERROR(__xludf.DUMMYFUNCTION("""COMPUTED_VALUE"""),46245.64583333333)</f>
        <v>46245.64583</v>
      </c>
      <c r="F80" s="1">
        <f>IFERROR(__xludf.DUMMYFUNCTION("""COMPUTED_VALUE"""),729.0)</f>
        <v>729</v>
      </c>
      <c r="G80" s="1"/>
      <c r="H80" s="29">
        <f t="shared" si="3"/>
        <v>1.961042524</v>
      </c>
      <c r="I80" s="1">
        <f t="shared" si="4"/>
        <v>700.6</v>
      </c>
      <c r="J80" s="113">
        <f t="shared" si="5"/>
        <v>1.127921518</v>
      </c>
      <c r="K80" s="65">
        <f t="shared" si="6"/>
        <v>1439.925</v>
      </c>
      <c r="L80" s="25">
        <f t="shared" si="7"/>
        <v>-0.007222299944</v>
      </c>
      <c r="M80" s="65">
        <f t="shared" si="8"/>
        <v>755.3075</v>
      </c>
      <c r="N80" s="25">
        <f t="shared" si="9"/>
        <v>-0.03608710562</v>
      </c>
      <c r="O80" s="25">
        <f t="shared" si="10"/>
        <v>0.02886480568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12">
        <f>IFERROR(__xludf.DUMMYFUNCTION("""COMPUTED_VALUE"""),46246.64583333333)</f>
        <v>46246.64583</v>
      </c>
      <c r="C81" s="1">
        <f>IFERROR(__xludf.DUMMYFUNCTION("""COMPUTED_VALUE"""),1431.7)</f>
        <v>1431.7</v>
      </c>
      <c r="D81" s="1"/>
      <c r="E81" s="112">
        <f>IFERROR(__xludf.DUMMYFUNCTION("""COMPUTED_VALUE"""),46246.64583333333)</f>
        <v>46246.64583</v>
      </c>
      <c r="F81" s="1">
        <f>IFERROR(__xludf.DUMMYFUNCTION("""COMPUTED_VALUE"""),729.0)</f>
        <v>729</v>
      </c>
      <c r="G81" s="1"/>
      <c r="H81" s="29">
        <f t="shared" si="3"/>
        <v>1.963923182</v>
      </c>
      <c r="I81" s="1">
        <f t="shared" si="4"/>
        <v>702.7</v>
      </c>
      <c r="J81" s="113">
        <f t="shared" si="5"/>
        <v>1.153240342</v>
      </c>
      <c r="K81" s="65">
        <f t="shared" si="6"/>
        <v>1440.7</v>
      </c>
      <c r="L81" s="25">
        <f t="shared" si="7"/>
        <v>-0.006286233149</v>
      </c>
      <c r="M81" s="65">
        <f t="shared" si="8"/>
        <v>750.985</v>
      </c>
      <c r="N81" s="25">
        <f t="shared" si="9"/>
        <v>-0.03015775034</v>
      </c>
      <c r="O81" s="25">
        <f t="shared" si="10"/>
        <v>0.02387151719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12">
        <f>IFERROR(__xludf.DUMMYFUNCTION("""COMPUTED_VALUE"""),46247.64583333333)</f>
        <v>46247.64583</v>
      </c>
      <c r="C82" s="1">
        <f>IFERROR(__xludf.DUMMYFUNCTION("""COMPUTED_VALUE"""),1406.8)</f>
        <v>1406.8</v>
      </c>
      <c r="D82" s="1"/>
      <c r="E82" s="112">
        <f>IFERROR(__xludf.DUMMYFUNCTION("""COMPUTED_VALUE"""),46247.64583333333)</f>
        <v>46247.64583</v>
      </c>
      <c r="F82" s="1">
        <f>IFERROR(__xludf.DUMMYFUNCTION("""COMPUTED_VALUE"""),725.0)</f>
        <v>725</v>
      </c>
      <c r="G82" s="1"/>
      <c r="H82" s="29">
        <f t="shared" si="3"/>
        <v>1.940413793</v>
      </c>
      <c r="I82" s="1">
        <f t="shared" si="4"/>
        <v>681.8</v>
      </c>
      <c r="J82" s="113">
        <f t="shared" si="5"/>
        <v>0.9012577555</v>
      </c>
      <c r="K82" s="65">
        <f t="shared" si="6"/>
        <v>1440.13</v>
      </c>
      <c r="L82" s="25">
        <f t="shared" si="7"/>
        <v>-0.0236920671</v>
      </c>
      <c r="M82" s="65">
        <f t="shared" si="8"/>
        <v>746.82</v>
      </c>
      <c r="N82" s="25">
        <f t="shared" si="9"/>
        <v>-0.03009655172</v>
      </c>
      <c r="O82" s="25">
        <f t="shared" si="10"/>
        <v>0.006404484621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12">
        <f>IFERROR(__xludf.DUMMYFUNCTION("""COMPUTED_VALUE"""),46248.64583333333)</f>
        <v>46248.64583</v>
      </c>
      <c r="C83" s="1">
        <f>IFERROR(__xludf.DUMMYFUNCTION("""COMPUTED_VALUE"""),1417.0)</f>
        <v>1417</v>
      </c>
      <c r="D83" s="1"/>
      <c r="E83" s="112">
        <f>IFERROR(__xludf.DUMMYFUNCTION("""COMPUTED_VALUE"""),46248.64583333333)</f>
        <v>46248.64583</v>
      </c>
      <c r="F83" s="1">
        <f>IFERROR(__xludf.DUMMYFUNCTION("""COMPUTED_VALUE"""),727.0)</f>
        <v>727</v>
      </c>
      <c r="G83" s="1"/>
      <c r="H83" s="29">
        <f t="shared" si="3"/>
        <v>1.949105915</v>
      </c>
      <c r="I83" s="1">
        <f t="shared" si="4"/>
        <v>690</v>
      </c>
      <c r="J83" s="113">
        <f t="shared" si="5"/>
        <v>1.000121737</v>
      </c>
      <c r="K83" s="65">
        <f t="shared" si="6"/>
        <v>1438.765</v>
      </c>
      <c r="L83" s="25">
        <f t="shared" si="7"/>
        <v>-0.01535991531</v>
      </c>
      <c r="M83" s="65">
        <f t="shared" si="8"/>
        <v>742.19</v>
      </c>
      <c r="N83" s="25">
        <f t="shared" si="9"/>
        <v>-0.02089408528</v>
      </c>
      <c r="O83" s="25">
        <f t="shared" si="10"/>
        <v>0.005534169968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7">
        <v>10.0</v>
      </c>
      <c r="B84" s="112">
        <f>IFERROR(__xludf.DUMMYFUNCTION("""COMPUTED_VALUE"""),46251.64583333333)</f>
        <v>46251.64583</v>
      </c>
      <c r="C84" s="1">
        <f>IFERROR(__xludf.DUMMYFUNCTION("""COMPUTED_VALUE"""),1415.3)</f>
        <v>1415.3</v>
      </c>
      <c r="D84" s="1"/>
      <c r="E84" s="112">
        <f>IFERROR(__xludf.DUMMYFUNCTION("""COMPUTED_VALUE"""),46251.64583333333)</f>
        <v>46251.64583</v>
      </c>
      <c r="F84" s="1">
        <f>IFERROR(__xludf.DUMMYFUNCTION("""COMPUTED_VALUE"""),729.0)</f>
        <v>729</v>
      </c>
      <c r="G84" s="1"/>
      <c r="H84" s="29">
        <f t="shared" si="3"/>
        <v>1.941426612</v>
      </c>
      <c r="I84" s="1">
        <f t="shared" si="4"/>
        <v>686.3</v>
      </c>
      <c r="J84" s="113">
        <f t="shared" si="5"/>
        <v>0.9555123794</v>
      </c>
      <c r="K84" s="65">
        <f t="shared" si="6"/>
        <v>1436.52</v>
      </c>
      <c r="L84" s="25">
        <f t="shared" si="7"/>
        <v>-0.01499328764</v>
      </c>
      <c r="M84" s="65">
        <f t="shared" si="8"/>
        <v>739.76</v>
      </c>
      <c r="N84" s="25">
        <f t="shared" si="9"/>
        <v>-0.01475994513</v>
      </c>
      <c r="O84" s="25">
        <f t="shared" si="10"/>
        <v>-0.0002333425119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12">
        <f>IFERROR(__xludf.DUMMYFUNCTION("""COMPUTED_VALUE"""),46252.64583333333)</f>
        <v>46252.64583</v>
      </c>
      <c r="C85" s="1">
        <f>IFERROR(__xludf.DUMMYFUNCTION("""COMPUTED_VALUE"""),1412.0)</f>
        <v>1412</v>
      </c>
      <c r="D85" s="1"/>
      <c r="E85" s="112">
        <f>IFERROR(__xludf.DUMMYFUNCTION("""COMPUTED_VALUE"""),46252.64583333333)</f>
        <v>46252.64583</v>
      </c>
      <c r="F85" s="1">
        <f>IFERROR(__xludf.DUMMYFUNCTION("""COMPUTED_VALUE"""),723.0)</f>
        <v>723</v>
      </c>
      <c r="G85" s="1"/>
      <c r="H85" s="29">
        <f t="shared" si="3"/>
        <v>1.952973721</v>
      </c>
      <c r="I85" s="1">
        <f t="shared" si="4"/>
        <v>689</v>
      </c>
      <c r="J85" s="113">
        <f t="shared" si="5"/>
        <v>0.9880651537</v>
      </c>
      <c r="K85" s="65">
        <f t="shared" si="6"/>
        <v>1433.965</v>
      </c>
      <c r="L85" s="25">
        <f t="shared" si="7"/>
        <v>-0.01555594901</v>
      </c>
      <c r="M85" s="65">
        <f t="shared" si="8"/>
        <v>737.8375</v>
      </c>
      <c r="N85" s="25">
        <f t="shared" si="9"/>
        <v>-0.02052213001</v>
      </c>
      <c r="O85" s="25">
        <f t="shared" si="10"/>
        <v>0.004966181005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12">
        <f>IFERROR(__xludf.DUMMYFUNCTION("""COMPUTED_VALUE"""),46253.64583333333)</f>
        <v>46253.64583</v>
      </c>
      <c r="C86" s="1">
        <f>IFERROR(__xludf.DUMMYFUNCTION("""COMPUTED_VALUE"""),1402.0)</f>
        <v>1402</v>
      </c>
      <c r="D86" s="1"/>
      <c r="E86" s="112">
        <f>IFERROR(__xludf.DUMMYFUNCTION("""COMPUTED_VALUE"""),46253.64583333333)</f>
        <v>46253.64583</v>
      </c>
      <c r="F86" s="1">
        <f>IFERROR(__xludf.DUMMYFUNCTION("""COMPUTED_VALUE"""),720.0)</f>
        <v>720</v>
      </c>
      <c r="G86" s="1"/>
      <c r="H86" s="29">
        <f t="shared" si="3"/>
        <v>1.947222222</v>
      </c>
      <c r="I86" s="1">
        <f t="shared" si="4"/>
        <v>682</v>
      </c>
      <c r="J86" s="113">
        <f t="shared" si="5"/>
        <v>0.9036690721</v>
      </c>
      <c r="K86" s="65">
        <f t="shared" si="6"/>
        <v>1432.03</v>
      </c>
      <c r="L86" s="25">
        <f t="shared" si="7"/>
        <v>-0.02141940086</v>
      </c>
      <c r="M86" s="65">
        <f t="shared" si="8"/>
        <v>736.18</v>
      </c>
      <c r="N86" s="25">
        <f t="shared" si="9"/>
        <v>-0.02247222222</v>
      </c>
      <c r="O86" s="25">
        <f t="shared" si="10"/>
        <v>0.001052821366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12">
        <f>IFERROR(__xludf.DUMMYFUNCTION("""COMPUTED_VALUE"""),46254.64583333333)</f>
        <v>46254.64583</v>
      </c>
      <c r="C87" s="1">
        <f>IFERROR(__xludf.DUMMYFUNCTION("""COMPUTED_VALUE"""),1411.9)</f>
        <v>1411.9</v>
      </c>
      <c r="D87" s="1"/>
      <c r="E87" s="112">
        <f>IFERROR(__xludf.DUMMYFUNCTION("""COMPUTED_VALUE"""),46254.64583333333)</f>
        <v>46254.64583</v>
      </c>
      <c r="F87" s="1">
        <f>IFERROR(__xludf.DUMMYFUNCTION("""COMPUTED_VALUE"""),725.05)</f>
        <v>725.05</v>
      </c>
      <c r="G87" s="1"/>
      <c r="H87" s="29">
        <f t="shared" si="3"/>
        <v>1.947313978</v>
      </c>
      <c r="I87" s="1">
        <f t="shared" si="4"/>
        <v>686.85</v>
      </c>
      <c r="J87" s="113">
        <f t="shared" si="5"/>
        <v>0.9621435001</v>
      </c>
      <c r="K87" s="65">
        <f t="shared" si="6"/>
        <v>1430.895</v>
      </c>
      <c r="L87" s="25">
        <f t="shared" si="7"/>
        <v>-0.01345350237</v>
      </c>
      <c r="M87" s="65">
        <f t="shared" si="8"/>
        <v>735.07</v>
      </c>
      <c r="N87" s="25">
        <f t="shared" si="9"/>
        <v>-0.01381973657</v>
      </c>
      <c r="O87" s="25">
        <f t="shared" si="10"/>
        <v>0.0003662341972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12">
        <f>IFERROR(__xludf.DUMMYFUNCTION("""COMPUTED_VALUE"""),46255.64583333333)</f>
        <v>46255.64583</v>
      </c>
      <c r="C88" s="1">
        <f>IFERROR(__xludf.DUMMYFUNCTION("""COMPUTED_VALUE"""),1420.0)</f>
        <v>1420</v>
      </c>
      <c r="D88" s="1"/>
      <c r="E88" s="112">
        <f>IFERROR(__xludf.DUMMYFUNCTION("""COMPUTED_VALUE"""),46255.64583333333)</f>
        <v>46255.64583</v>
      </c>
      <c r="F88" s="1">
        <f>IFERROR(__xludf.DUMMYFUNCTION("""COMPUTED_VALUE"""),726.95)</f>
        <v>726.95</v>
      </c>
      <c r="G88" s="1"/>
      <c r="H88" s="29">
        <f t="shared" si="3"/>
        <v>1.953366807</v>
      </c>
      <c r="I88" s="1">
        <f t="shared" si="4"/>
        <v>693.05</v>
      </c>
      <c r="J88" s="113">
        <f t="shared" si="5"/>
        <v>1.036894315</v>
      </c>
      <c r="K88" s="65">
        <f t="shared" si="6"/>
        <v>1430.25</v>
      </c>
      <c r="L88" s="25">
        <f t="shared" si="7"/>
        <v>-0.007218309859</v>
      </c>
      <c r="M88" s="65">
        <f t="shared" si="8"/>
        <v>734.2775</v>
      </c>
      <c r="N88" s="25">
        <f t="shared" si="9"/>
        <v>-0.0100797854</v>
      </c>
      <c r="O88" s="25">
        <f t="shared" si="10"/>
        <v>0.002861475546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12">
        <f>IFERROR(__xludf.DUMMYFUNCTION("""COMPUTED_VALUE"""),46258.64583333333)</f>
        <v>46258.64583</v>
      </c>
      <c r="C89" s="1">
        <f>IFERROR(__xludf.DUMMYFUNCTION("""COMPUTED_VALUE"""),1415.0)</f>
        <v>1415</v>
      </c>
      <c r="D89" s="1"/>
      <c r="E89" s="112">
        <f>IFERROR(__xludf.DUMMYFUNCTION("""COMPUTED_VALUE"""),46258.64583333333)</f>
        <v>46258.64583</v>
      </c>
      <c r="F89" s="1">
        <f>IFERROR(__xludf.DUMMYFUNCTION("""COMPUTED_VALUE"""),729.0)</f>
        <v>729</v>
      </c>
      <c r="G89" s="1"/>
      <c r="H89" s="29">
        <f t="shared" si="3"/>
        <v>1.941015089</v>
      </c>
      <c r="I89" s="1">
        <f t="shared" si="4"/>
        <v>686</v>
      </c>
      <c r="J89" s="113">
        <f t="shared" si="5"/>
        <v>0.9518954044</v>
      </c>
      <c r="K89" s="65">
        <f t="shared" si="6"/>
        <v>1428.715</v>
      </c>
      <c r="L89" s="25">
        <f t="shared" si="7"/>
        <v>-0.009692579505</v>
      </c>
      <c r="M89" s="65">
        <f t="shared" si="8"/>
        <v>733.75</v>
      </c>
      <c r="N89" s="25">
        <f t="shared" si="9"/>
        <v>-0.006515775034</v>
      </c>
      <c r="O89" s="25">
        <f t="shared" si="10"/>
        <v>-0.003176804471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12">
        <f>IFERROR(__xludf.DUMMYFUNCTION("""COMPUTED_VALUE"""),46259.64583333333)</f>
        <v>46259.64583</v>
      </c>
      <c r="C90" s="1">
        <f>IFERROR(__xludf.DUMMYFUNCTION("""COMPUTED_VALUE"""),1422.7)</f>
        <v>1422.7</v>
      </c>
      <c r="D90" s="25"/>
      <c r="E90" s="112">
        <f>IFERROR(__xludf.DUMMYFUNCTION("""COMPUTED_VALUE"""),46259.64583333333)</f>
        <v>46259.64583</v>
      </c>
      <c r="F90" s="1">
        <f>IFERROR(__xludf.DUMMYFUNCTION("""COMPUTED_VALUE"""),727.5)</f>
        <v>727.5</v>
      </c>
      <c r="G90" s="1"/>
      <c r="H90" s="29">
        <f t="shared" si="3"/>
        <v>1.955601375</v>
      </c>
      <c r="I90" s="1">
        <f t="shared" si="4"/>
        <v>695.2</v>
      </c>
      <c r="J90" s="113">
        <f t="shared" si="5"/>
        <v>1.062815969</v>
      </c>
      <c r="K90" s="65">
        <f t="shared" si="6"/>
        <v>1428.31</v>
      </c>
      <c r="L90" s="25">
        <f t="shared" si="7"/>
        <v>-0.003943206579</v>
      </c>
      <c r="M90" s="65">
        <f t="shared" si="8"/>
        <v>733.355</v>
      </c>
      <c r="N90" s="25">
        <f t="shared" si="9"/>
        <v>-0.008048109966</v>
      </c>
      <c r="O90" s="25">
        <f t="shared" si="10"/>
        <v>0.004104903387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12">
        <f>IFERROR(__xludf.DUMMYFUNCTION("""COMPUTED_VALUE"""),46260.64583333333)</f>
        <v>46260.64583</v>
      </c>
      <c r="C91" s="1">
        <f>IFERROR(__xludf.DUMMYFUNCTION("""COMPUTED_VALUE"""),1430.0)</f>
        <v>1430</v>
      </c>
      <c r="D91" s="1"/>
      <c r="E91" s="112">
        <f>IFERROR(__xludf.DUMMYFUNCTION("""COMPUTED_VALUE"""),46260.64583333333)</f>
        <v>46260.64583</v>
      </c>
      <c r="F91" s="1">
        <f>IFERROR(__xludf.DUMMYFUNCTION("""COMPUTED_VALUE"""),727.2)</f>
        <v>727.2</v>
      </c>
      <c r="G91" s="1"/>
      <c r="H91" s="29">
        <f t="shared" si="3"/>
        <v>1.966446645</v>
      </c>
      <c r="I91" s="1">
        <f t="shared" si="4"/>
        <v>702.8</v>
      </c>
      <c r="J91" s="113">
        <f t="shared" si="5"/>
        <v>1.154446</v>
      </c>
      <c r="K91" s="65">
        <f t="shared" si="6"/>
        <v>1427.915</v>
      </c>
      <c r="L91" s="25">
        <f t="shared" si="7"/>
        <v>0.001458041958</v>
      </c>
      <c r="M91" s="65">
        <f t="shared" si="8"/>
        <v>732.305</v>
      </c>
      <c r="N91" s="25">
        <f t="shared" si="9"/>
        <v>-0.007020077008</v>
      </c>
      <c r="O91" s="25">
        <f t="shared" si="10"/>
        <v>0.008478118966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12">
        <f>IFERROR(__xludf.DUMMYFUNCTION("""COMPUTED_VALUE"""),46261.64583333333)</f>
        <v>46261.64583</v>
      </c>
      <c r="C92" s="1">
        <f>IFERROR(__xludf.DUMMYFUNCTION("""COMPUTED_VALUE"""),1443.0)</f>
        <v>1443</v>
      </c>
      <c r="D92" s="1"/>
      <c r="E92" s="112">
        <f>IFERROR(__xludf.DUMMYFUNCTION("""COMPUTED_VALUE"""),46261.64583333333)</f>
        <v>46261.64583</v>
      </c>
      <c r="F92" s="1">
        <f>IFERROR(__xludf.DUMMYFUNCTION("""COMPUTED_VALUE"""),711.0)</f>
        <v>711</v>
      </c>
      <c r="G92" s="1"/>
      <c r="H92" s="29">
        <f t="shared" si="3"/>
        <v>2.029535865</v>
      </c>
      <c r="I92" s="1">
        <f t="shared" si="4"/>
        <v>732</v>
      </c>
      <c r="J92" s="113">
        <f t="shared" si="5"/>
        <v>1.506498227</v>
      </c>
      <c r="K92" s="65">
        <f t="shared" si="6"/>
        <v>1428.37</v>
      </c>
      <c r="L92" s="25">
        <f t="shared" si="7"/>
        <v>0.01013860014</v>
      </c>
      <c r="M92" s="65">
        <f t="shared" si="8"/>
        <v>730.1575</v>
      </c>
      <c r="N92" s="25">
        <f t="shared" si="9"/>
        <v>-0.02694444444</v>
      </c>
      <c r="O92" s="25">
        <f t="shared" si="10"/>
        <v>0.03708304458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12">
        <f>IFERROR(__xludf.DUMMYFUNCTION("""COMPUTED_VALUE"""),46262.64583333333)</f>
        <v>46262.64583</v>
      </c>
      <c r="C93" s="1">
        <f>IFERROR(__xludf.DUMMYFUNCTION("""COMPUTED_VALUE"""),1422.8)</f>
        <v>1422.8</v>
      </c>
      <c r="D93" s="1"/>
      <c r="E93" s="112">
        <f>IFERROR(__xludf.DUMMYFUNCTION("""COMPUTED_VALUE"""),46262.64583333333)</f>
        <v>46262.64583</v>
      </c>
      <c r="F93" s="1">
        <f>IFERROR(__xludf.DUMMYFUNCTION("""COMPUTED_VALUE"""),720.3)</f>
        <v>720.3</v>
      </c>
      <c r="G93" s="1"/>
      <c r="H93" s="29">
        <f t="shared" si="3"/>
        <v>1.975288074</v>
      </c>
      <c r="I93" s="1">
        <f t="shared" si="4"/>
        <v>702.5</v>
      </c>
      <c r="J93" s="113">
        <f t="shared" si="5"/>
        <v>1.150829025</v>
      </c>
      <c r="K93" s="65">
        <f t="shared" si="6"/>
        <v>1427.74</v>
      </c>
      <c r="L93" s="25">
        <f t="shared" si="7"/>
        <v>-0.003472026989</v>
      </c>
      <c r="M93" s="65">
        <f t="shared" si="8"/>
        <v>728.765</v>
      </c>
      <c r="N93" s="25">
        <f t="shared" si="9"/>
        <v>-0.01175204776</v>
      </c>
      <c r="O93" s="25">
        <f t="shared" si="10"/>
        <v>0.008280020769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12">
        <f>IFERROR(__xludf.DUMMYFUNCTION("""COMPUTED_VALUE"""),46265.64583333333)</f>
        <v>46265.64583</v>
      </c>
      <c r="C94" s="1">
        <f>IFERROR(__xludf.DUMMYFUNCTION("""COMPUTED_VALUE"""),1454.0)</f>
        <v>1454</v>
      </c>
      <c r="D94" s="1"/>
      <c r="E94" s="112">
        <f>IFERROR(__xludf.DUMMYFUNCTION("""COMPUTED_VALUE"""),46265.64583333333)</f>
        <v>46265.64583</v>
      </c>
      <c r="F94" s="1">
        <f>IFERROR(__xludf.DUMMYFUNCTION("""COMPUTED_VALUE"""),709.0)</f>
        <v>709</v>
      </c>
      <c r="G94" s="1"/>
      <c r="H94" s="29">
        <f t="shared" si="3"/>
        <v>2.05077574</v>
      </c>
      <c r="I94" s="1">
        <f t="shared" si="4"/>
        <v>745</v>
      </c>
      <c r="J94" s="113">
        <f t="shared" si="5"/>
        <v>1.663233807</v>
      </c>
      <c r="K94" s="65">
        <f t="shared" si="6"/>
        <v>1427.44</v>
      </c>
      <c r="L94" s="25">
        <f t="shared" si="7"/>
        <v>0.01826685007</v>
      </c>
      <c r="M94" s="65">
        <f t="shared" si="8"/>
        <v>726.565</v>
      </c>
      <c r="N94" s="25">
        <f t="shared" si="9"/>
        <v>-0.02477433004</v>
      </c>
      <c r="O94" s="25">
        <f t="shared" si="10"/>
        <v>0.04304118011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B95" s="166">
        <f>IFERROR(__xludf.DUMMYFUNCTION("""COMPUTED_VALUE"""),46266.64583333333)</f>
        <v>46266.64583</v>
      </c>
      <c r="C95" s="1">
        <f>IFERROR(__xludf.DUMMYFUNCTION("""COMPUTED_VALUE"""),1438.0)</f>
        <v>1438</v>
      </c>
      <c r="E95" s="112">
        <f>IFERROR(__xludf.DUMMYFUNCTION("""COMPUTED_VALUE"""),46266.64583333333)</f>
        <v>46266.64583</v>
      </c>
      <c r="F95" s="1">
        <f>IFERROR(__xludf.DUMMYFUNCTION("""COMPUTED_VALUE"""),711.9)</f>
        <v>711.9</v>
      </c>
      <c r="G95" s="1"/>
      <c r="H95" s="29">
        <f t="shared" si="3"/>
        <v>2.019946622</v>
      </c>
      <c r="I95" s="1">
        <f t="shared" si="4"/>
        <v>726.1</v>
      </c>
      <c r="J95" s="113">
        <f t="shared" si="5"/>
        <v>1.435364386</v>
      </c>
      <c r="K95" s="65">
        <f t="shared" si="6"/>
        <v>1426.61</v>
      </c>
      <c r="L95" s="25">
        <f t="shared" si="7"/>
        <v>0.007920723227</v>
      </c>
      <c r="M95" s="65">
        <f t="shared" si="8"/>
        <v>725.06</v>
      </c>
      <c r="N95" s="25">
        <f t="shared" si="9"/>
        <v>-0.01848574238</v>
      </c>
      <c r="O95" s="25">
        <f t="shared" si="10"/>
        <v>0.02640646561</v>
      </c>
      <c r="S95" s="1"/>
      <c r="T95" s="1"/>
      <c r="U95" s="1"/>
      <c r="V95" s="1"/>
      <c r="W95" s="1"/>
    </row>
    <row r="96">
      <c r="A96" s="1"/>
      <c r="B96" s="112">
        <f>IFERROR(__xludf.DUMMYFUNCTION("""COMPUTED_VALUE"""),46267.64583333333)</f>
        <v>46267.64583</v>
      </c>
      <c r="C96" s="1">
        <f>IFERROR(__xludf.DUMMYFUNCTION("""COMPUTED_VALUE"""),1426.5)</f>
        <v>1426.5</v>
      </c>
      <c r="D96" s="1"/>
      <c r="E96" s="112">
        <f>IFERROR(__xludf.DUMMYFUNCTION("""COMPUTED_VALUE"""),46267.64583333333)</f>
        <v>46267.64583</v>
      </c>
      <c r="F96" s="1">
        <f>IFERROR(__xludf.DUMMYFUNCTION("""COMPUTED_VALUE"""),700.8)</f>
        <v>700.8</v>
      </c>
      <c r="G96" s="1"/>
      <c r="H96" s="29">
        <f t="shared" si="3"/>
        <v>2.035530822</v>
      </c>
      <c r="I96" s="1">
        <f t="shared" si="4"/>
        <v>725.7</v>
      </c>
      <c r="J96" s="113">
        <f t="shared" si="5"/>
        <v>1.430541753</v>
      </c>
      <c r="K96" s="65">
        <f t="shared" si="6"/>
        <v>1425.43</v>
      </c>
      <c r="L96" s="25">
        <f t="shared" si="7"/>
        <v>0.0007500876271</v>
      </c>
      <c r="M96" s="65">
        <f t="shared" si="8"/>
        <v>723.35</v>
      </c>
      <c r="N96" s="25">
        <f t="shared" si="9"/>
        <v>-0.03217751142</v>
      </c>
      <c r="O96" s="25">
        <f t="shared" si="10"/>
        <v>0.03292759904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12">
        <f>IFERROR(__xludf.DUMMYFUNCTION("""COMPUTED_VALUE"""),46268.64583333333)</f>
        <v>46268.64583</v>
      </c>
      <c r="C97" s="1">
        <f>IFERROR(__xludf.DUMMYFUNCTION("""COMPUTED_VALUE"""),1430.0)</f>
        <v>1430</v>
      </c>
      <c r="D97" s="1"/>
      <c r="E97" s="112">
        <f>IFERROR(__xludf.DUMMYFUNCTION("""COMPUTED_VALUE"""),46268.64583333333)</f>
        <v>46268.64583</v>
      </c>
      <c r="F97" s="1">
        <f>IFERROR(__xludf.DUMMYFUNCTION("""COMPUTED_VALUE"""),706.65)</f>
        <v>706.65</v>
      </c>
      <c r="G97" s="1"/>
      <c r="H97" s="29">
        <f t="shared" si="3"/>
        <v>2.023632633</v>
      </c>
      <c r="I97" s="1">
        <f t="shared" si="4"/>
        <v>723.35</v>
      </c>
      <c r="J97" s="113">
        <f t="shared" si="5"/>
        <v>1.402208783</v>
      </c>
      <c r="K97" s="65">
        <f t="shared" si="6"/>
        <v>1424.055</v>
      </c>
      <c r="L97" s="25">
        <f t="shared" si="7"/>
        <v>0.004157342657</v>
      </c>
      <c r="M97" s="65">
        <f t="shared" si="8"/>
        <v>721.9675</v>
      </c>
      <c r="N97" s="25">
        <f t="shared" si="9"/>
        <v>-0.02167621878</v>
      </c>
      <c r="O97" s="25">
        <f t="shared" si="10"/>
        <v>0.02583356144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12">
        <f>IFERROR(__xludf.DUMMYFUNCTION("""COMPUTED_VALUE"""),46269.64583333333)</f>
        <v>46269.64583</v>
      </c>
      <c r="C98" s="1">
        <f>IFERROR(__xludf.DUMMYFUNCTION("""COMPUTED_VALUE"""),1423.2)</f>
        <v>1423.2</v>
      </c>
      <c r="D98" s="1"/>
      <c r="E98" s="112">
        <f>IFERROR(__xludf.DUMMYFUNCTION("""COMPUTED_VALUE"""),46269.64583333333)</f>
        <v>46269.64583</v>
      </c>
      <c r="F98" s="1">
        <f>IFERROR(__xludf.DUMMYFUNCTION("""COMPUTED_VALUE"""),712.1)</f>
        <v>712.1</v>
      </c>
      <c r="G98" s="1"/>
      <c r="H98" s="29">
        <f t="shared" si="3"/>
        <v>1.998595703</v>
      </c>
      <c r="I98" s="1">
        <f t="shared" si="4"/>
        <v>711.1</v>
      </c>
      <c r="J98" s="113">
        <f t="shared" si="5"/>
        <v>1.25451564</v>
      </c>
      <c r="K98" s="65">
        <f t="shared" si="6"/>
        <v>1424.165</v>
      </c>
      <c r="L98" s="25">
        <f t="shared" si="7"/>
        <v>-0.000678049466</v>
      </c>
      <c r="M98" s="65">
        <f t="shared" si="8"/>
        <v>721.0225</v>
      </c>
      <c r="N98" s="25">
        <f t="shared" si="9"/>
        <v>-0.01252984131</v>
      </c>
      <c r="O98" s="25">
        <f t="shared" si="10"/>
        <v>0.01185179185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B99" s="166">
        <f>IFERROR(__xludf.DUMMYFUNCTION("""COMPUTED_VALUE"""),46272.64583333333)</f>
        <v>46272.64583</v>
      </c>
      <c r="C99" s="1">
        <f>IFERROR(__xludf.DUMMYFUNCTION("""COMPUTED_VALUE"""),1427.5)</f>
        <v>1427.5</v>
      </c>
      <c r="E99" s="112">
        <f>IFERROR(__xludf.DUMMYFUNCTION("""COMPUTED_VALUE"""),46272.64583333333)</f>
        <v>46272.64583</v>
      </c>
      <c r="F99" s="1">
        <f>IFERROR(__xludf.DUMMYFUNCTION("""COMPUTED_VALUE"""),710.5)</f>
        <v>710.5</v>
      </c>
      <c r="G99" s="1"/>
      <c r="H99" s="29">
        <f t="shared" si="3"/>
        <v>2.009148487</v>
      </c>
      <c r="I99" s="1">
        <f t="shared" si="4"/>
        <v>717</v>
      </c>
      <c r="J99" s="113">
        <f t="shared" si="5"/>
        <v>1.32564948</v>
      </c>
      <c r="K99" s="65">
        <f t="shared" si="6"/>
        <v>1423.95</v>
      </c>
      <c r="L99" s="25">
        <f t="shared" si="7"/>
        <v>0.002486865149</v>
      </c>
      <c r="M99" s="65">
        <f t="shared" si="8"/>
        <v>719.9975</v>
      </c>
      <c r="N99" s="25">
        <f t="shared" si="9"/>
        <v>-0.01336734694</v>
      </c>
      <c r="O99" s="25">
        <f t="shared" si="10"/>
        <v>0.01585421209</v>
      </c>
      <c r="S99" s="1"/>
      <c r="T99" s="1"/>
      <c r="U99" s="1"/>
      <c r="V99" s="1"/>
      <c r="W99" s="1"/>
    </row>
    <row r="100">
      <c r="B100" s="166">
        <f>IFERROR(__xludf.DUMMYFUNCTION("""COMPUTED_VALUE"""),46273.64583333333)</f>
        <v>46273.64583</v>
      </c>
      <c r="C100" s="1">
        <f>IFERROR(__xludf.DUMMYFUNCTION("""COMPUTED_VALUE"""),1399.4)</f>
        <v>1399.4</v>
      </c>
      <c r="E100" s="112">
        <f>IFERROR(__xludf.DUMMYFUNCTION("""COMPUTED_VALUE"""),46273.64583333333)</f>
        <v>46273.64583</v>
      </c>
      <c r="F100" s="1">
        <f>IFERROR(__xludf.DUMMYFUNCTION("""COMPUTED_VALUE"""),703.0)</f>
        <v>703</v>
      </c>
      <c r="G100" s="1"/>
      <c r="H100" s="29">
        <f t="shared" si="3"/>
        <v>1.990611664</v>
      </c>
      <c r="I100" s="1">
        <f t="shared" si="4"/>
        <v>696.4</v>
      </c>
      <c r="J100" s="113">
        <f t="shared" si="5"/>
        <v>1.077283869</v>
      </c>
      <c r="K100" s="65">
        <f t="shared" si="6"/>
        <v>1422.44</v>
      </c>
      <c r="L100" s="25">
        <f t="shared" si="7"/>
        <v>-0.01646419894</v>
      </c>
      <c r="M100" s="65">
        <f t="shared" si="8"/>
        <v>718.6975</v>
      </c>
      <c r="N100" s="25">
        <f t="shared" si="9"/>
        <v>-0.02232930299</v>
      </c>
      <c r="O100" s="25">
        <f t="shared" si="10"/>
        <v>0.005865104045</v>
      </c>
      <c r="S100" s="1"/>
      <c r="T100" s="1"/>
      <c r="U100" s="1"/>
      <c r="V100" s="1"/>
      <c r="W100" s="1"/>
    </row>
    <row r="101">
      <c r="A101" s="1"/>
      <c r="B101" s="112">
        <f>IFERROR(__xludf.DUMMYFUNCTION("""COMPUTED_VALUE"""),46274.64583333333)</f>
        <v>46274.64583</v>
      </c>
      <c r="C101" s="1">
        <f>IFERROR(__xludf.DUMMYFUNCTION("""COMPUTED_VALUE"""),1389.1)</f>
        <v>1389.1</v>
      </c>
      <c r="D101" s="1"/>
      <c r="E101" s="112">
        <f>IFERROR(__xludf.DUMMYFUNCTION("""COMPUTED_VALUE"""),46274.64583333333)</f>
        <v>46274.64583</v>
      </c>
      <c r="F101" s="1">
        <f>IFERROR(__xludf.DUMMYFUNCTION("""COMPUTED_VALUE"""),687.1)</f>
        <v>687.1</v>
      </c>
      <c r="G101" s="1"/>
      <c r="H101" s="29">
        <f t="shared" si="3"/>
        <v>2.021685344</v>
      </c>
      <c r="I101" s="1">
        <f t="shared" si="4"/>
        <v>702</v>
      </c>
      <c r="J101" s="113">
        <f t="shared" si="5"/>
        <v>1.144800734</v>
      </c>
      <c r="K101" s="65">
        <f t="shared" si="6"/>
        <v>1420.31</v>
      </c>
      <c r="L101" s="25">
        <f t="shared" si="7"/>
        <v>-0.0224677849</v>
      </c>
      <c r="M101" s="65">
        <f t="shared" si="8"/>
        <v>716.6025</v>
      </c>
      <c r="N101" s="25">
        <f t="shared" si="9"/>
        <v>-0.04293770921</v>
      </c>
      <c r="O101" s="25">
        <f t="shared" si="10"/>
        <v>0.02046992432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12">
        <f>IFERROR(__xludf.DUMMYFUNCTION("""COMPUTED_VALUE"""),46275.64583333333)</f>
        <v>46275.64583</v>
      </c>
      <c r="C102" s="1">
        <f>IFERROR(__xludf.DUMMYFUNCTION("""COMPUTED_VALUE"""),1384.5)</f>
        <v>1384.5</v>
      </c>
      <c r="D102" s="1"/>
      <c r="E102" s="112">
        <f>IFERROR(__xludf.DUMMYFUNCTION("""COMPUTED_VALUE"""),46275.64583333333)</f>
        <v>46275.64583</v>
      </c>
      <c r="F102" s="1">
        <f>IFERROR(__xludf.DUMMYFUNCTION("""COMPUTED_VALUE"""),693.8)</f>
        <v>693.8</v>
      </c>
      <c r="G102" s="1"/>
      <c r="H102" s="29">
        <f t="shared" si="3"/>
        <v>1.995531854</v>
      </c>
      <c r="I102" s="1">
        <f t="shared" si="4"/>
        <v>690.7</v>
      </c>
      <c r="J102" s="113">
        <f t="shared" si="5"/>
        <v>1.008561345</v>
      </c>
      <c r="K102" s="65">
        <f t="shared" si="6"/>
        <v>1419.195</v>
      </c>
      <c r="L102" s="25">
        <f t="shared" si="7"/>
        <v>-0.0250595883</v>
      </c>
      <c r="M102" s="65">
        <f t="shared" si="8"/>
        <v>715.0425</v>
      </c>
      <c r="N102" s="25">
        <f t="shared" si="9"/>
        <v>-0.03061761314</v>
      </c>
      <c r="O102" s="25">
        <f t="shared" si="10"/>
        <v>0.005558024846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12">
        <f>IFERROR(__xludf.DUMMYFUNCTION("""COMPUTED_VALUE"""),46276.64583333333)</f>
        <v>46276.64583</v>
      </c>
      <c r="C103" s="1">
        <f>IFERROR(__xludf.DUMMYFUNCTION("""COMPUTED_VALUE"""),1379.3)</f>
        <v>1379.3</v>
      </c>
      <c r="D103" s="1"/>
      <c r="E103" s="112">
        <f>IFERROR(__xludf.DUMMYFUNCTION("""COMPUTED_VALUE"""),46276.64583333333)</f>
        <v>46276.64583</v>
      </c>
      <c r="F103" s="1">
        <f>IFERROR(__xludf.DUMMYFUNCTION("""COMPUTED_VALUE"""),708.25)</f>
        <v>708.25</v>
      </c>
      <c r="G103" s="1"/>
      <c r="H103" s="29">
        <f t="shared" si="3"/>
        <v>1.947476174</v>
      </c>
      <c r="I103" s="1">
        <f t="shared" si="4"/>
        <v>671.05</v>
      </c>
      <c r="J103" s="113">
        <f t="shared" si="5"/>
        <v>0.7716494873</v>
      </c>
      <c r="K103" s="65">
        <f t="shared" si="6"/>
        <v>1417.31</v>
      </c>
      <c r="L103" s="25">
        <f t="shared" si="7"/>
        <v>-0.02755745668</v>
      </c>
      <c r="M103" s="65">
        <f t="shared" si="8"/>
        <v>714.105</v>
      </c>
      <c r="N103" s="25">
        <f t="shared" si="9"/>
        <v>-0.008266854924</v>
      </c>
      <c r="O103" s="25">
        <f t="shared" si="10"/>
        <v>-0.01929060176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12">
        <f>IFERROR(__xludf.DUMMYFUNCTION("""COMPUTED_VALUE"""),46280.64583333333)</f>
        <v>46280.64583</v>
      </c>
      <c r="C104" s="1">
        <f>IFERROR(__xludf.DUMMYFUNCTION("""COMPUTED_VALUE"""),1350.4)</f>
        <v>1350.4</v>
      </c>
      <c r="D104" s="1"/>
      <c r="E104" s="112">
        <f>IFERROR(__xludf.DUMMYFUNCTION("""COMPUTED_VALUE"""),46280.64583333333)</f>
        <v>46280.64583</v>
      </c>
      <c r="F104" s="1">
        <f>IFERROR(__xludf.DUMMYFUNCTION("""COMPUTED_VALUE"""),716.55)</f>
        <v>716.55</v>
      </c>
      <c r="G104" s="1"/>
      <c r="H104" s="29">
        <f t="shared" si="3"/>
        <v>1.884585863</v>
      </c>
      <c r="I104" s="1">
        <f t="shared" si="4"/>
        <v>633.85</v>
      </c>
      <c r="J104" s="113">
        <f t="shared" si="5"/>
        <v>0.3231445964</v>
      </c>
      <c r="K104" s="65">
        <f t="shared" si="6"/>
        <v>1414.065</v>
      </c>
      <c r="L104" s="25">
        <f t="shared" si="7"/>
        <v>-0.04714529028</v>
      </c>
      <c r="M104" s="65">
        <f t="shared" si="8"/>
        <v>713.4825</v>
      </c>
      <c r="N104" s="25">
        <f t="shared" si="9"/>
        <v>0.004280929454</v>
      </c>
      <c r="O104" s="25">
        <f t="shared" si="10"/>
        <v>-0.05142621974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12">
        <f>IFERROR(__xludf.DUMMYFUNCTION("""COMPUTED_VALUE"""),46281.64583333333)</f>
        <v>46281.64583</v>
      </c>
      <c r="C105" s="1">
        <f>IFERROR(__xludf.DUMMYFUNCTION("""COMPUTED_VALUE"""),1358.8)</f>
        <v>1358.8</v>
      </c>
      <c r="D105" s="1"/>
      <c r="E105" s="112">
        <f>IFERROR(__xludf.DUMMYFUNCTION("""COMPUTED_VALUE"""),46281.64583333333)</f>
        <v>46281.64583</v>
      </c>
      <c r="F105" s="1">
        <f>IFERROR(__xludf.DUMMYFUNCTION("""COMPUTED_VALUE"""),721.5)</f>
        <v>721.5</v>
      </c>
      <c r="G105" s="1"/>
      <c r="H105" s="29">
        <f t="shared" si="3"/>
        <v>1.883298683</v>
      </c>
      <c r="I105" s="1">
        <f t="shared" si="4"/>
        <v>637.3</v>
      </c>
      <c r="J105" s="113">
        <f t="shared" si="5"/>
        <v>0.364739808</v>
      </c>
      <c r="K105" s="65">
        <f t="shared" si="6"/>
        <v>1411.405</v>
      </c>
      <c r="L105" s="25">
        <f t="shared" si="7"/>
        <v>-0.03871430674</v>
      </c>
      <c r="M105" s="65">
        <f t="shared" si="8"/>
        <v>713.4075</v>
      </c>
      <c r="N105" s="25">
        <f t="shared" si="9"/>
        <v>0.01121621622</v>
      </c>
      <c r="O105" s="25">
        <f t="shared" si="10"/>
        <v>-0.04993052296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12">
        <f>IFERROR(__xludf.DUMMYFUNCTION("""COMPUTED_VALUE"""),46282.64583333333)</f>
        <v>46282.64583</v>
      </c>
      <c r="C106" s="1">
        <f>IFERROR(__xludf.DUMMYFUNCTION("""COMPUTED_VALUE"""),1347.6)</f>
        <v>1347.6</v>
      </c>
      <c r="D106" s="1"/>
      <c r="E106" s="112">
        <f>IFERROR(__xludf.DUMMYFUNCTION("""COMPUTED_VALUE"""),46282.64583333333)</f>
        <v>46282.64583</v>
      </c>
      <c r="F106" s="1">
        <f>IFERROR(__xludf.DUMMYFUNCTION("""COMPUTED_VALUE"""),713.0)</f>
        <v>713</v>
      </c>
      <c r="G106" s="1"/>
      <c r="H106" s="29">
        <f t="shared" si="3"/>
        <v>1.890042076</v>
      </c>
      <c r="I106" s="1">
        <f t="shared" si="4"/>
        <v>634.6</v>
      </c>
      <c r="J106" s="113">
        <f t="shared" si="5"/>
        <v>0.3321870337</v>
      </c>
      <c r="K106" s="65">
        <f t="shared" si="6"/>
        <v>1408.685</v>
      </c>
      <c r="L106" s="25">
        <f t="shared" si="7"/>
        <v>-0.04532873256</v>
      </c>
      <c r="M106" s="65">
        <f t="shared" si="8"/>
        <v>713.0575</v>
      </c>
      <c r="N106" s="25">
        <f t="shared" si="9"/>
        <v>-0.00008064516129</v>
      </c>
      <c r="O106" s="25">
        <f t="shared" si="10"/>
        <v>-0.0452480874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12">
        <f>IFERROR(__xludf.DUMMYFUNCTION("""COMPUTED_VALUE"""),46283.64583333333)</f>
        <v>46283.64583</v>
      </c>
      <c r="C107" s="1">
        <f>IFERROR(__xludf.DUMMYFUNCTION("""COMPUTED_VALUE"""),1338.9)</f>
        <v>1338.9</v>
      </c>
      <c r="D107" s="1"/>
      <c r="E107" s="112">
        <f>IFERROR(__xludf.DUMMYFUNCTION("""COMPUTED_VALUE"""),46283.64583333333)</f>
        <v>46283.64583</v>
      </c>
      <c r="F107" s="1">
        <f>IFERROR(__xludf.DUMMYFUNCTION("""COMPUTED_VALUE"""),731.0)</f>
        <v>731</v>
      </c>
      <c r="G107" s="1"/>
      <c r="H107" s="29">
        <f t="shared" si="3"/>
        <v>1.831600547</v>
      </c>
      <c r="I107" s="1">
        <f t="shared" si="4"/>
        <v>607.9</v>
      </c>
      <c r="J107" s="113">
        <f t="shared" si="5"/>
        <v>0.01027626521</v>
      </c>
      <c r="K107" s="65">
        <f t="shared" si="6"/>
        <v>1405.035</v>
      </c>
      <c r="L107" s="25">
        <f t="shared" si="7"/>
        <v>-0.04939502577</v>
      </c>
      <c r="M107" s="65">
        <f t="shared" si="8"/>
        <v>713.355</v>
      </c>
      <c r="N107" s="25">
        <f t="shared" si="9"/>
        <v>0.02413816689</v>
      </c>
      <c r="O107" s="25">
        <f t="shared" si="10"/>
        <v>-0.07353319266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12">
        <f>IFERROR(__xludf.DUMMYFUNCTION("""COMPUTED_VALUE"""),46286.64583333333)</f>
        <v>46286.64583</v>
      </c>
      <c r="C108" s="1">
        <f>IFERROR(__xludf.DUMMYFUNCTION("""COMPUTED_VALUE"""),1345.0)</f>
        <v>1345</v>
      </c>
      <c r="D108" s="1"/>
      <c r="E108" s="112">
        <f>IFERROR(__xludf.DUMMYFUNCTION("""COMPUTED_VALUE"""),46286.64583333333)</f>
        <v>46286.64583</v>
      </c>
      <c r="F108" s="1">
        <f>IFERROR(__xludf.DUMMYFUNCTION("""COMPUTED_VALUE"""),739.5)</f>
        <v>739.5</v>
      </c>
      <c r="G108" s="1"/>
      <c r="H108" s="29">
        <f t="shared" si="3"/>
        <v>1.818796484</v>
      </c>
      <c r="I108" s="1">
        <f t="shared" si="4"/>
        <v>605.5</v>
      </c>
      <c r="J108" s="113">
        <f t="shared" si="5"/>
        <v>-0.0186595342</v>
      </c>
      <c r="K108" s="65">
        <f t="shared" si="6"/>
        <v>1401.285</v>
      </c>
      <c r="L108" s="25">
        <f t="shared" si="7"/>
        <v>-0.04184758364</v>
      </c>
      <c r="M108" s="65">
        <f t="shared" si="8"/>
        <v>713.9825</v>
      </c>
      <c r="N108" s="25">
        <f t="shared" si="9"/>
        <v>0.03450642326</v>
      </c>
      <c r="O108" s="25">
        <f t="shared" si="10"/>
        <v>-0.0763540069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12">
        <f>IFERROR(__xludf.DUMMYFUNCTION("""COMPUTED_VALUE"""),46287.64583333333)</f>
        <v>46287.64583</v>
      </c>
      <c r="C109" s="1">
        <f>IFERROR(__xludf.DUMMYFUNCTION("""COMPUTED_VALUE"""),1339.6)</f>
        <v>1339.6</v>
      </c>
      <c r="D109" s="1"/>
      <c r="E109" s="112">
        <f>IFERROR(__xludf.DUMMYFUNCTION("""COMPUTED_VALUE"""),46287.64583333333)</f>
        <v>46287.64583</v>
      </c>
      <c r="F109" s="1">
        <f>IFERROR(__xludf.DUMMYFUNCTION("""COMPUTED_VALUE"""),738.6)</f>
        <v>738.6</v>
      </c>
      <c r="G109" s="1"/>
      <c r="H109" s="29">
        <f t="shared" si="3"/>
        <v>1.813701598</v>
      </c>
      <c r="I109" s="1">
        <f t="shared" si="4"/>
        <v>601</v>
      </c>
      <c r="J109" s="113">
        <f t="shared" si="5"/>
        <v>-0.0729141581</v>
      </c>
      <c r="K109" s="65">
        <f t="shared" si="6"/>
        <v>1397.515</v>
      </c>
      <c r="L109" s="25">
        <f t="shared" si="7"/>
        <v>-0.04323305464</v>
      </c>
      <c r="M109" s="65">
        <f t="shared" si="8"/>
        <v>714.4625</v>
      </c>
      <c r="N109" s="25">
        <f t="shared" si="9"/>
        <v>0.0326800704</v>
      </c>
      <c r="O109" s="25">
        <f t="shared" si="10"/>
        <v>-0.07591312505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B110" s="166">
        <f>IFERROR(__xludf.DUMMYFUNCTION("""COMPUTED_VALUE"""),46288.64583333333)</f>
        <v>46288.64583</v>
      </c>
      <c r="C110" s="1">
        <f>IFERROR(__xludf.DUMMYFUNCTION("""COMPUTED_VALUE"""),1340.0)</f>
        <v>1340</v>
      </c>
      <c r="E110" s="112">
        <f>IFERROR(__xludf.DUMMYFUNCTION("""COMPUTED_VALUE"""),46288.64583333333)</f>
        <v>46288.64583</v>
      </c>
      <c r="F110" s="1">
        <f>IFERROR(__xludf.DUMMYFUNCTION("""COMPUTED_VALUE"""),737.25)</f>
        <v>737.25</v>
      </c>
      <c r="G110" s="1"/>
      <c r="H110" s="29">
        <f t="shared" si="3"/>
        <v>1.817565276</v>
      </c>
      <c r="I110" s="1">
        <f t="shared" si="4"/>
        <v>602.75</v>
      </c>
      <c r="J110" s="113">
        <f t="shared" si="5"/>
        <v>-0.05181513769</v>
      </c>
      <c r="K110" s="65">
        <f t="shared" si="6"/>
        <v>1393.38</v>
      </c>
      <c r="L110" s="25">
        <f t="shared" si="7"/>
        <v>-0.0398358209</v>
      </c>
      <c r="M110" s="65">
        <f t="shared" si="8"/>
        <v>714.95</v>
      </c>
      <c r="N110" s="25">
        <f t="shared" si="9"/>
        <v>0.03024754154</v>
      </c>
      <c r="O110" s="25">
        <f t="shared" si="10"/>
        <v>-0.07008336244</v>
      </c>
      <c r="S110" s="1"/>
      <c r="T110" s="1"/>
      <c r="U110" s="1"/>
      <c r="V110" s="1"/>
      <c r="W110" s="1"/>
    </row>
    <row r="111">
      <c r="A111" s="1"/>
      <c r="B111" s="112">
        <f>IFERROR(__xludf.DUMMYFUNCTION("""COMPUTED_VALUE"""),46289.64583333333)</f>
        <v>46289.64583</v>
      </c>
      <c r="C111" s="1">
        <f>IFERROR(__xludf.DUMMYFUNCTION("""COMPUTED_VALUE"""),1334.5)</f>
        <v>1334.5</v>
      </c>
      <c r="D111" s="1"/>
      <c r="E111" s="112">
        <f>IFERROR(__xludf.DUMMYFUNCTION("""COMPUTED_VALUE"""),46289.64583333333)</f>
        <v>46289.64583</v>
      </c>
      <c r="F111" s="1">
        <f>IFERROR(__xludf.DUMMYFUNCTION("""COMPUTED_VALUE"""),728.9)</f>
        <v>728.9</v>
      </c>
      <c r="G111" s="1"/>
      <c r="H111" s="29">
        <f t="shared" si="3"/>
        <v>1.830840993</v>
      </c>
      <c r="I111" s="1">
        <f t="shared" si="4"/>
        <v>605.6</v>
      </c>
      <c r="J111" s="113">
        <f t="shared" si="5"/>
        <v>-0.01745387589</v>
      </c>
      <c r="K111" s="65">
        <f t="shared" si="6"/>
        <v>1388.605</v>
      </c>
      <c r="L111" s="25">
        <f t="shared" si="7"/>
        <v>-0.04054327463</v>
      </c>
      <c r="M111" s="65">
        <f t="shared" si="8"/>
        <v>715.035</v>
      </c>
      <c r="N111" s="25">
        <f t="shared" si="9"/>
        <v>0.01902181369</v>
      </c>
      <c r="O111" s="25">
        <f t="shared" si="10"/>
        <v>-0.05956508833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12">
        <f>IFERROR(__xludf.DUMMYFUNCTION("""COMPUTED_VALUE"""),46290.64583333333)</f>
        <v>46290.64583</v>
      </c>
      <c r="C112" s="1">
        <f>IFERROR(__xludf.DUMMYFUNCTION("""COMPUTED_VALUE"""),1326.8)</f>
        <v>1326.8</v>
      </c>
      <c r="D112" s="1"/>
      <c r="E112" s="112">
        <f>IFERROR(__xludf.DUMMYFUNCTION("""COMPUTED_VALUE"""),46290.64583333333)</f>
        <v>46290.64583</v>
      </c>
      <c r="F112" s="1">
        <f>IFERROR(__xludf.DUMMYFUNCTION("""COMPUTED_VALUE"""),735.6)</f>
        <v>735.6</v>
      </c>
      <c r="G112" s="1"/>
      <c r="H112" s="29">
        <f t="shared" si="3"/>
        <v>1.803697662</v>
      </c>
      <c r="I112" s="1">
        <f t="shared" si="4"/>
        <v>591.2</v>
      </c>
      <c r="J112" s="113">
        <f t="shared" si="5"/>
        <v>-0.1910686724</v>
      </c>
      <c r="K112" s="65">
        <f t="shared" si="6"/>
        <v>1382.795</v>
      </c>
      <c r="L112" s="25">
        <f t="shared" si="7"/>
        <v>-0.04220304492</v>
      </c>
      <c r="M112" s="65">
        <f t="shared" si="8"/>
        <v>716.265</v>
      </c>
      <c r="N112" s="25">
        <f t="shared" si="9"/>
        <v>0.02628466558</v>
      </c>
      <c r="O112" s="25">
        <f t="shared" si="10"/>
        <v>-0.0684877105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12">
        <f>IFERROR(__xludf.DUMMYFUNCTION("""COMPUTED_VALUE"""),46293.64583333333)</f>
        <v>46293.64583</v>
      </c>
      <c r="C113" s="1">
        <f>IFERROR(__xludf.DUMMYFUNCTION("""COMPUTED_VALUE"""),1302.0)</f>
        <v>1302</v>
      </c>
      <c r="D113" s="1"/>
      <c r="E113" s="112">
        <f>IFERROR(__xludf.DUMMYFUNCTION("""COMPUTED_VALUE"""),46293.64583333333)</f>
        <v>46293.64583</v>
      </c>
      <c r="F113" s="1">
        <f>IFERROR(__xludf.DUMMYFUNCTION("""COMPUTED_VALUE"""),719.05)</f>
        <v>719.05</v>
      </c>
      <c r="G113" s="1"/>
      <c r="H113" s="29">
        <f t="shared" si="3"/>
        <v>1.810722481</v>
      </c>
      <c r="I113" s="1">
        <f t="shared" si="4"/>
        <v>582.95</v>
      </c>
      <c r="J113" s="113">
        <f t="shared" si="5"/>
        <v>-0.2905354828</v>
      </c>
      <c r="K113" s="65">
        <f t="shared" si="6"/>
        <v>1376.755</v>
      </c>
      <c r="L113" s="25">
        <f t="shared" si="7"/>
        <v>-0.05741551459</v>
      </c>
      <c r="M113" s="65">
        <f t="shared" si="8"/>
        <v>716.2025</v>
      </c>
      <c r="N113" s="25">
        <f t="shared" si="9"/>
        <v>0.003960086225</v>
      </c>
      <c r="O113" s="25">
        <f t="shared" si="10"/>
        <v>-0.06137560082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12">
        <f>IFERROR(__xludf.DUMMYFUNCTION("""COMPUTED_VALUE"""),46294.64583333333)</f>
        <v>46294.64583</v>
      </c>
      <c r="C114" s="1">
        <f>IFERROR(__xludf.DUMMYFUNCTION("""COMPUTED_VALUE"""),1292.2)</f>
        <v>1292.2</v>
      </c>
      <c r="D114" s="1"/>
      <c r="E114" s="112">
        <f>IFERROR(__xludf.DUMMYFUNCTION("""COMPUTED_VALUE"""),46294.64583333333)</f>
        <v>46294.64583</v>
      </c>
      <c r="F114" s="1">
        <f>IFERROR(__xludf.DUMMYFUNCTION("""COMPUTED_VALUE"""),722.7)</f>
        <v>722.7</v>
      </c>
      <c r="G114" s="1"/>
      <c r="H114" s="29">
        <f t="shared" si="3"/>
        <v>1.788017158</v>
      </c>
      <c r="I114" s="1">
        <f t="shared" si="4"/>
        <v>569.5</v>
      </c>
      <c r="J114" s="113">
        <f t="shared" si="5"/>
        <v>-0.4526965254</v>
      </c>
      <c r="K114" s="65">
        <f t="shared" si="6"/>
        <v>1368.665</v>
      </c>
      <c r="L114" s="25">
        <f t="shared" si="7"/>
        <v>-0.05917427643</v>
      </c>
      <c r="M114" s="65">
        <f t="shared" si="8"/>
        <v>716.8875</v>
      </c>
      <c r="N114" s="25">
        <f t="shared" si="9"/>
        <v>0.00804275633</v>
      </c>
      <c r="O114" s="25">
        <f t="shared" si="10"/>
        <v>-0.06721703276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12">
        <f>IFERROR(__xludf.DUMMYFUNCTION("""COMPUTED_VALUE"""),46295.64583333333)</f>
        <v>46295.64583</v>
      </c>
      <c r="C115" s="1">
        <f>IFERROR(__xludf.DUMMYFUNCTION("""COMPUTED_VALUE"""),1321.7)</f>
        <v>1321.7</v>
      </c>
      <c r="D115" s="1"/>
      <c r="E115" s="112">
        <f>IFERROR(__xludf.DUMMYFUNCTION("""COMPUTED_VALUE"""),46295.64583333333)</f>
        <v>46295.64583</v>
      </c>
      <c r="F115" s="1">
        <f>IFERROR(__xludf.DUMMYFUNCTION("""COMPUTED_VALUE"""),708.7)</f>
        <v>708.7</v>
      </c>
      <c r="G115" s="1"/>
      <c r="H115" s="29">
        <f t="shared" si="3"/>
        <v>1.864964019</v>
      </c>
      <c r="I115" s="1">
        <f t="shared" si="4"/>
        <v>613</v>
      </c>
      <c r="J115" s="113">
        <f t="shared" si="5"/>
        <v>0.07176483896</v>
      </c>
      <c r="K115" s="65">
        <f t="shared" si="6"/>
        <v>1362.85</v>
      </c>
      <c r="L115" s="25">
        <f t="shared" si="7"/>
        <v>-0.03113414542</v>
      </c>
      <c r="M115" s="65">
        <f t="shared" si="8"/>
        <v>716.7275</v>
      </c>
      <c r="N115" s="25">
        <f t="shared" si="9"/>
        <v>-0.01132707775</v>
      </c>
      <c r="O115" s="25">
        <f t="shared" si="10"/>
        <v>-0.01980706767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12">
        <f>IFERROR(__xludf.DUMMYFUNCTION("""COMPUTED_VALUE"""),46296.64583333333)</f>
        <v>46296.64583</v>
      </c>
      <c r="C116" s="1">
        <f>IFERROR(__xludf.DUMMYFUNCTION("""COMPUTED_VALUE"""),1310.6)</f>
        <v>1310.6</v>
      </c>
      <c r="D116" s="1"/>
      <c r="E116" s="112">
        <f>IFERROR(__xludf.DUMMYFUNCTION("""COMPUTED_VALUE"""),46296.64583333333)</f>
        <v>46296.64583</v>
      </c>
      <c r="F116" s="1">
        <f>IFERROR(__xludf.DUMMYFUNCTION("""COMPUTED_VALUE"""),721.2)</f>
        <v>721.2</v>
      </c>
      <c r="G116" s="1"/>
      <c r="H116" s="29">
        <f t="shared" si="3"/>
        <v>1.817249029</v>
      </c>
      <c r="I116" s="1">
        <f t="shared" si="4"/>
        <v>589.4</v>
      </c>
      <c r="J116" s="113">
        <f t="shared" si="5"/>
        <v>-0.2127705219</v>
      </c>
      <c r="K116" s="65">
        <f t="shared" si="6"/>
        <v>1357.055</v>
      </c>
      <c r="L116" s="25">
        <f t="shared" si="7"/>
        <v>-0.03544559744</v>
      </c>
      <c r="M116" s="65">
        <f t="shared" si="8"/>
        <v>717.7475</v>
      </c>
      <c r="N116" s="25">
        <f t="shared" si="9"/>
        <v>0.004787160288</v>
      </c>
      <c r="O116" s="25">
        <f t="shared" si="10"/>
        <v>-0.04023275772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12">
        <f>IFERROR(__xludf.DUMMYFUNCTION("""COMPUTED_VALUE"""),46300.64583333333)</f>
        <v>46300.64583</v>
      </c>
      <c r="C117" s="1">
        <f>IFERROR(__xludf.DUMMYFUNCTION("""COMPUTED_VALUE"""),1332.0)</f>
        <v>1332</v>
      </c>
      <c r="D117" s="1"/>
      <c r="E117" s="112">
        <f>IFERROR(__xludf.DUMMYFUNCTION("""COMPUTED_VALUE"""),46300.64583333333)</f>
        <v>46300.64583</v>
      </c>
      <c r="F117" s="1">
        <f>IFERROR(__xludf.DUMMYFUNCTION("""COMPUTED_VALUE"""),704.8)</f>
        <v>704.8</v>
      </c>
      <c r="G117" s="1"/>
      <c r="H117" s="29">
        <f t="shared" si="3"/>
        <v>1.889897843</v>
      </c>
      <c r="I117" s="1">
        <f t="shared" si="4"/>
        <v>627.2</v>
      </c>
      <c r="J117" s="113">
        <f t="shared" si="5"/>
        <v>0.2429683188</v>
      </c>
      <c r="K117" s="65">
        <f t="shared" si="6"/>
        <v>1352.155</v>
      </c>
      <c r="L117" s="25">
        <f t="shared" si="7"/>
        <v>-0.01513138138</v>
      </c>
      <c r="M117" s="65">
        <f t="shared" si="8"/>
        <v>717.655</v>
      </c>
      <c r="N117" s="25">
        <f t="shared" si="9"/>
        <v>-0.0182392168</v>
      </c>
      <c r="O117" s="25">
        <f t="shared" si="10"/>
        <v>0.003107835418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12">
        <f>IFERROR(__xludf.DUMMYFUNCTION("""COMPUTED_VALUE"""),46301.64583333333)</f>
        <v>46301.64583</v>
      </c>
      <c r="C118" s="1">
        <f>IFERROR(__xludf.DUMMYFUNCTION("""COMPUTED_VALUE"""),1342.8)</f>
        <v>1342.8</v>
      </c>
      <c r="D118" s="1"/>
      <c r="E118" s="112">
        <f>IFERROR(__xludf.DUMMYFUNCTION("""COMPUTED_VALUE"""),46301.64583333333)</f>
        <v>46301.64583</v>
      </c>
      <c r="F118" s="1">
        <f>IFERROR(__xludf.DUMMYFUNCTION("""COMPUTED_VALUE"""),711.45)</f>
        <v>711.45</v>
      </c>
      <c r="G118" s="1"/>
      <c r="H118" s="29">
        <f t="shared" si="3"/>
        <v>1.88741303</v>
      </c>
      <c r="I118" s="1"/>
      <c r="J118" s="113"/>
      <c r="K118" s="65"/>
      <c r="L118" s="25"/>
      <c r="M118" s="65"/>
      <c r="N118" s="2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12">
        <f>IFERROR(__xludf.DUMMYFUNCTION("""COMPUTED_VALUE"""),46302.64583333333)</f>
        <v>46302.64583</v>
      </c>
      <c r="C119" s="1">
        <f>IFERROR(__xludf.DUMMYFUNCTION("""COMPUTED_VALUE"""),1357.5)</f>
        <v>1357.5</v>
      </c>
      <c r="D119" s="1"/>
      <c r="E119" s="112">
        <f>IFERROR(__xludf.DUMMYFUNCTION("""COMPUTED_VALUE"""),46302.64583333333)</f>
        <v>46302.64583</v>
      </c>
      <c r="F119" s="1">
        <f>IFERROR(__xludf.DUMMYFUNCTION("""COMPUTED_VALUE"""),702.75)</f>
        <v>702.75</v>
      </c>
      <c r="G119" s="1"/>
      <c r="H119" s="29">
        <f t="shared" si="3"/>
        <v>1.931696905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73"/>
      <c r="B120" s="174">
        <f>IFERROR(__xludf.DUMMYFUNCTION("""COMPUTED_VALUE"""),46303.64583333333)</f>
        <v>46303.64583</v>
      </c>
      <c r="C120" s="175">
        <f>IFERROR(__xludf.DUMMYFUNCTION("""COMPUTED_VALUE"""),1349.0)</f>
        <v>1349</v>
      </c>
      <c r="D120" s="175"/>
      <c r="E120" s="174">
        <f>IFERROR(__xludf.DUMMYFUNCTION("""COMPUTED_VALUE"""),46303.64583333333)</f>
        <v>46303.64583</v>
      </c>
      <c r="F120" s="175">
        <f>IFERROR(__xludf.DUMMYFUNCTION("""COMPUTED_VALUE"""),692.25)</f>
        <v>692.25</v>
      </c>
      <c r="G120" s="175"/>
      <c r="H120" s="29">
        <f t="shared" si="3"/>
        <v>1.948717949</v>
      </c>
      <c r="I120" s="175"/>
      <c r="J120" s="176"/>
      <c r="K120" s="177"/>
      <c r="L120" s="178"/>
      <c r="M120" s="177"/>
      <c r="N120" s="178"/>
      <c r="O120" s="17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73"/>
      <c r="B121" s="174">
        <f>IFERROR(__xludf.DUMMYFUNCTION("""COMPUTED_VALUE"""),46304.64583333333)</f>
        <v>46304.64583</v>
      </c>
      <c r="C121" s="175">
        <f>IFERROR(__xludf.DUMMYFUNCTION("""COMPUTED_VALUE"""),1355.0)</f>
        <v>1355</v>
      </c>
      <c r="D121" s="175"/>
      <c r="E121" s="174">
        <f>IFERROR(__xludf.DUMMYFUNCTION("""COMPUTED_VALUE"""),46304.64583333333)</f>
        <v>46304.64583</v>
      </c>
      <c r="F121" s="175">
        <f>IFERROR(__xludf.DUMMYFUNCTION("""COMPUTED_VALUE"""),707.25)</f>
        <v>707.25</v>
      </c>
      <c r="G121" s="175"/>
      <c r="H121" s="29">
        <f t="shared" si="3"/>
        <v>1.915871333</v>
      </c>
      <c r="I121" s="175"/>
      <c r="J121" s="176"/>
      <c r="K121" s="177"/>
      <c r="L121" s="178"/>
      <c r="M121" s="177"/>
      <c r="N121" s="178"/>
      <c r="O121" s="175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73"/>
      <c r="B122" s="174">
        <f>IFERROR(__xludf.DUMMYFUNCTION("""COMPUTED_VALUE"""),46307.64583333333)</f>
        <v>46307.64583</v>
      </c>
      <c r="C122" s="175">
        <f>IFERROR(__xludf.DUMMYFUNCTION("""COMPUTED_VALUE"""),1340.0)</f>
        <v>1340</v>
      </c>
      <c r="D122" s="175"/>
      <c r="E122" s="174">
        <f>IFERROR(__xludf.DUMMYFUNCTION("""COMPUTED_VALUE"""),46307.64583333333)</f>
        <v>46307.64583</v>
      </c>
      <c r="F122" s="175">
        <f>IFERROR(__xludf.DUMMYFUNCTION("""COMPUTED_VALUE"""),704.9)</f>
        <v>704.9</v>
      </c>
      <c r="G122" s="175"/>
      <c r="H122" s="179"/>
      <c r="I122" s="175"/>
      <c r="J122" s="176"/>
      <c r="K122" s="177"/>
      <c r="L122" s="178"/>
      <c r="M122" s="177"/>
      <c r="N122" s="178"/>
      <c r="O122" s="175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73"/>
      <c r="B123" s="174">
        <f>IFERROR(__xludf.DUMMYFUNCTION("""COMPUTED_VALUE"""),46308.64583333333)</f>
        <v>46308.64583</v>
      </c>
      <c r="C123" s="175">
        <f>IFERROR(__xludf.DUMMYFUNCTION("""COMPUTED_VALUE"""),1360.2)</f>
        <v>1360.2</v>
      </c>
      <c r="D123" s="175"/>
      <c r="E123" s="174">
        <f>IFERROR(__xludf.DUMMYFUNCTION("""COMPUTED_VALUE"""),46308.64583333333)</f>
        <v>46308.64583</v>
      </c>
      <c r="F123" s="175">
        <f>IFERROR(__xludf.DUMMYFUNCTION("""COMPUTED_VALUE"""),714.0)</f>
        <v>714</v>
      </c>
      <c r="G123" s="175"/>
      <c r="H123" s="179"/>
      <c r="I123" s="175"/>
      <c r="J123" s="176"/>
      <c r="K123" s="177"/>
      <c r="L123" s="178"/>
      <c r="M123" s="177"/>
      <c r="N123" s="178"/>
      <c r="O123" s="175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73"/>
      <c r="B124" s="174">
        <f>IFERROR(__xludf.DUMMYFUNCTION("""COMPUTED_VALUE"""),46309.64583333333)</f>
        <v>46309.64583</v>
      </c>
      <c r="C124" s="175">
        <f>IFERROR(__xludf.DUMMYFUNCTION("""COMPUTED_VALUE"""),1338.6)</f>
        <v>1338.6</v>
      </c>
      <c r="D124" s="175"/>
      <c r="E124" s="174">
        <f>IFERROR(__xludf.DUMMYFUNCTION("""COMPUTED_VALUE"""),46309.64583333333)</f>
        <v>46309.64583</v>
      </c>
      <c r="F124" s="175">
        <f>IFERROR(__xludf.DUMMYFUNCTION("""COMPUTED_VALUE"""),710.7)</f>
        <v>710.7</v>
      </c>
      <c r="G124" s="175"/>
      <c r="H124" s="179"/>
      <c r="I124" s="175"/>
      <c r="J124" s="176"/>
      <c r="K124" s="177"/>
      <c r="L124" s="178"/>
      <c r="M124" s="177"/>
      <c r="N124" s="178"/>
      <c r="O124" s="17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73"/>
      <c r="B125" s="174">
        <f>IFERROR(__xludf.DUMMYFUNCTION("""COMPUTED_VALUE"""),46310.64583333333)</f>
        <v>46310.64583</v>
      </c>
      <c r="C125" s="175">
        <f>IFERROR(__xludf.DUMMYFUNCTION("""COMPUTED_VALUE"""),1389.4)</f>
        <v>1389.4</v>
      </c>
      <c r="D125" s="175"/>
      <c r="E125" s="174">
        <f>IFERROR(__xludf.DUMMYFUNCTION("""COMPUTED_VALUE"""),46310.64583333333)</f>
        <v>46310.64583</v>
      </c>
      <c r="F125" s="175">
        <f>IFERROR(__xludf.DUMMYFUNCTION("""COMPUTED_VALUE"""),726.85)</f>
        <v>726.85</v>
      </c>
      <c r="G125" s="175"/>
      <c r="H125" s="179"/>
      <c r="I125" s="175"/>
      <c r="J125" s="176"/>
      <c r="K125" s="177"/>
      <c r="L125" s="178"/>
      <c r="M125" s="177"/>
      <c r="N125" s="178"/>
      <c r="O125" s="175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73"/>
      <c r="B126" s="174">
        <f>IFERROR(__xludf.DUMMYFUNCTION("""COMPUTED_VALUE"""),46311.64583333333)</f>
        <v>46311.64583</v>
      </c>
      <c r="C126" s="175">
        <f>IFERROR(__xludf.DUMMYFUNCTION("""COMPUTED_VALUE"""),1397.0)</f>
        <v>1397</v>
      </c>
      <c r="D126" s="175"/>
      <c r="E126" s="174">
        <f>IFERROR(__xludf.DUMMYFUNCTION("""COMPUTED_VALUE"""),46311.64583333333)</f>
        <v>46311.64583</v>
      </c>
      <c r="F126" s="175">
        <f>IFERROR(__xludf.DUMMYFUNCTION("""COMPUTED_VALUE"""),728.85)</f>
        <v>728.85</v>
      </c>
      <c r="G126" s="175"/>
      <c r="H126" s="179"/>
      <c r="I126" s="175"/>
      <c r="J126" s="176"/>
      <c r="K126" s="177"/>
      <c r="L126" s="178"/>
      <c r="M126" s="177"/>
      <c r="N126" s="178"/>
      <c r="O126" s="175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73"/>
      <c r="B127" s="175"/>
      <c r="C127" s="175"/>
      <c r="D127" s="175"/>
      <c r="E127" s="175"/>
      <c r="F127" s="175"/>
      <c r="G127" s="175"/>
      <c r="H127" s="179"/>
      <c r="I127" s="175"/>
      <c r="J127" s="176"/>
      <c r="K127" s="177"/>
      <c r="L127" s="178"/>
      <c r="M127" s="177"/>
      <c r="N127" s="178"/>
      <c r="O127" s="17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73" t="s">
        <v>9</v>
      </c>
      <c r="B128" s="174">
        <f>IFERROR(__xludf.DUMMYFUNCTION("GOOGLEFINANCE(B9,""TRADETIME"")"),46311.64583333333)</f>
        <v>46311.64583</v>
      </c>
      <c r="C128" s="175">
        <f>IFERROR(__xludf.DUMMYFUNCTION("GOOGLEFINANCE(B9,""PRICE"")"),1397.0)</f>
        <v>1397</v>
      </c>
      <c r="D128" s="175"/>
      <c r="E128" s="174">
        <f>IFERROR(__xludf.DUMMYFUNCTION("GOOGLEFINANCE(E9,""TRADETIME"")"),46311.64583333333)</f>
        <v>46311.64583</v>
      </c>
      <c r="F128" s="175">
        <f>IFERROR(__xludf.DUMMYFUNCTION("GOOGLEFINANCE(E9,""PRICE"")"),728.85)</f>
        <v>728.85</v>
      </c>
      <c r="G128" s="175"/>
      <c r="H128" s="179">
        <f>C128/F128</f>
        <v>1.916718118</v>
      </c>
      <c r="I128" s="175">
        <f>C128-F128</f>
        <v>668.15</v>
      </c>
      <c r="J128" s="176">
        <f>((I128-$I$129)/$I$130)</f>
        <v>0.7366853963</v>
      </c>
      <c r="K128" s="177">
        <f>AVERAGE(C73:C109)</f>
        <v>1411.405405</v>
      </c>
      <c r="L128" s="178">
        <f>(C128-K128)/C128</f>
        <v>-0.01031167173</v>
      </c>
      <c r="M128" s="177">
        <f>AVERAGE(F73:F109)</f>
        <v>722.3432432</v>
      </c>
      <c r="N128" s="178">
        <f>(F128-M128)/F128</f>
        <v>0.008927429179</v>
      </c>
      <c r="O128" s="178">
        <f>L128-N128</f>
        <v>-0.01923910091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96" t="s">
        <v>138</v>
      </c>
      <c r="I129" s="177">
        <f>AVERAGE(I11:I118)</f>
        <v>607.0476636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96" t="s">
        <v>139</v>
      </c>
      <c r="I130" s="189">
        <f>_xlfn.STDEV.P(I11:I117)</f>
        <v>82.94223933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9">
        <f>C128*C132*C133</f>
        <v>2933700</v>
      </c>
      <c r="D131" s="9"/>
      <c r="E131" s="9"/>
      <c r="F131" s="190">
        <f>F128*F132*F133</f>
        <v>1202602.5</v>
      </c>
      <c r="G131" s="191">
        <f>C131/F131</f>
        <v>2.439459422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4">
        <v>700.0</v>
      </c>
      <c r="D132" s="9"/>
      <c r="E132" s="9"/>
      <c r="F132" s="14">
        <v>550.0</v>
      </c>
      <c r="G132" s="19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4">
        <v>3.0</v>
      </c>
      <c r="D133" s="9"/>
      <c r="E133" s="9"/>
      <c r="F133" s="14">
        <v>3.0</v>
      </c>
      <c r="G133" s="19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3" max="4" width="7.0"/>
    <col customWidth="1" min="5" max="5" width="20.63"/>
    <col customWidth="1" min="6" max="6" width="7.0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6.13"/>
  </cols>
  <sheetData>
    <row r="1">
      <c r="A1" s="1"/>
      <c r="B1" s="2" t="s">
        <v>0</v>
      </c>
      <c r="C1" s="4">
        <f>AVERAGE(C98:C118)</f>
        <v>1235.971429</v>
      </c>
      <c r="D1" s="1"/>
      <c r="E1" s="2" t="s">
        <v>0</v>
      </c>
      <c r="F1" s="4">
        <f>AVERAGE(F98:F118)</f>
        <v>1351.709524</v>
      </c>
      <c r="G1" s="1">
        <f>STDEV(F74:F93)</f>
        <v>17.18112183</v>
      </c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150</v>
      </c>
      <c r="V1" s="7" t="s">
        <v>7</v>
      </c>
      <c r="W1" s="7" t="s">
        <v>11</v>
      </c>
      <c r="X1" s="13" t="s">
        <v>12</v>
      </c>
      <c r="Y1" s="14" t="s">
        <v>14</v>
      </c>
      <c r="Z1" s="1"/>
      <c r="AA1" s="1"/>
      <c r="AB1" s="1"/>
      <c r="AC1" s="1"/>
    </row>
    <row r="2">
      <c r="A2" s="1"/>
      <c r="B2" s="17" t="s">
        <v>20</v>
      </c>
      <c r="C2" s="19">
        <f>AVERAGE(C88:C118)</f>
        <v>1242.809677</v>
      </c>
      <c r="D2" s="1"/>
      <c r="E2" s="17" t="s">
        <v>20</v>
      </c>
      <c r="F2" s="19">
        <f>AVERAGE(F88:F118)</f>
        <v>1377.029032</v>
      </c>
      <c r="G2" s="1"/>
      <c r="M2" s="7" t="s">
        <v>23</v>
      </c>
      <c r="N2" s="25">
        <f>CORREL(C88:C118,F88:F118)</f>
        <v>0.7444866314</v>
      </c>
      <c r="O2" s="7" t="s">
        <v>25</v>
      </c>
      <c r="P2" s="29">
        <f>AVERAGE(K88:K116)</f>
        <v>0.9018061774</v>
      </c>
      <c r="Q2" s="29">
        <f>MAX(K88:K116)</f>
        <v>0.9388303832</v>
      </c>
      <c r="R2" s="29">
        <f>MIN(K88:K116)</f>
        <v>0.8680677585</v>
      </c>
      <c r="S2" s="40">
        <f t="shared" ref="S2:S5" si="1">Q2-R2</f>
        <v>0.07076262466</v>
      </c>
      <c r="T2" s="1">
        <f>MATCH(MAX(K11:K116), K11:K116, 0)</f>
        <v>30</v>
      </c>
      <c r="U2" s="1">
        <f t="array" ref="U2">INDEX(C11:C116, MATCH(MAX(K11:K116), K11:K116, 0))</f>
        <v>1368.3</v>
      </c>
      <c r="V2" s="1">
        <f t="array" ref="V2">INDEX(F11:F116, MATCH(MAX(K11:K116), K11:K116, 0))</f>
        <v>1327.6</v>
      </c>
      <c r="W2" s="54">
        <f t="shared" ref="W2:W3" si="2">U2/V2</f>
        <v>1.030656824</v>
      </c>
      <c r="X2" s="7" t="s">
        <v>2</v>
      </c>
      <c r="Y2" s="14">
        <v>2711.0</v>
      </c>
      <c r="Z2" s="1"/>
      <c r="AA2" s="1"/>
      <c r="AB2" s="1"/>
      <c r="AC2" s="1"/>
    </row>
    <row r="3">
      <c r="A3" s="1">
        <f>STDEV(C75:C93)</f>
        <v>13.77932598</v>
      </c>
      <c r="B3" s="58" t="s">
        <v>61</v>
      </c>
      <c r="C3" s="61">
        <f>max(C98:C118)</f>
        <v>1273</v>
      </c>
      <c r="D3" s="65">
        <f>C1+A3*2</f>
        <v>1263.530081</v>
      </c>
      <c r="E3" s="58" t="s">
        <v>61</v>
      </c>
      <c r="F3" s="61">
        <f>max(F98:F118)</f>
        <v>1427.5</v>
      </c>
      <c r="G3" s="65">
        <f>F1+G1*2</f>
        <v>1386.071767</v>
      </c>
      <c r="M3" s="7" t="s">
        <v>64</v>
      </c>
      <c r="N3" s="25">
        <f>CORREL(C58:C118,F58:F118)</f>
        <v>0.3790516779</v>
      </c>
      <c r="O3" s="7" t="s">
        <v>67</v>
      </c>
      <c r="P3" s="29">
        <f>AVERAGE((K58:K116))</f>
        <v>0.8893586104</v>
      </c>
      <c r="Q3" s="29">
        <f>MAX(K58:K116)</f>
        <v>0.9446902655</v>
      </c>
      <c r="R3" s="29">
        <f>MIN(K58:K116)</f>
        <v>0.8490696548</v>
      </c>
      <c r="S3" s="40">
        <f t="shared" si="1"/>
        <v>0.09562061065</v>
      </c>
      <c r="T3" s="1">
        <f>MATCH(Min(K11:K116), K11:K116, 0)</f>
        <v>59</v>
      </c>
      <c r="U3" s="1">
        <f t="array" ref="U3">INDEX(C11:C116, MATCH(Min(K11:K116), K11:K116, 0))</f>
        <v>1227.5</v>
      </c>
      <c r="V3" s="1">
        <f t="array" ref="V3">INDEX(F11:F116, MATCH(MIN(K11:K116), K11:K116, 0))</f>
        <v>1445.7</v>
      </c>
      <c r="W3" s="54">
        <f t="shared" si="2"/>
        <v>0.8490696548</v>
      </c>
      <c r="X3" s="7" t="s">
        <v>3</v>
      </c>
      <c r="Y3" s="9"/>
      <c r="Z3" s="1"/>
      <c r="AA3" s="1"/>
      <c r="AB3" s="1"/>
      <c r="AC3" s="1"/>
    </row>
    <row r="4">
      <c r="A4" s="1"/>
      <c r="B4" s="58" t="s">
        <v>73</v>
      </c>
      <c r="C4" s="61">
        <f>MIN(C98:C118)</f>
        <v>1186.5</v>
      </c>
      <c r="D4" s="65">
        <f>C1-A3*2</f>
        <v>1208.412777</v>
      </c>
      <c r="E4" s="58" t="s">
        <v>73</v>
      </c>
      <c r="F4" s="61">
        <f>MIN(F98:F118)</f>
        <v>1292.2</v>
      </c>
      <c r="G4" s="65">
        <f>F1-G1*2</f>
        <v>1317.34728</v>
      </c>
      <c r="M4" s="7" t="s">
        <v>77</v>
      </c>
      <c r="N4" s="25">
        <f>CORREL(C28:C118,F28:F118)</f>
        <v>-0.09975294971</v>
      </c>
      <c r="O4" s="7" t="s">
        <v>79</v>
      </c>
      <c r="P4" s="29">
        <f>AVERAGE(K28:K116)</f>
        <v>0.925888702</v>
      </c>
      <c r="Q4" s="29">
        <f>MAX(K28:K116)</f>
        <v>1.030656824</v>
      </c>
      <c r="R4" s="29">
        <f>MIN(K28:K116)</f>
        <v>0.8490696548</v>
      </c>
      <c r="S4" s="40">
        <f t="shared" si="1"/>
        <v>0.1815871695</v>
      </c>
      <c r="T4" s="1"/>
      <c r="U4" s="1"/>
      <c r="V4" s="1"/>
      <c r="W4" s="54"/>
      <c r="X4" s="1"/>
      <c r="Y4" s="9"/>
      <c r="Z4" s="1"/>
      <c r="AA4" s="1"/>
      <c r="AB4" s="1"/>
      <c r="AC4" s="1"/>
    </row>
    <row r="5">
      <c r="A5" s="1"/>
      <c r="B5" s="58" t="s">
        <v>81</v>
      </c>
      <c r="C5" s="61">
        <f>max(C108:C118)</f>
        <v>1250</v>
      </c>
      <c r="D5" s="65">
        <f>C1+A3</f>
        <v>1249.750755</v>
      </c>
      <c r="E5" s="58" t="s">
        <v>81</v>
      </c>
      <c r="F5" s="61">
        <f>max(F108:F118)</f>
        <v>1345</v>
      </c>
      <c r="G5" s="65">
        <f>F1+G1</f>
        <v>1368.890646</v>
      </c>
      <c r="H5" s="1"/>
      <c r="I5" s="1"/>
      <c r="J5" s="1"/>
      <c r="K5" s="1"/>
      <c r="L5" s="1"/>
      <c r="M5" s="7" t="s">
        <v>82</v>
      </c>
      <c r="N5" s="25">
        <f>CORREL(C11:C118,F11:F118)</f>
        <v>-0.02847261392</v>
      </c>
      <c r="O5" s="7" t="s">
        <v>83</v>
      </c>
      <c r="P5" s="29">
        <f>AVERAGE(K11:K116)</f>
        <v>0.9390252555</v>
      </c>
      <c r="Q5" s="29">
        <f>MAX(K11:K116)</f>
        <v>1.030656824</v>
      </c>
      <c r="R5" s="29">
        <f>MIN(K11:K116)</f>
        <v>0.8490696548</v>
      </c>
      <c r="S5" s="40">
        <f t="shared" si="1"/>
        <v>0.1815871695</v>
      </c>
      <c r="T5" s="96" t="s">
        <v>150</v>
      </c>
      <c r="U5" s="96">
        <v>2.0</v>
      </c>
      <c r="V5" s="99">
        <f>U2*U7*U5</f>
        <v>1710375</v>
      </c>
      <c r="W5" s="101">
        <f>V2*U6*U8</f>
        <v>1858640</v>
      </c>
      <c r="X5" s="99"/>
      <c r="Y5" s="9"/>
      <c r="Z5" s="1"/>
      <c r="AA5" s="1"/>
      <c r="AB5" s="1"/>
      <c r="AC5" s="1"/>
    </row>
    <row r="6">
      <c r="A6" s="1"/>
      <c r="B6" s="58" t="s">
        <v>87</v>
      </c>
      <c r="C6" s="61">
        <f>MIN(C108:C118)</f>
        <v>1186.5</v>
      </c>
      <c r="D6" s="65">
        <f>C1-A3</f>
        <v>1222.192103</v>
      </c>
      <c r="E6" s="58" t="s">
        <v>87</v>
      </c>
      <c r="F6" s="61">
        <f>MIN(F108:F118)</f>
        <v>1292.2</v>
      </c>
      <c r="G6" s="65">
        <f>F1-G1</f>
        <v>1334.528402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7</v>
      </c>
      <c r="U6" s="96">
        <v>2.0</v>
      </c>
      <c r="V6" s="99">
        <f>U3*U5*U7</f>
        <v>1534375</v>
      </c>
      <c r="W6" s="99">
        <f>V3*U6*U8</f>
        <v>2023980</v>
      </c>
      <c r="X6" s="99"/>
      <c r="Y6" s="9"/>
      <c r="Z6" s="1"/>
      <c r="AA6" s="1"/>
      <c r="AB6" s="1"/>
      <c r="AC6" s="1"/>
    </row>
    <row r="7">
      <c r="A7" s="1"/>
      <c r="B7" s="7" t="s">
        <v>88</v>
      </c>
      <c r="C7" s="1">
        <f>max(C88:C118)</f>
        <v>1300</v>
      </c>
      <c r="D7" s="1"/>
      <c r="E7" s="7" t="s">
        <v>88</v>
      </c>
      <c r="F7" s="1">
        <f>max(F88:F118)</f>
        <v>1454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7" t="s">
        <v>150</v>
      </c>
      <c r="U7" s="7">
        <v>625.0</v>
      </c>
      <c r="V7" s="1"/>
      <c r="W7" s="1"/>
      <c r="X7" s="1"/>
      <c r="Y7" s="9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1235.971429</v>
      </c>
      <c r="D8" s="1"/>
      <c r="E8" s="58" t="s">
        <v>90</v>
      </c>
      <c r="F8" s="107">
        <f>AVERAGE(F98:F118)</f>
        <v>1351.709524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7" t="s">
        <v>7</v>
      </c>
      <c r="U8" s="7">
        <v>700.0</v>
      </c>
      <c r="V8" s="1"/>
      <c r="W8" s="1"/>
      <c r="X8" s="1"/>
      <c r="Y8" s="9"/>
      <c r="Z8" s="1"/>
      <c r="AA8" s="1"/>
      <c r="AB8" s="1"/>
      <c r="AC8" s="1"/>
    </row>
    <row r="9">
      <c r="A9" s="1"/>
      <c r="B9" s="13" t="s">
        <v>102</v>
      </c>
      <c r="C9" s="1"/>
      <c r="D9" s="1"/>
      <c r="E9" s="13" t="s">
        <v>65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9"/>
      <c r="Z9" s="1"/>
      <c r="AA9" s="1"/>
      <c r="AB9" s="1"/>
      <c r="AC9" s="1"/>
    </row>
    <row r="10">
      <c r="A10" s="1"/>
      <c r="B10" s="1" t="str">
        <f>IFERROR(__xludf.DUMMYFUNCTION("GOOGLEFINANCE(B9,""price"",TODAY()-166,TODAY())"),"Date")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IFERROR(__xludf.DUMMYFUNCTION("GOOGLEFINANCE(E9,""price"",TODAY()-166,TODAY())"),"Date")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151</v>
      </c>
      <c r="M10" s="7" t="s">
        <v>152</v>
      </c>
      <c r="N10" s="7" t="s">
        <v>153</v>
      </c>
      <c r="O10" s="7" t="s">
        <v>154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">
        <v>150</v>
      </c>
      <c r="AA10" s="111" t="s">
        <v>7</v>
      </c>
      <c r="AB10" s="1"/>
      <c r="AC10" s="1"/>
    </row>
    <row r="11">
      <c r="A11" s="1"/>
      <c r="B11" s="112">
        <f>IFERROR(__xludf.DUMMYFUNCTION("""COMPUTED_VALUE"""),46146.64583333333)</f>
        <v>46146.64583</v>
      </c>
      <c r="C11" s="1">
        <f>IFERROR(__xludf.DUMMYFUNCTION("""COMPUTED_VALUE"""),1275.1)</f>
        <v>1275.1</v>
      </c>
      <c r="D11" s="1"/>
      <c r="E11" s="112">
        <f>IFERROR(__xludf.DUMMYFUNCTION("""COMPUTED_VALUE"""),46146.64583333333)</f>
        <v>46146.64583</v>
      </c>
      <c r="F11" s="1">
        <f>IFERROR(__xludf.DUMMYFUNCTION("""COMPUTED_VALUE"""),1270.8)</f>
        <v>1270.8</v>
      </c>
      <c r="G11" s="1"/>
      <c r="H11" s="29">
        <f t="shared" ref="H11:H124" si="3">C11/F11</f>
        <v>1.003383695</v>
      </c>
      <c r="I11" s="1">
        <f t="shared" ref="I11:I117" si="4">C11-F11</f>
        <v>4.3</v>
      </c>
      <c r="J11" s="113">
        <f t="shared" ref="J11:J117" si="5">((I11-$I$129)/$I$130)</f>
        <v>1.053079641</v>
      </c>
      <c r="K11" s="29">
        <f t="shared" ref="K11:K117" si="6">C11/F11</f>
        <v>1.003383695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>
        <f>V5-V6</f>
        <v>176000</v>
      </c>
      <c r="W11" s="54">
        <f>W6-W5</f>
        <v>165340</v>
      </c>
      <c r="X11" s="101">
        <f>V11+W11</f>
        <v>341340</v>
      </c>
      <c r="Y11" s="110" t="s">
        <v>101</v>
      </c>
      <c r="Z11" s="115">
        <f>AVERAGE(C88,C118)</f>
        <v>1246.9</v>
      </c>
      <c r="AA11" s="115">
        <f>AVERAGE(F88,F118)</f>
        <v>1381.4</v>
      </c>
      <c r="AB11" s="1"/>
      <c r="AC11" s="1"/>
    </row>
    <row r="12">
      <c r="A12" s="1"/>
      <c r="B12" s="112">
        <f>IFERROR(__xludf.DUMMYFUNCTION("""COMPUTED_VALUE"""),46147.64583333333)</f>
        <v>46147.64583</v>
      </c>
      <c r="C12" s="1">
        <f>IFERROR(__xludf.DUMMYFUNCTION("""COMPUTED_VALUE"""),1259.7)</f>
        <v>1259.7</v>
      </c>
      <c r="D12" s="1"/>
      <c r="E12" s="112">
        <f>IFERROR(__xludf.DUMMYFUNCTION("""COMPUTED_VALUE"""),46147.64583333333)</f>
        <v>46147.64583</v>
      </c>
      <c r="F12" s="1">
        <f>IFERROR(__xludf.DUMMYFUNCTION("""COMPUTED_VALUE"""),1251.3)</f>
        <v>1251.3</v>
      </c>
      <c r="G12" s="1"/>
      <c r="H12" s="29">
        <f t="shared" si="3"/>
        <v>1.006713018</v>
      </c>
      <c r="I12" s="1">
        <f t="shared" si="4"/>
        <v>8.4</v>
      </c>
      <c r="J12" s="113">
        <f t="shared" si="5"/>
        <v>1.100425919</v>
      </c>
      <c r="K12" s="29">
        <f t="shared" si="6"/>
        <v>1.006713018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S2/2</f>
        <v>0.03538131233</v>
      </c>
      <c r="V12" s="1"/>
      <c r="W12" s="1"/>
      <c r="X12" s="1"/>
      <c r="Y12" s="110" t="s">
        <v>104</v>
      </c>
      <c r="Z12" s="115">
        <f>AVERAGE(C58,C118)</f>
        <v>1285.85</v>
      </c>
      <c r="AA12" s="115">
        <f>AVERAGE(F58,F118)</f>
        <v>1372</v>
      </c>
      <c r="AB12" s="1"/>
      <c r="AC12" s="1"/>
    </row>
    <row r="13">
      <c r="A13" s="1"/>
      <c r="B13" s="112">
        <f>IFERROR(__xludf.DUMMYFUNCTION("""COMPUTED_VALUE"""),46148.64583333333)</f>
        <v>46148.64583</v>
      </c>
      <c r="C13" s="1">
        <f>IFERROR(__xludf.DUMMYFUNCTION("""COMPUTED_VALUE"""),1294.2)</f>
        <v>1294.2</v>
      </c>
      <c r="D13" s="1"/>
      <c r="E13" s="112">
        <f>IFERROR(__xludf.DUMMYFUNCTION("""COMPUTED_VALUE"""),46148.64583333333)</f>
        <v>46148.64583</v>
      </c>
      <c r="F13" s="1">
        <f>IFERROR(__xludf.DUMMYFUNCTION("""COMPUTED_VALUE"""),1279.5)</f>
        <v>1279.5</v>
      </c>
      <c r="G13" s="1"/>
      <c r="H13" s="29">
        <f t="shared" si="3"/>
        <v>1.011488863</v>
      </c>
      <c r="I13" s="1">
        <f t="shared" si="4"/>
        <v>14.7</v>
      </c>
      <c r="J13" s="113">
        <f t="shared" si="5"/>
        <v>1.173177516</v>
      </c>
      <c r="K13" s="29">
        <f t="shared" si="6"/>
        <v>1.011488863</v>
      </c>
      <c r="L13" s="1"/>
      <c r="M13" s="1"/>
      <c r="N13" s="1"/>
      <c r="O13" s="25"/>
      <c r="P13" s="1"/>
      <c r="Q13" s="1"/>
      <c r="R13" s="1"/>
      <c r="S13" s="9"/>
      <c r="T13" s="117"/>
      <c r="U13" s="118">
        <f>(X11*U12)/S2</f>
        <v>170670</v>
      </c>
      <c r="V13" s="117"/>
      <c r="W13" s="117"/>
      <c r="X13" s="119">
        <f>X11/(R2/U12)</f>
        <v>13912.57426</v>
      </c>
      <c r="Y13" s="110" t="s">
        <v>105</v>
      </c>
      <c r="Z13" s="115">
        <f>AVERAGE(C28,C118)</f>
        <v>1276.05</v>
      </c>
      <c r="AA13" s="115">
        <f>AVERAGE(F28,F118)</f>
        <v>1307.75</v>
      </c>
      <c r="AB13" s="1"/>
      <c r="AC13" s="1"/>
    </row>
    <row r="14">
      <c r="A14" s="1"/>
      <c r="B14" s="112">
        <f>IFERROR(__xludf.DUMMYFUNCTION("""COMPUTED_VALUE"""),46149.64583333333)</f>
        <v>46149.64583</v>
      </c>
      <c r="C14" s="1">
        <f>IFERROR(__xludf.DUMMYFUNCTION("""COMPUTED_VALUE"""),1292.7)</f>
        <v>1292.7</v>
      </c>
      <c r="D14" s="1"/>
      <c r="E14" s="112">
        <f>IFERROR(__xludf.DUMMYFUNCTION("""COMPUTED_VALUE"""),46149.64583333333)</f>
        <v>46149.64583</v>
      </c>
      <c r="F14" s="1">
        <f>IFERROR(__xludf.DUMMYFUNCTION("""COMPUTED_VALUE"""),1279.0)</f>
        <v>1279</v>
      </c>
      <c r="G14" s="1"/>
      <c r="H14" s="29">
        <f t="shared" si="3"/>
        <v>1.010711493</v>
      </c>
      <c r="I14" s="1">
        <f t="shared" si="4"/>
        <v>13.7</v>
      </c>
      <c r="J14" s="113">
        <f t="shared" si="5"/>
        <v>1.161629644</v>
      </c>
      <c r="K14" s="29">
        <f t="shared" si="6"/>
        <v>1.010711493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12">
        <f>IFERROR(__xludf.DUMMYFUNCTION("""COMPUTED_VALUE"""),46150.64583333333)</f>
        <v>46150.64583</v>
      </c>
      <c r="C15" s="1">
        <f>IFERROR(__xludf.DUMMYFUNCTION("""COMPUTED_VALUE"""),1268.3)</f>
        <v>1268.3</v>
      </c>
      <c r="D15" s="1"/>
      <c r="E15" s="112">
        <f>IFERROR(__xludf.DUMMYFUNCTION("""COMPUTED_VALUE"""),46150.64583333333)</f>
        <v>46150.64583</v>
      </c>
      <c r="F15" s="1">
        <f>IFERROR(__xludf.DUMMYFUNCTION("""COMPUTED_VALUE"""),1264.8)</f>
        <v>1264.8</v>
      </c>
      <c r="G15" s="1"/>
      <c r="H15" s="29">
        <f t="shared" si="3"/>
        <v>1.002767236</v>
      </c>
      <c r="I15" s="1">
        <f t="shared" si="4"/>
        <v>3.5</v>
      </c>
      <c r="J15" s="113">
        <f t="shared" si="5"/>
        <v>1.043841343</v>
      </c>
      <c r="K15" s="29">
        <f t="shared" si="6"/>
        <v>1.002767236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12">
        <f>IFERROR(__xludf.DUMMYFUNCTION("""COMPUTED_VALUE"""),46153.64583333333)</f>
        <v>46153.64583</v>
      </c>
      <c r="C16" s="1">
        <f>IFERROR(__xludf.DUMMYFUNCTION("""COMPUTED_VALUE"""),1272.3)</f>
        <v>1272.3</v>
      </c>
      <c r="D16" s="1"/>
      <c r="E16" s="112">
        <f>IFERROR(__xludf.DUMMYFUNCTION("""COMPUTED_VALUE"""),46153.64583333333)</f>
        <v>46153.64583</v>
      </c>
      <c r="F16" s="1">
        <f>IFERROR(__xludf.DUMMYFUNCTION("""COMPUTED_VALUE"""),1266.4)</f>
        <v>1266.4</v>
      </c>
      <c r="G16" s="1"/>
      <c r="H16" s="29">
        <f t="shared" si="3"/>
        <v>1.004658876</v>
      </c>
      <c r="I16" s="1">
        <f t="shared" si="4"/>
        <v>5.9</v>
      </c>
      <c r="J16" s="113">
        <f t="shared" si="5"/>
        <v>1.071556237</v>
      </c>
      <c r="K16" s="29">
        <f t="shared" si="6"/>
        <v>1.004658876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12">
        <f>IFERROR(__xludf.DUMMYFUNCTION("""COMPUTED_VALUE"""),46154.64583333333)</f>
        <v>46154.64583</v>
      </c>
      <c r="C17" s="1">
        <f>IFERROR(__xludf.DUMMYFUNCTION("""COMPUTED_VALUE"""),1260.1)</f>
        <v>1260.1</v>
      </c>
      <c r="D17" s="1"/>
      <c r="E17" s="112">
        <f>IFERROR(__xludf.DUMMYFUNCTION("""COMPUTED_VALUE"""),46154.64583333333)</f>
        <v>46154.64583</v>
      </c>
      <c r="F17" s="1">
        <f>IFERROR(__xludf.DUMMYFUNCTION("""COMPUTED_VALUE"""),1240.3)</f>
        <v>1240.3</v>
      </c>
      <c r="G17" s="1"/>
      <c r="H17" s="29">
        <f t="shared" si="3"/>
        <v>1.01596388</v>
      </c>
      <c r="I17" s="1">
        <f t="shared" si="4"/>
        <v>19.8</v>
      </c>
      <c r="J17" s="113">
        <f t="shared" si="5"/>
        <v>1.232071666</v>
      </c>
      <c r="K17" s="29">
        <f t="shared" si="6"/>
        <v>1.01596388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12">
        <f>IFERROR(__xludf.DUMMYFUNCTION("""COMPUTED_VALUE"""),46155.64583333333)</f>
        <v>46155.64583</v>
      </c>
      <c r="C18" s="1">
        <f>IFERROR(__xludf.DUMMYFUNCTION("""COMPUTED_VALUE"""),1255.7)</f>
        <v>1255.7</v>
      </c>
      <c r="D18" s="1"/>
      <c r="E18" s="112">
        <f>IFERROR(__xludf.DUMMYFUNCTION("""COMPUTED_VALUE"""),46155.64583333333)</f>
        <v>46155.64583</v>
      </c>
      <c r="F18" s="1">
        <f>IFERROR(__xludf.DUMMYFUNCTION("""COMPUTED_VALUE"""),1235.6)</f>
        <v>1235.6</v>
      </c>
      <c r="G18" s="1"/>
      <c r="H18" s="29">
        <f t="shared" si="3"/>
        <v>1.0162674</v>
      </c>
      <c r="I18" s="1">
        <f t="shared" si="4"/>
        <v>20.1</v>
      </c>
      <c r="J18" s="113">
        <f t="shared" si="5"/>
        <v>1.235536028</v>
      </c>
      <c r="K18" s="29">
        <f t="shared" si="6"/>
        <v>1.0162674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IFERROR(__xludf.DUMMYFUNCTION("""COMPUTED_VALUE"""),46156.64583333333)</f>
        <v>46156.64583</v>
      </c>
      <c r="C19" s="1">
        <f>IFERROR(__xludf.DUMMYFUNCTION("""COMPUTED_VALUE"""),1254.6)</f>
        <v>1254.6</v>
      </c>
      <c r="D19" s="1"/>
      <c r="E19" s="112">
        <f>IFERROR(__xludf.DUMMYFUNCTION("""COMPUTED_VALUE"""),46156.64583333333)</f>
        <v>46156.64583</v>
      </c>
      <c r="F19" s="1">
        <f>IFERROR(__xludf.DUMMYFUNCTION("""COMPUTED_VALUE"""),1246.0)</f>
        <v>1246</v>
      </c>
      <c r="G19" s="1"/>
      <c r="H19" s="29">
        <f t="shared" si="3"/>
        <v>1.006902087</v>
      </c>
      <c r="I19" s="1">
        <f t="shared" si="4"/>
        <v>8.6</v>
      </c>
      <c r="J19" s="113">
        <f t="shared" si="5"/>
        <v>1.102735493</v>
      </c>
      <c r="K19" s="29">
        <f t="shared" si="6"/>
        <v>1.006902087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IFERROR(__xludf.DUMMYFUNCTION("""COMPUTED_VALUE"""),46157.64583333333)</f>
        <v>46157.64583</v>
      </c>
      <c r="C20" s="1">
        <f>IFERROR(__xludf.DUMMYFUNCTION("""COMPUTED_VALUE"""),1244.8)</f>
        <v>1244.8</v>
      </c>
      <c r="D20" s="1"/>
      <c r="E20" s="112">
        <f>IFERROR(__xludf.DUMMYFUNCTION("""COMPUTED_VALUE"""),46157.64583333333)</f>
        <v>46157.64583</v>
      </c>
      <c r="F20" s="1">
        <f>IFERROR(__xludf.DUMMYFUNCTION("""COMPUTED_VALUE"""),1244.5)</f>
        <v>1244.5</v>
      </c>
      <c r="G20" s="1"/>
      <c r="H20" s="29">
        <f t="shared" si="3"/>
        <v>1.000241061</v>
      </c>
      <c r="I20" s="1">
        <f t="shared" si="4"/>
        <v>0.3</v>
      </c>
      <c r="J20" s="113">
        <f t="shared" si="5"/>
        <v>1.006888151</v>
      </c>
      <c r="K20" s="29">
        <f t="shared" si="6"/>
        <v>1.000241061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IFERROR(__xludf.DUMMYFUNCTION("""COMPUTED_VALUE"""),46160.64583333333)</f>
        <v>46160.64583</v>
      </c>
      <c r="C21" s="1">
        <f>IFERROR(__xludf.DUMMYFUNCTION("""COMPUTED_VALUE"""),1237.9)</f>
        <v>1237.9</v>
      </c>
      <c r="D21" s="1"/>
      <c r="E21" s="112">
        <f>IFERROR(__xludf.DUMMYFUNCTION("""COMPUTED_VALUE"""),46160.64583333333)</f>
        <v>46160.64583</v>
      </c>
      <c r="F21" s="1">
        <f>IFERROR(__xludf.DUMMYFUNCTION("""COMPUTED_VALUE"""),1251.1)</f>
        <v>1251.1</v>
      </c>
      <c r="G21" s="1"/>
      <c r="H21" s="29">
        <f t="shared" si="3"/>
        <v>0.9894492846</v>
      </c>
      <c r="I21" s="1">
        <f t="shared" si="4"/>
        <v>-13.2</v>
      </c>
      <c r="J21" s="113">
        <f t="shared" si="5"/>
        <v>0.8509918709</v>
      </c>
      <c r="K21" s="29">
        <f t="shared" si="6"/>
        <v>0.9894492846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IFERROR(__xludf.DUMMYFUNCTION("""COMPUTED_VALUE"""),46161.64583333333)</f>
        <v>46161.64583</v>
      </c>
      <c r="C22" s="1">
        <f>IFERROR(__xludf.DUMMYFUNCTION("""COMPUTED_VALUE"""),1238.3)</f>
        <v>1238.3</v>
      </c>
      <c r="D22" s="1"/>
      <c r="E22" s="112">
        <f>IFERROR(__xludf.DUMMYFUNCTION("""COMPUTED_VALUE"""),46161.64583333333)</f>
        <v>46161.64583</v>
      </c>
      <c r="F22" s="1">
        <f>IFERROR(__xludf.DUMMYFUNCTION("""COMPUTED_VALUE"""),1240.8)</f>
        <v>1240.8</v>
      </c>
      <c r="G22" s="1"/>
      <c r="H22" s="29">
        <f t="shared" si="3"/>
        <v>0.9979851709</v>
      </c>
      <c r="I22" s="1">
        <f t="shared" si="4"/>
        <v>-2.5</v>
      </c>
      <c r="J22" s="113">
        <f t="shared" si="5"/>
        <v>0.9745541076</v>
      </c>
      <c r="K22" s="29">
        <f t="shared" si="6"/>
        <v>0.9979851709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IFERROR(__xludf.DUMMYFUNCTION("""COMPUTED_VALUE"""),46162.64583333333)</f>
        <v>46162.64583</v>
      </c>
      <c r="C23" s="1">
        <f>IFERROR(__xludf.DUMMYFUNCTION("""COMPUTED_VALUE"""),1249.8)</f>
        <v>1249.8</v>
      </c>
      <c r="D23" s="1"/>
      <c r="E23" s="112">
        <f>IFERROR(__xludf.DUMMYFUNCTION("""COMPUTED_VALUE"""),46162.64583333333)</f>
        <v>46162.64583</v>
      </c>
      <c r="F23" s="1">
        <f>IFERROR(__xludf.DUMMYFUNCTION("""COMPUTED_VALUE"""),1237.3)</f>
        <v>1237.3</v>
      </c>
      <c r="G23" s="1"/>
      <c r="H23" s="29">
        <f t="shared" si="3"/>
        <v>1.010102643</v>
      </c>
      <c r="I23" s="1">
        <f t="shared" si="4"/>
        <v>12.5</v>
      </c>
      <c r="J23" s="113">
        <f t="shared" si="5"/>
        <v>1.147772197</v>
      </c>
      <c r="K23" s="29">
        <f t="shared" si="6"/>
        <v>1.010102643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IFERROR(__xludf.DUMMYFUNCTION("""COMPUTED_VALUE"""),46163.64583333333)</f>
        <v>46163.64583</v>
      </c>
      <c r="C24" s="1">
        <f>IFERROR(__xludf.DUMMYFUNCTION("""COMPUTED_VALUE"""),1253.3)</f>
        <v>1253.3</v>
      </c>
      <c r="D24" s="1"/>
      <c r="E24" s="112">
        <f>IFERROR(__xludf.DUMMYFUNCTION("""COMPUTED_VALUE"""),46163.64583333333)</f>
        <v>46163.64583</v>
      </c>
      <c r="F24" s="1">
        <f>IFERROR(__xludf.DUMMYFUNCTION("""COMPUTED_VALUE"""),1242.8)</f>
        <v>1242.8</v>
      </c>
      <c r="G24" s="1"/>
      <c r="H24" s="29">
        <f t="shared" si="3"/>
        <v>1.008448664</v>
      </c>
      <c r="I24" s="1">
        <f t="shared" si="4"/>
        <v>10.5</v>
      </c>
      <c r="J24" s="113">
        <f t="shared" si="5"/>
        <v>1.124676451</v>
      </c>
      <c r="K24" s="29">
        <f t="shared" si="6"/>
        <v>1.008448664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IFERROR(__xludf.DUMMYFUNCTION("""COMPUTED_VALUE"""),46164.64583333333)</f>
        <v>46164.64583</v>
      </c>
      <c r="C25" s="1">
        <f>IFERROR(__xludf.DUMMYFUNCTION("""COMPUTED_VALUE"""),1285.4)</f>
        <v>1285.4</v>
      </c>
      <c r="D25" s="1"/>
      <c r="E25" s="112">
        <f>IFERROR(__xludf.DUMMYFUNCTION("""COMPUTED_VALUE"""),46164.64583333333)</f>
        <v>46164.64583</v>
      </c>
      <c r="F25" s="1">
        <f>IFERROR(__xludf.DUMMYFUNCTION("""COMPUTED_VALUE"""),1264.3)</f>
        <v>1264.3</v>
      </c>
      <c r="G25" s="1"/>
      <c r="H25" s="29">
        <f t="shared" si="3"/>
        <v>1.016689077</v>
      </c>
      <c r="I25" s="1">
        <f t="shared" si="4"/>
        <v>21.1</v>
      </c>
      <c r="J25" s="113">
        <f t="shared" si="5"/>
        <v>1.247083901</v>
      </c>
      <c r="K25" s="29">
        <f t="shared" si="6"/>
        <v>1.016689077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IFERROR(__xludf.DUMMYFUNCTION("""COMPUTED_VALUE"""),46167.64583333333)</f>
        <v>46167.64583</v>
      </c>
      <c r="C26" s="1">
        <f>IFERROR(__xludf.DUMMYFUNCTION("""COMPUTED_VALUE"""),1311.2)</f>
        <v>1311.2</v>
      </c>
      <c r="D26" s="1"/>
      <c r="E26" s="112">
        <f>IFERROR(__xludf.DUMMYFUNCTION("""COMPUTED_VALUE"""),46167.64583333333)</f>
        <v>46167.64583</v>
      </c>
      <c r="F26" s="1">
        <f>IFERROR(__xludf.DUMMYFUNCTION("""COMPUTED_VALUE"""),1291.8)</f>
        <v>1291.8</v>
      </c>
      <c r="G26" s="1"/>
      <c r="H26" s="29">
        <f t="shared" si="3"/>
        <v>1.015017805</v>
      </c>
      <c r="I26" s="1">
        <f t="shared" si="4"/>
        <v>19.4</v>
      </c>
      <c r="J26" s="113">
        <f t="shared" si="5"/>
        <v>1.227452517</v>
      </c>
      <c r="K26" s="29">
        <f t="shared" si="6"/>
        <v>1.015017805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IFERROR(__xludf.DUMMYFUNCTION("""COMPUTED_VALUE"""),46168.64583333333)</f>
        <v>46168.64583</v>
      </c>
      <c r="C27" s="1">
        <f>IFERROR(__xludf.DUMMYFUNCTION("""COMPUTED_VALUE"""),1299.3)</f>
        <v>1299.3</v>
      </c>
      <c r="D27" s="1"/>
      <c r="E27" s="112">
        <f>IFERROR(__xludf.DUMMYFUNCTION("""COMPUTED_VALUE"""),46168.64583333333)</f>
        <v>46168.64583</v>
      </c>
      <c r="F27" s="1">
        <f>IFERROR(__xludf.DUMMYFUNCTION("""COMPUTED_VALUE"""),1279.1)</f>
        <v>1279.1</v>
      </c>
      <c r="G27" s="1"/>
      <c r="H27" s="29">
        <f t="shared" si="3"/>
        <v>1.015792354</v>
      </c>
      <c r="I27" s="1">
        <f t="shared" si="4"/>
        <v>20.2</v>
      </c>
      <c r="J27" s="113">
        <f t="shared" si="5"/>
        <v>1.236690815</v>
      </c>
      <c r="K27" s="29">
        <f t="shared" si="6"/>
        <v>1.015792354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0.902331557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IFERROR(__xludf.DUMMYFUNCTION("""COMPUTED_VALUE"""),46169.64583333333)</f>
        <v>46169.64583</v>
      </c>
      <c r="C28" s="1">
        <f>IFERROR(__xludf.DUMMYFUNCTION("""COMPUTED_VALUE"""),1304.1)</f>
        <v>1304.1</v>
      </c>
      <c r="D28" s="1"/>
      <c r="E28" s="112">
        <f>IFERROR(__xludf.DUMMYFUNCTION("""COMPUTED_VALUE"""),46169.64583333333)</f>
        <v>46169.64583</v>
      </c>
      <c r="F28" s="1">
        <f>IFERROR(__xludf.DUMMYFUNCTION("""COMPUTED_VALUE"""),1272.7)</f>
        <v>1272.7</v>
      </c>
      <c r="G28" s="1"/>
      <c r="H28" s="29">
        <f t="shared" si="3"/>
        <v>1.024671957</v>
      </c>
      <c r="I28" s="1">
        <f t="shared" si="4"/>
        <v>31.4</v>
      </c>
      <c r="J28" s="113">
        <f t="shared" si="5"/>
        <v>1.366026989</v>
      </c>
      <c r="K28" s="29">
        <f t="shared" si="6"/>
        <v>1.024671957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0.9388303832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IFERROR(__xludf.DUMMYFUNCTION("""COMPUTED_VALUE"""),46171.64583333333)</f>
        <v>46171.64583</v>
      </c>
      <c r="C29" s="1">
        <f>IFERROR(__xludf.DUMMYFUNCTION("""COMPUTED_VALUE"""),1286.6)</f>
        <v>1286.6</v>
      </c>
      <c r="D29" s="1"/>
      <c r="E29" s="112">
        <f>IFERROR(__xludf.DUMMYFUNCTION("""COMPUTED_VALUE"""),46171.64583333333)</f>
        <v>46171.64583</v>
      </c>
      <c r="F29" s="1">
        <f>IFERROR(__xludf.DUMMYFUNCTION("""COMPUTED_VALUE"""),1256.4)</f>
        <v>1256.4</v>
      </c>
      <c r="G29" s="1"/>
      <c r="H29" s="29">
        <f t="shared" si="3"/>
        <v>1.024036931</v>
      </c>
      <c r="I29" s="1">
        <f t="shared" si="4"/>
        <v>30.2</v>
      </c>
      <c r="J29" s="113">
        <f t="shared" si="5"/>
        <v>1.352169541</v>
      </c>
      <c r="K29" s="29">
        <f t="shared" si="6"/>
        <v>1.024036931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IFERROR(__xludf.DUMMYFUNCTION("""COMPUTED_VALUE"""),46174.64583333333)</f>
        <v>46174.64583</v>
      </c>
      <c r="C30" s="1">
        <f>IFERROR(__xludf.DUMMYFUNCTION("""COMPUTED_VALUE"""),1275.9)</f>
        <v>1275.9</v>
      </c>
      <c r="D30" s="1"/>
      <c r="E30" s="112">
        <f>IFERROR(__xludf.DUMMYFUNCTION("""COMPUTED_VALUE"""),46174.64583333333)</f>
        <v>46174.64583</v>
      </c>
      <c r="F30" s="1">
        <f>IFERROR(__xludf.DUMMYFUNCTION("""COMPUTED_VALUE"""),1239.7)</f>
        <v>1239.7</v>
      </c>
      <c r="G30" s="1"/>
      <c r="H30" s="29">
        <f t="shared" si="3"/>
        <v>1.029200613</v>
      </c>
      <c r="I30" s="1">
        <f t="shared" si="4"/>
        <v>36.2</v>
      </c>
      <c r="J30" s="113">
        <f t="shared" si="5"/>
        <v>1.421456777</v>
      </c>
      <c r="K30" s="29">
        <f t="shared" si="6"/>
        <v>1.029200613</v>
      </c>
      <c r="L30" s="1">
        <f t="shared" ref="L30:L117" si="7">AVERAGE(C11:C30)</f>
        <v>1270.965</v>
      </c>
      <c r="M30" s="25">
        <f t="shared" ref="M30:M117" si="8">(C30-L30)/C30</f>
        <v>0.003867857983</v>
      </c>
      <c r="N30" s="65">
        <f t="shared" ref="N30:N117" si="9">AVERAGE(F11:F30)</f>
        <v>1257.71</v>
      </c>
      <c r="O30" s="25">
        <f t="shared" ref="O30:O117" si="10">(F30-N30)/F30</f>
        <v>-0.01452770832</v>
      </c>
      <c r="P30" s="25">
        <f t="shared" ref="P30:P117" si="11">M30-O30</f>
        <v>0.0183955663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IFERROR(__xludf.DUMMYFUNCTION("""COMPUTED_VALUE"""),46175.64583333333)</f>
        <v>46175.64583</v>
      </c>
      <c r="C31" s="1">
        <f>IFERROR(__xludf.DUMMYFUNCTION("""COMPUTED_VALUE"""),1251.1)</f>
        <v>1251.1</v>
      </c>
      <c r="D31" s="1"/>
      <c r="E31" s="112">
        <f>IFERROR(__xludf.DUMMYFUNCTION("""COMPUTED_VALUE"""),46175.64583333333)</f>
        <v>46175.64583</v>
      </c>
      <c r="F31" s="1">
        <f>IFERROR(__xludf.DUMMYFUNCTION("""COMPUTED_VALUE"""),1226.6)</f>
        <v>1226.6</v>
      </c>
      <c r="G31" s="1"/>
      <c r="H31" s="29">
        <f t="shared" si="3"/>
        <v>1.019973912</v>
      </c>
      <c r="I31" s="1">
        <f t="shared" si="4"/>
        <v>24.5</v>
      </c>
      <c r="J31" s="113">
        <f t="shared" si="5"/>
        <v>1.286346668</v>
      </c>
      <c r="K31" s="29">
        <f t="shared" si="6"/>
        <v>1.019973912</v>
      </c>
      <c r="L31" s="65">
        <f t="shared" si="7"/>
        <v>1269.765</v>
      </c>
      <c r="M31" s="25">
        <f t="shared" si="8"/>
        <v>-0.01491887139</v>
      </c>
      <c r="N31" s="65">
        <f t="shared" si="9"/>
        <v>1255.5</v>
      </c>
      <c r="O31" s="25">
        <f t="shared" si="10"/>
        <v>-0.0235610631</v>
      </c>
      <c r="P31" s="25">
        <f t="shared" si="11"/>
        <v>0.008642191708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IFERROR(__xludf.DUMMYFUNCTION("""COMPUTED_VALUE"""),46176.64583333333)</f>
        <v>46176.64583</v>
      </c>
      <c r="C32" s="1">
        <f>IFERROR(__xludf.DUMMYFUNCTION("""COMPUTED_VALUE"""),1255.2)</f>
        <v>1255.2</v>
      </c>
      <c r="D32" s="1"/>
      <c r="E32" s="112">
        <f>IFERROR(__xludf.DUMMYFUNCTION("""COMPUTED_VALUE"""),46176.64583333333)</f>
        <v>46176.64583</v>
      </c>
      <c r="F32" s="1">
        <f>IFERROR(__xludf.DUMMYFUNCTION("""COMPUTED_VALUE"""),1242.0)</f>
        <v>1242</v>
      </c>
      <c r="G32" s="1"/>
      <c r="H32" s="29">
        <f t="shared" si="3"/>
        <v>1.010628019</v>
      </c>
      <c r="I32" s="1">
        <f t="shared" si="4"/>
        <v>13.2</v>
      </c>
      <c r="J32" s="113">
        <f t="shared" si="5"/>
        <v>1.155855707</v>
      </c>
      <c r="K32" s="29">
        <f t="shared" si="6"/>
        <v>1.010628019</v>
      </c>
      <c r="L32" s="65">
        <f t="shared" si="7"/>
        <v>1269.54</v>
      </c>
      <c r="M32" s="25">
        <f t="shared" si="8"/>
        <v>-0.01142447419</v>
      </c>
      <c r="N32" s="65">
        <f t="shared" si="9"/>
        <v>1255.035</v>
      </c>
      <c r="O32" s="25">
        <f t="shared" si="10"/>
        <v>-0.01049516908</v>
      </c>
      <c r="P32" s="25">
        <f t="shared" si="11"/>
        <v>-0.0009293051053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IFERROR(__xludf.DUMMYFUNCTION("""COMPUTED_VALUE"""),46177.64583333333)</f>
        <v>46177.64583</v>
      </c>
      <c r="C33" s="1">
        <f>IFERROR(__xludf.DUMMYFUNCTION("""COMPUTED_VALUE"""),1253.3)</f>
        <v>1253.3</v>
      </c>
      <c r="D33" s="1"/>
      <c r="E33" s="112">
        <f>IFERROR(__xludf.DUMMYFUNCTION("""COMPUTED_VALUE"""),46177.64583333333)</f>
        <v>46177.64583</v>
      </c>
      <c r="F33" s="1">
        <f>IFERROR(__xludf.DUMMYFUNCTION("""COMPUTED_VALUE"""),1251.7)</f>
        <v>1251.7</v>
      </c>
      <c r="G33" s="1"/>
      <c r="H33" s="29">
        <f t="shared" si="3"/>
        <v>1.001278262</v>
      </c>
      <c r="I33" s="1">
        <f t="shared" si="4"/>
        <v>1.6</v>
      </c>
      <c r="J33" s="113">
        <f t="shared" si="5"/>
        <v>1.021900385</v>
      </c>
      <c r="K33" s="29">
        <f t="shared" si="6"/>
        <v>1.001278262</v>
      </c>
      <c r="L33" s="65">
        <f t="shared" si="7"/>
        <v>1267.495</v>
      </c>
      <c r="M33" s="25">
        <f t="shared" si="8"/>
        <v>-0.0113260991</v>
      </c>
      <c r="N33" s="65">
        <f t="shared" si="9"/>
        <v>1253.645</v>
      </c>
      <c r="O33" s="25">
        <f t="shared" si="10"/>
        <v>-0.001553886714</v>
      </c>
      <c r="P33" s="25">
        <f t="shared" si="11"/>
        <v>-0.009772212384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IFERROR(__xludf.DUMMYFUNCTION("""COMPUTED_VALUE"""),46178.64583333333)</f>
        <v>46178.64583</v>
      </c>
      <c r="C34" s="1">
        <f>IFERROR(__xludf.DUMMYFUNCTION("""COMPUTED_VALUE"""),1272.3)</f>
        <v>1272.3</v>
      </c>
      <c r="D34" s="1"/>
      <c r="E34" s="112">
        <f>IFERROR(__xludf.DUMMYFUNCTION("""COMPUTED_VALUE"""),46178.64583333333)</f>
        <v>46178.64583</v>
      </c>
      <c r="F34" s="1">
        <f>IFERROR(__xludf.DUMMYFUNCTION("""COMPUTED_VALUE"""),1262.1)</f>
        <v>1262.1</v>
      </c>
      <c r="G34" s="1"/>
      <c r="H34" s="29">
        <f t="shared" si="3"/>
        <v>1.008081768</v>
      </c>
      <c r="I34" s="1">
        <f t="shared" si="4"/>
        <v>10.2</v>
      </c>
      <c r="J34" s="113">
        <f t="shared" si="5"/>
        <v>1.12121209</v>
      </c>
      <c r="K34" s="29">
        <f t="shared" si="6"/>
        <v>1.008081768</v>
      </c>
      <c r="L34" s="65">
        <f t="shared" si="7"/>
        <v>1266.475</v>
      </c>
      <c r="M34" s="25">
        <f t="shared" si="8"/>
        <v>0.004578322723</v>
      </c>
      <c r="N34" s="65">
        <f t="shared" si="9"/>
        <v>1252.8</v>
      </c>
      <c r="O34" s="25">
        <f t="shared" si="10"/>
        <v>0.007368671262</v>
      </c>
      <c r="P34" s="25">
        <f t="shared" si="11"/>
        <v>-0.00279034854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IFERROR(__xludf.DUMMYFUNCTION("""COMPUTED_VALUE"""),46181.64583333333)</f>
        <v>46181.64583</v>
      </c>
      <c r="C35" s="1">
        <f>IFERROR(__xludf.DUMMYFUNCTION("""COMPUTED_VALUE"""),1268.1)</f>
        <v>1268.1</v>
      </c>
      <c r="D35" s="1"/>
      <c r="E35" s="112">
        <f>IFERROR(__xludf.DUMMYFUNCTION("""COMPUTED_VALUE"""),46181.64583333333)</f>
        <v>46181.64583</v>
      </c>
      <c r="F35" s="1">
        <f>IFERROR(__xludf.DUMMYFUNCTION("""COMPUTED_VALUE"""),1250.2)</f>
        <v>1250.2</v>
      </c>
      <c r="G35" s="1"/>
      <c r="H35" s="29">
        <f t="shared" si="3"/>
        <v>1.014317709</v>
      </c>
      <c r="I35" s="1">
        <f t="shared" si="4"/>
        <v>17.9</v>
      </c>
      <c r="J35" s="113">
        <f t="shared" si="5"/>
        <v>1.210130709</v>
      </c>
      <c r="K35" s="29">
        <f t="shared" si="6"/>
        <v>1.014317709</v>
      </c>
      <c r="L35" s="65">
        <f t="shared" si="7"/>
        <v>1266.465</v>
      </c>
      <c r="M35" s="25">
        <f t="shared" si="8"/>
        <v>0.001289330494</v>
      </c>
      <c r="N35" s="65">
        <f t="shared" si="9"/>
        <v>1252.07</v>
      </c>
      <c r="O35" s="25">
        <f t="shared" si="10"/>
        <v>-0.001495760678</v>
      </c>
      <c r="P35" s="25">
        <f t="shared" si="11"/>
        <v>0.002785091173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IFERROR(__xludf.DUMMYFUNCTION("""COMPUTED_VALUE"""),46182.64583333333)</f>
        <v>46182.64583</v>
      </c>
      <c r="C36" s="1">
        <f>IFERROR(__xludf.DUMMYFUNCTION("""COMPUTED_VALUE"""),1292.4)</f>
        <v>1292.4</v>
      </c>
      <c r="D36" s="1"/>
      <c r="E36" s="112">
        <f>IFERROR(__xludf.DUMMYFUNCTION("""COMPUTED_VALUE"""),46182.64583333333)</f>
        <v>46182.64583</v>
      </c>
      <c r="F36" s="1">
        <f>IFERROR(__xludf.DUMMYFUNCTION("""COMPUTED_VALUE"""),1275.0)</f>
        <v>1275</v>
      </c>
      <c r="G36" s="1"/>
      <c r="H36" s="29">
        <f t="shared" si="3"/>
        <v>1.013647059</v>
      </c>
      <c r="I36" s="1">
        <f t="shared" si="4"/>
        <v>17.4</v>
      </c>
      <c r="J36" s="113">
        <f t="shared" si="5"/>
        <v>1.204356772</v>
      </c>
      <c r="K36" s="29">
        <f t="shared" si="6"/>
        <v>1.013647059</v>
      </c>
      <c r="L36" s="65">
        <f t="shared" si="7"/>
        <v>1267.47</v>
      </c>
      <c r="M36" s="25">
        <f t="shared" si="8"/>
        <v>0.01928969359</v>
      </c>
      <c r="N36" s="65">
        <f t="shared" si="9"/>
        <v>1252.5</v>
      </c>
      <c r="O36" s="25">
        <f t="shared" si="10"/>
        <v>0.01764705882</v>
      </c>
      <c r="P36" s="25">
        <f t="shared" si="11"/>
        <v>0.00164263477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IFERROR(__xludf.DUMMYFUNCTION("""COMPUTED_VALUE"""),46183.64583333333)</f>
        <v>46183.64583</v>
      </c>
      <c r="C37" s="1">
        <f>IFERROR(__xludf.DUMMYFUNCTION("""COMPUTED_VALUE"""),1314.5)</f>
        <v>1314.5</v>
      </c>
      <c r="D37" s="1"/>
      <c r="E37" s="112">
        <f>IFERROR(__xludf.DUMMYFUNCTION("""COMPUTED_VALUE"""),46183.64583333333)</f>
        <v>46183.64583</v>
      </c>
      <c r="F37" s="1">
        <f>IFERROR(__xludf.DUMMYFUNCTION("""COMPUTED_VALUE"""),1293.3)</f>
        <v>1293.3</v>
      </c>
      <c r="G37" s="1"/>
      <c r="H37" s="29">
        <f t="shared" si="3"/>
        <v>1.016392175</v>
      </c>
      <c r="I37" s="1">
        <f t="shared" si="4"/>
        <v>21.2</v>
      </c>
      <c r="J37" s="113">
        <f t="shared" si="5"/>
        <v>1.248238688</v>
      </c>
      <c r="K37" s="29">
        <f t="shared" si="6"/>
        <v>1.016392175</v>
      </c>
      <c r="L37" s="65">
        <f t="shared" si="7"/>
        <v>1270.19</v>
      </c>
      <c r="M37" s="25">
        <f t="shared" si="8"/>
        <v>0.03370863446</v>
      </c>
      <c r="N37" s="65">
        <f t="shared" si="9"/>
        <v>1255.15</v>
      </c>
      <c r="O37" s="25">
        <f t="shared" si="10"/>
        <v>0.02949818294</v>
      </c>
      <c r="P37" s="25">
        <f t="shared" si="11"/>
        <v>0.004210451519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IFERROR(__xludf.DUMMYFUNCTION("""COMPUTED_VALUE"""),46184.64583333333)</f>
        <v>46184.64583</v>
      </c>
      <c r="C38" s="1">
        <f>IFERROR(__xludf.DUMMYFUNCTION("""COMPUTED_VALUE"""),1317.3)</f>
        <v>1317.3</v>
      </c>
      <c r="D38" s="1"/>
      <c r="E38" s="112">
        <f>IFERROR(__xludf.DUMMYFUNCTION("""COMPUTED_VALUE"""),46184.64583333333)</f>
        <v>46184.64583</v>
      </c>
      <c r="F38" s="1">
        <f>IFERROR(__xludf.DUMMYFUNCTION("""COMPUTED_VALUE"""),1317.0)</f>
        <v>1317</v>
      </c>
      <c r="G38" s="1"/>
      <c r="H38" s="29">
        <f t="shared" si="3"/>
        <v>1.00022779</v>
      </c>
      <c r="I38" s="1">
        <f t="shared" si="4"/>
        <v>0.3</v>
      </c>
      <c r="J38" s="113">
        <f t="shared" si="5"/>
        <v>1.006888151</v>
      </c>
      <c r="K38" s="29">
        <f t="shared" si="6"/>
        <v>1.00022779</v>
      </c>
      <c r="L38" s="65">
        <f t="shared" si="7"/>
        <v>1273.27</v>
      </c>
      <c r="M38" s="25">
        <f t="shared" si="8"/>
        <v>0.03342442876</v>
      </c>
      <c r="N38" s="65">
        <f t="shared" si="9"/>
        <v>1259.22</v>
      </c>
      <c r="O38" s="25">
        <f t="shared" si="10"/>
        <v>0.04387243736</v>
      </c>
      <c r="P38" s="25">
        <f t="shared" si="11"/>
        <v>-0.0104480086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IFERROR(__xludf.DUMMYFUNCTION("""COMPUTED_VALUE"""),46185.64583333333)</f>
        <v>46185.64583</v>
      </c>
      <c r="C39" s="1">
        <f>IFERROR(__xludf.DUMMYFUNCTION("""COMPUTED_VALUE"""),1356.3)</f>
        <v>1356.3</v>
      </c>
      <c r="D39" s="1"/>
      <c r="E39" s="112">
        <f>IFERROR(__xludf.DUMMYFUNCTION("""COMPUTED_VALUE"""),46185.64583333333)</f>
        <v>46185.64583</v>
      </c>
      <c r="F39" s="1">
        <f>IFERROR(__xludf.DUMMYFUNCTION("""COMPUTED_VALUE"""),1340.8)</f>
        <v>1340.8</v>
      </c>
      <c r="G39" s="1"/>
      <c r="H39" s="29">
        <f t="shared" si="3"/>
        <v>1.011560263</v>
      </c>
      <c r="I39" s="1">
        <f t="shared" si="4"/>
        <v>15.5</v>
      </c>
      <c r="J39" s="113">
        <f t="shared" si="5"/>
        <v>1.182415814</v>
      </c>
      <c r="K39" s="29">
        <f t="shared" si="6"/>
        <v>1.011560263</v>
      </c>
      <c r="L39" s="65">
        <f t="shared" si="7"/>
        <v>1278.355</v>
      </c>
      <c r="M39" s="25">
        <f t="shared" si="8"/>
        <v>0.05746884907</v>
      </c>
      <c r="N39" s="65">
        <f t="shared" si="9"/>
        <v>1263.96</v>
      </c>
      <c r="O39" s="25">
        <f t="shared" si="10"/>
        <v>0.05730906921</v>
      </c>
      <c r="P39" s="25">
        <f t="shared" si="11"/>
        <v>0.0001597798623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IFERROR(__xludf.DUMMYFUNCTION("""COMPUTED_VALUE"""),46188.64583333333)</f>
        <v>46188.64583</v>
      </c>
      <c r="C40" s="1">
        <f>IFERROR(__xludf.DUMMYFUNCTION("""COMPUTED_VALUE"""),1368.3)</f>
        <v>1368.3</v>
      </c>
      <c r="D40" s="1"/>
      <c r="E40" s="112">
        <f>IFERROR(__xludf.DUMMYFUNCTION("""COMPUTED_VALUE"""),46188.64583333333)</f>
        <v>46188.64583</v>
      </c>
      <c r="F40" s="1">
        <f>IFERROR(__xludf.DUMMYFUNCTION("""COMPUTED_VALUE"""),1327.6)</f>
        <v>1327.6</v>
      </c>
      <c r="G40" s="1"/>
      <c r="H40" s="29">
        <f t="shared" si="3"/>
        <v>1.030656824</v>
      </c>
      <c r="I40" s="1">
        <f t="shared" si="4"/>
        <v>40.7</v>
      </c>
      <c r="J40" s="113">
        <f t="shared" si="5"/>
        <v>1.473422204</v>
      </c>
      <c r="K40" s="29">
        <f t="shared" si="6"/>
        <v>1.030656824</v>
      </c>
      <c r="L40" s="65">
        <f t="shared" si="7"/>
        <v>1284.53</v>
      </c>
      <c r="M40" s="25">
        <f t="shared" si="8"/>
        <v>0.06122195425</v>
      </c>
      <c r="N40" s="65">
        <f t="shared" si="9"/>
        <v>1268.115</v>
      </c>
      <c r="O40" s="25">
        <f t="shared" si="10"/>
        <v>0.0448064176</v>
      </c>
      <c r="P40" s="25">
        <f t="shared" si="11"/>
        <v>0.01641553665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IFERROR(__xludf.DUMMYFUNCTION("""COMPUTED_VALUE"""),46189.64583333333)</f>
        <v>46189.64583</v>
      </c>
      <c r="C41" s="1">
        <f>IFERROR(__xludf.DUMMYFUNCTION("""COMPUTED_VALUE"""),1365.7)</f>
        <v>1365.7</v>
      </c>
      <c r="D41" s="1"/>
      <c r="E41" s="112">
        <f>IFERROR(__xludf.DUMMYFUNCTION("""COMPUTED_VALUE"""),46189.64583333333)</f>
        <v>46189.64583</v>
      </c>
      <c r="F41" s="1">
        <f>IFERROR(__xludf.DUMMYFUNCTION("""COMPUTED_VALUE"""),1334.3)</f>
        <v>1334.3</v>
      </c>
      <c r="G41" s="1"/>
      <c r="H41" s="29">
        <f t="shared" si="3"/>
        <v>1.023532939</v>
      </c>
      <c r="I41" s="1">
        <f t="shared" si="4"/>
        <v>31.4</v>
      </c>
      <c r="J41" s="113">
        <f t="shared" si="5"/>
        <v>1.366026989</v>
      </c>
      <c r="K41" s="29">
        <f t="shared" si="6"/>
        <v>1.023532939</v>
      </c>
      <c r="L41" s="65">
        <f t="shared" si="7"/>
        <v>1290.92</v>
      </c>
      <c r="M41" s="25">
        <f t="shared" si="8"/>
        <v>0.05475580288</v>
      </c>
      <c r="N41" s="65">
        <f t="shared" si="9"/>
        <v>1272.275</v>
      </c>
      <c r="O41" s="25">
        <f t="shared" si="10"/>
        <v>0.04648504834</v>
      </c>
      <c r="P41" s="25">
        <f t="shared" si="11"/>
        <v>0.008270754545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IFERROR(__xludf.DUMMYFUNCTION("""COMPUTED_VALUE"""),46190.64583333333)</f>
        <v>46190.64583</v>
      </c>
      <c r="C42" s="1">
        <f>IFERROR(__xludf.DUMMYFUNCTION("""COMPUTED_VALUE"""),1350.9)</f>
        <v>1350.9</v>
      </c>
      <c r="D42" s="1"/>
      <c r="E42" s="112">
        <f>IFERROR(__xludf.DUMMYFUNCTION("""COMPUTED_VALUE"""),46190.64583333333)</f>
        <v>46190.64583</v>
      </c>
      <c r="F42" s="1">
        <f>IFERROR(__xludf.DUMMYFUNCTION("""COMPUTED_VALUE"""),1336.8)</f>
        <v>1336.8</v>
      </c>
      <c r="G42" s="1"/>
      <c r="H42" s="29">
        <f t="shared" si="3"/>
        <v>1.010547576</v>
      </c>
      <c r="I42" s="1">
        <f t="shared" si="4"/>
        <v>14.1</v>
      </c>
      <c r="J42" s="113">
        <f t="shared" si="5"/>
        <v>1.166248793</v>
      </c>
      <c r="K42" s="29">
        <f t="shared" si="6"/>
        <v>1.010547576</v>
      </c>
      <c r="L42" s="65">
        <f t="shared" si="7"/>
        <v>1296.55</v>
      </c>
      <c r="M42" s="25">
        <f t="shared" si="8"/>
        <v>0.04023243763</v>
      </c>
      <c r="N42" s="65">
        <f t="shared" si="9"/>
        <v>1277.075</v>
      </c>
      <c r="O42" s="25">
        <f t="shared" si="10"/>
        <v>0.04467758827</v>
      </c>
      <c r="P42" s="25">
        <f t="shared" si="11"/>
        <v>-0.004445150636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IFERROR(__xludf.DUMMYFUNCTION("""COMPUTED_VALUE"""),46191.64583333333)</f>
        <v>46191.64583</v>
      </c>
      <c r="C43" s="1">
        <f>IFERROR(__xludf.DUMMYFUNCTION("""COMPUTED_VALUE"""),1360.1)</f>
        <v>1360.1</v>
      </c>
      <c r="D43" s="1"/>
      <c r="E43" s="112">
        <f>IFERROR(__xludf.DUMMYFUNCTION("""COMPUTED_VALUE"""),46191.64583333333)</f>
        <v>46191.64583</v>
      </c>
      <c r="F43" s="1">
        <f>IFERROR(__xludf.DUMMYFUNCTION("""COMPUTED_VALUE"""),1342.3)</f>
        <v>1342.3</v>
      </c>
      <c r="G43" s="1"/>
      <c r="H43" s="29">
        <f t="shared" si="3"/>
        <v>1.013260821</v>
      </c>
      <c r="I43" s="1">
        <f t="shared" si="4"/>
        <v>17.8</v>
      </c>
      <c r="J43" s="113">
        <f t="shared" si="5"/>
        <v>1.208975921</v>
      </c>
      <c r="K43" s="29">
        <f t="shared" si="6"/>
        <v>1.013260821</v>
      </c>
      <c r="L43" s="65">
        <f t="shared" si="7"/>
        <v>1302.065</v>
      </c>
      <c r="M43" s="25">
        <f t="shared" si="8"/>
        <v>0.04266965664</v>
      </c>
      <c r="N43" s="65">
        <f t="shared" si="9"/>
        <v>1282.325</v>
      </c>
      <c r="O43" s="25">
        <f t="shared" si="10"/>
        <v>0.04468077181</v>
      </c>
      <c r="P43" s="25">
        <f t="shared" si="11"/>
        <v>-0.002011115167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IFERROR(__xludf.DUMMYFUNCTION("""COMPUTED_VALUE"""),46192.64583333333)</f>
        <v>46192.64583</v>
      </c>
      <c r="C44" s="1">
        <f>IFERROR(__xludf.DUMMYFUNCTION("""COMPUTED_VALUE"""),1357.9)</f>
        <v>1357.9</v>
      </c>
      <c r="D44" s="1"/>
      <c r="E44" s="112">
        <f>IFERROR(__xludf.DUMMYFUNCTION("""COMPUTED_VALUE"""),46192.64583333333)</f>
        <v>46192.64583</v>
      </c>
      <c r="F44" s="1">
        <f>IFERROR(__xludf.DUMMYFUNCTION("""COMPUTED_VALUE"""),1346.5)</f>
        <v>1346.5</v>
      </c>
      <c r="G44" s="1"/>
      <c r="H44" s="29">
        <f t="shared" si="3"/>
        <v>1.008466394</v>
      </c>
      <c r="I44" s="1">
        <f t="shared" si="4"/>
        <v>11.4</v>
      </c>
      <c r="J44" s="113">
        <f t="shared" si="5"/>
        <v>1.135069537</v>
      </c>
      <c r="K44" s="29">
        <f t="shared" si="6"/>
        <v>1.008466394</v>
      </c>
      <c r="L44" s="65">
        <f t="shared" si="7"/>
        <v>1307.295</v>
      </c>
      <c r="M44" s="25">
        <f t="shared" si="8"/>
        <v>0.03726710362</v>
      </c>
      <c r="N44" s="65">
        <f t="shared" si="9"/>
        <v>1287.51</v>
      </c>
      <c r="O44" s="25">
        <f t="shared" si="10"/>
        <v>0.04380987746</v>
      </c>
      <c r="P44" s="25">
        <f t="shared" si="11"/>
        <v>-0.006542773844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IFERROR(__xludf.DUMMYFUNCTION("""COMPUTED_VALUE"""),46195.64583333333)</f>
        <v>46195.64583</v>
      </c>
      <c r="C45" s="1">
        <f>IFERROR(__xludf.DUMMYFUNCTION("""COMPUTED_VALUE"""),1358.6)</f>
        <v>1358.6</v>
      </c>
      <c r="D45" s="1"/>
      <c r="E45" s="112">
        <f>IFERROR(__xludf.DUMMYFUNCTION("""COMPUTED_VALUE"""),46195.64583333333)</f>
        <v>46195.64583</v>
      </c>
      <c r="F45" s="1">
        <f>IFERROR(__xludf.DUMMYFUNCTION("""COMPUTED_VALUE"""),1352.4)</f>
        <v>1352.4</v>
      </c>
      <c r="G45" s="1"/>
      <c r="H45" s="29">
        <f t="shared" si="3"/>
        <v>1.004584442</v>
      </c>
      <c r="I45" s="1">
        <f t="shared" si="4"/>
        <v>6.2</v>
      </c>
      <c r="J45" s="113">
        <f t="shared" si="5"/>
        <v>1.075020599</v>
      </c>
      <c r="K45" s="29">
        <f t="shared" si="6"/>
        <v>1.004584442</v>
      </c>
      <c r="L45" s="65">
        <f t="shared" si="7"/>
        <v>1310.955</v>
      </c>
      <c r="M45" s="25">
        <f t="shared" si="8"/>
        <v>0.03506918887</v>
      </c>
      <c r="N45" s="65">
        <f t="shared" si="9"/>
        <v>1291.915</v>
      </c>
      <c r="O45" s="25">
        <f t="shared" si="10"/>
        <v>0.04472419403</v>
      </c>
      <c r="P45" s="25">
        <f t="shared" si="11"/>
        <v>-0.009655005155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IFERROR(__xludf.DUMMYFUNCTION("""COMPUTED_VALUE"""),46196.64583333333)</f>
        <v>46196.64583</v>
      </c>
      <c r="C46" s="1">
        <f>IFERROR(__xludf.DUMMYFUNCTION("""COMPUTED_VALUE"""),1363.5)</f>
        <v>1363.5</v>
      </c>
      <c r="D46" s="1"/>
      <c r="E46" s="112">
        <f>IFERROR(__xludf.DUMMYFUNCTION("""COMPUTED_VALUE"""),46196.64583333333)</f>
        <v>46196.64583</v>
      </c>
      <c r="F46" s="1">
        <f>IFERROR(__xludf.DUMMYFUNCTION("""COMPUTED_VALUE"""),1338.3)</f>
        <v>1338.3</v>
      </c>
      <c r="G46" s="1"/>
      <c r="H46" s="29">
        <f t="shared" si="3"/>
        <v>1.018829859</v>
      </c>
      <c r="I46" s="1">
        <f t="shared" si="4"/>
        <v>25.2</v>
      </c>
      <c r="J46" s="113">
        <f t="shared" si="5"/>
        <v>1.294430178</v>
      </c>
      <c r="K46" s="29">
        <f t="shared" si="6"/>
        <v>1.018829859</v>
      </c>
      <c r="L46" s="65">
        <f t="shared" si="7"/>
        <v>1313.57</v>
      </c>
      <c r="M46" s="25">
        <f t="shared" si="8"/>
        <v>0.03661899523</v>
      </c>
      <c r="N46" s="65">
        <f t="shared" si="9"/>
        <v>1294.24</v>
      </c>
      <c r="O46" s="25">
        <f t="shared" si="10"/>
        <v>0.03292236419</v>
      </c>
      <c r="P46" s="25">
        <f t="shared" si="11"/>
        <v>0.003696631039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IFERROR(__xludf.DUMMYFUNCTION("""COMPUTED_VALUE"""),46197.64583333333)</f>
        <v>46197.64583</v>
      </c>
      <c r="C47" s="1">
        <f>IFERROR(__xludf.DUMMYFUNCTION("""COMPUTED_VALUE"""),1384.5)</f>
        <v>1384.5</v>
      </c>
      <c r="D47" s="1"/>
      <c r="E47" s="112">
        <f>IFERROR(__xludf.DUMMYFUNCTION("""COMPUTED_VALUE"""),46197.64583333333)</f>
        <v>46197.64583</v>
      </c>
      <c r="F47" s="1">
        <f>IFERROR(__xludf.DUMMYFUNCTION("""COMPUTED_VALUE"""),1373.6)</f>
        <v>1373.6</v>
      </c>
      <c r="G47" s="1"/>
      <c r="H47" s="29">
        <f t="shared" si="3"/>
        <v>1.007935352</v>
      </c>
      <c r="I47" s="1">
        <f t="shared" si="4"/>
        <v>10.9</v>
      </c>
      <c r="J47" s="113">
        <f t="shared" si="5"/>
        <v>1.1292956</v>
      </c>
      <c r="K47" s="29">
        <f t="shared" si="6"/>
        <v>1.007935352</v>
      </c>
      <c r="L47" s="65">
        <f t="shared" si="7"/>
        <v>1317.83</v>
      </c>
      <c r="M47" s="25">
        <f t="shared" si="8"/>
        <v>0.04815456844</v>
      </c>
      <c r="N47" s="65">
        <f t="shared" si="9"/>
        <v>1298.965</v>
      </c>
      <c r="O47" s="25">
        <f t="shared" si="10"/>
        <v>0.05433532324</v>
      </c>
      <c r="P47" s="25">
        <f t="shared" si="11"/>
        <v>-0.006180754802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IFERROR(__xludf.DUMMYFUNCTION("""COMPUTED_VALUE"""),46198.64583333333)</f>
        <v>46198.64583</v>
      </c>
      <c r="C48" s="1">
        <f>IFERROR(__xludf.DUMMYFUNCTION("""COMPUTED_VALUE"""),1377.2)</f>
        <v>1377.2</v>
      </c>
      <c r="D48" s="1"/>
      <c r="E48" s="112">
        <f>IFERROR(__xludf.DUMMYFUNCTION("""COMPUTED_VALUE"""),46198.64583333333)</f>
        <v>46198.64583</v>
      </c>
      <c r="F48" s="1">
        <f>IFERROR(__xludf.DUMMYFUNCTION("""COMPUTED_VALUE"""),1387.5)</f>
        <v>1387.5</v>
      </c>
      <c r="G48" s="1"/>
      <c r="H48" s="29">
        <f t="shared" si="3"/>
        <v>0.9925765766</v>
      </c>
      <c r="I48" s="1">
        <f t="shared" si="4"/>
        <v>-10.3</v>
      </c>
      <c r="J48" s="113">
        <f t="shared" si="5"/>
        <v>0.8844807014</v>
      </c>
      <c r="K48" s="29">
        <f t="shared" si="6"/>
        <v>0.9925765766</v>
      </c>
      <c r="L48" s="65">
        <f t="shared" si="7"/>
        <v>1321.485</v>
      </c>
      <c r="M48" s="25">
        <f t="shared" si="8"/>
        <v>0.04045527157</v>
      </c>
      <c r="N48" s="65">
        <f t="shared" si="9"/>
        <v>1304.705</v>
      </c>
      <c r="O48" s="25">
        <f t="shared" si="10"/>
        <v>0.05967207207</v>
      </c>
      <c r="P48" s="25">
        <f t="shared" si="11"/>
        <v>-0.01921680051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IFERROR(__xludf.DUMMYFUNCTION("""COMPUTED_VALUE"""),46202.64583333333)</f>
        <v>46202.64583</v>
      </c>
      <c r="C49" s="1">
        <f>IFERROR(__xludf.DUMMYFUNCTION("""COMPUTED_VALUE"""),1356.8)</f>
        <v>1356.8</v>
      </c>
      <c r="D49" s="1"/>
      <c r="E49" s="112">
        <f>IFERROR(__xludf.DUMMYFUNCTION("""COMPUTED_VALUE"""),46202.64583333333)</f>
        <v>46202.64583</v>
      </c>
      <c r="F49" s="1">
        <f>IFERROR(__xludf.DUMMYFUNCTION("""COMPUTED_VALUE"""),1387.6)</f>
        <v>1387.6</v>
      </c>
      <c r="G49" s="1"/>
      <c r="H49" s="29">
        <f t="shared" si="3"/>
        <v>0.9778034016</v>
      </c>
      <c r="I49" s="1">
        <f t="shared" si="4"/>
        <v>-30.8</v>
      </c>
      <c r="J49" s="113">
        <f t="shared" si="5"/>
        <v>0.6477493132</v>
      </c>
      <c r="K49" s="29">
        <f t="shared" si="6"/>
        <v>0.9778034016</v>
      </c>
      <c r="L49" s="65">
        <f t="shared" si="7"/>
        <v>1324.995</v>
      </c>
      <c r="M49" s="25">
        <f t="shared" si="8"/>
        <v>0.02344118514</v>
      </c>
      <c r="N49" s="65">
        <f t="shared" si="9"/>
        <v>1311.265</v>
      </c>
      <c r="O49" s="25">
        <f t="shared" si="10"/>
        <v>0.05501225137</v>
      </c>
      <c r="P49" s="25">
        <f t="shared" si="11"/>
        <v>-0.03157106623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IFERROR(__xludf.DUMMYFUNCTION("""COMPUTED_VALUE"""),46203.64583333333)</f>
        <v>46203.64583</v>
      </c>
      <c r="C50" s="1">
        <f>IFERROR(__xludf.DUMMYFUNCTION("""COMPUTED_VALUE"""),1345.7)</f>
        <v>1345.7</v>
      </c>
      <c r="D50" s="1"/>
      <c r="E50" s="112">
        <f>IFERROR(__xludf.DUMMYFUNCTION("""COMPUTED_VALUE"""),46203.64583333333)</f>
        <v>46203.64583</v>
      </c>
      <c r="F50" s="1">
        <f>IFERROR(__xludf.DUMMYFUNCTION("""COMPUTED_VALUE"""),1375.2)</f>
        <v>1375.2</v>
      </c>
      <c r="G50" s="1"/>
      <c r="H50" s="29">
        <f t="shared" si="3"/>
        <v>0.9785485748</v>
      </c>
      <c r="I50" s="1">
        <f t="shared" si="4"/>
        <v>-29.5</v>
      </c>
      <c r="J50" s="113">
        <f t="shared" si="5"/>
        <v>0.6627615476</v>
      </c>
      <c r="K50" s="29">
        <f t="shared" si="6"/>
        <v>0.9785485748</v>
      </c>
      <c r="L50" s="65">
        <f t="shared" si="7"/>
        <v>1328.485</v>
      </c>
      <c r="M50" s="25">
        <f t="shared" si="8"/>
        <v>0.01279259865</v>
      </c>
      <c r="N50" s="65">
        <f t="shared" si="9"/>
        <v>1318.04</v>
      </c>
      <c r="O50" s="25">
        <f t="shared" si="10"/>
        <v>0.04156486329</v>
      </c>
      <c r="P50" s="25">
        <f t="shared" si="11"/>
        <v>-0.02877226465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IFERROR(__xludf.DUMMYFUNCTION("""COMPUTED_VALUE"""),46204.64583333333)</f>
        <v>46204.64583</v>
      </c>
      <c r="C51" s="1">
        <f>IFERROR(__xludf.DUMMYFUNCTION("""COMPUTED_VALUE"""),1368.7)</f>
        <v>1368.7</v>
      </c>
      <c r="D51" s="1"/>
      <c r="E51" s="112">
        <f>IFERROR(__xludf.DUMMYFUNCTION("""COMPUTED_VALUE"""),46204.64583333333)</f>
        <v>46204.64583</v>
      </c>
      <c r="F51" s="1">
        <f>IFERROR(__xludf.DUMMYFUNCTION("""COMPUTED_VALUE"""),1379.8)</f>
        <v>1379.8</v>
      </c>
      <c r="G51" s="1"/>
      <c r="H51" s="29">
        <f t="shared" si="3"/>
        <v>0.9919553558</v>
      </c>
      <c r="I51" s="1">
        <f t="shared" si="4"/>
        <v>-11.1</v>
      </c>
      <c r="J51" s="113">
        <f t="shared" si="5"/>
        <v>0.8752424033</v>
      </c>
      <c r="K51" s="29">
        <f t="shared" si="6"/>
        <v>0.9919553558</v>
      </c>
      <c r="L51" s="65">
        <f t="shared" si="7"/>
        <v>1334.365</v>
      </c>
      <c r="M51" s="25">
        <f t="shared" si="8"/>
        <v>0.02508584788</v>
      </c>
      <c r="N51" s="65">
        <f t="shared" si="9"/>
        <v>1325.7</v>
      </c>
      <c r="O51" s="25">
        <f t="shared" si="10"/>
        <v>0.03920858095</v>
      </c>
      <c r="P51" s="25">
        <f t="shared" si="11"/>
        <v>-0.01412273307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IFERROR(__xludf.DUMMYFUNCTION("""COMPUTED_VALUE"""),46205.64583333333)</f>
        <v>46205.64583</v>
      </c>
      <c r="C52" s="1">
        <f>IFERROR(__xludf.DUMMYFUNCTION("""COMPUTED_VALUE"""),1362.6)</f>
        <v>1362.6</v>
      </c>
      <c r="D52" s="1"/>
      <c r="E52" s="112">
        <f>IFERROR(__xludf.DUMMYFUNCTION("""COMPUTED_VALUE"""),46205.64583333333)</f>
        <v>46205.64583</v>
      </c>
      <c r="F52" s="1">
        <f>IFERROR(__xludf.DUMMYFUNCTION("""COMPUTED_VALUE"""),1400.0)</f>
        <v>1400</v>
      </c>
      <c r="G52" s="1"/>
      <c r="H52" s="29">
        <f t="shared" si="3"/>
        <v>0.9732857143</v>
      </c>
      <c r="I52" s="1">
        <f t="shared" si="4"/>
        <v>-37.4</v>
      </c>
      <c r="J52" s="113">
        <f t="shared" si="5"/>
        <v>0.5715333541</v>
      </c>
      <c r="K52" s="29">
        <f t="shared" si="6"/>
        <v>0.9732857143</v>
      </c>
      <c r="L52" s="65">
        <f t="shared" si="7"/>
        <v>1339.735</v>
      </c>
      <c r="M52" s="25">
        <f t="shared" si="8"/>
        <v>0.01678041979</v>
      </c>
      <c r="N52" s="65">
        <f t="shared" si="9"/>
        <v>1333.6</v>
      </c>
      <c r="O52" s="25">
        <f t="shared" si="10"/>
        <v>0.04742857143</v>
      </c>
      <c r="P52" s="25">
        <f t="shared" si="11"/>
        <v>-0.03064815164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IFERROR(__xludf.DUMMYFUNCTION("""COMPUTED_VALUE"""),46206.64583333333)</f>
        <v>46206.64583</v>
      </c>
      <c r="C53" s="1">
        <f>IFERROR(__xludf.DUMMYFUNCTION("""COMPUTED_VALUE"""),1342.1)</f>
        <v>1342.1</v>
      </c>
      <c r="D53" s="1"/>
      <c r="E53" s="112">
        <f>IFERROR(__xludf.DUMMYFUNCTION("""COMPUTED_VALUE"""),46206.64583333333)</f>
        <v>46206.64583</v>
      </c>
      <c r="F53" s="1">
        <f>IFERROR(__xludf.DUMMYFUNCTION("""COMPUTED_VALUE"""),1411.4)</f>
        <v>1411.4</v>
      </c>
      <c r="G53" s="1"/>
      <c r="H53" s="29">
        <f t="shared" si="3"/>
        <v>0.9508998158</v>
      </c>
      <c r="I53" s="1">
        <f t="shared" si="4"/>
        <v>-69.3</v>
      </c>
      <c r="J53" s="113">
        <f t="shared" si="5"/>
        <v>0.2031562184</v>
      </c>
      <c r="K53" s="29">
        <f t="shared" si="6"/>
        <v>0.9508998158</v>
      </c>
      <c r="L53" s="65">
        <f t="shared" si="7"/>
        <v>1344.175</v>
      </c>
      <c r="M53" s="25">
        <f t="shared" si="8"/>
        <v>-0.001546084494</v>
      </c>
      <c r="N53" s="65">
        <f t="shared" si="9"/>
        <v>1341.585</v>
      </c>
      <c r="O53" s="25">
        <f t="shared" si="10"/>
        <v>0.04946507014</v>
      </c>
      <c r="P53" s="25">
        <f t="shared" si="11"/>
        <v>-0.05101115464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IFERROR(__xludf.DUMMYFUNCTION("""COMPUTED_VALUE"""),46209.64583333333)</f>
        <v>46209.64583</v>
      </c>
      <c r="C54" s="1">
        <f>IFERROR(__xludf.DUMMYFUNCTION("""COMPUTED_VALUE"""),1339.6)</f>
        <v>1339.6</v>
      </c>
      <c r="D54" s="1"/>
      <c r="E54" s="112">
        <f>IFERROR(__xludf.DUMMYFUNCTION("""COMPUTED_VALUE"""),46209.64583333333)</f>
        <v>46209.64583</v>
      </c>
      <c r="F54" s="1">
        <f>IFERROR(__xludf.DUMMYFUNCTION("""COMPUTED_VALUE"""),1426.9)</f>
        <v>1426.9</v>
      </c>
      <c r="G54" s="1"/>
      <c r="H54" s="29">
        <f t="shared" si="3"/>
        <v>0.9388184175</v>
      </c>
      <c r="I54" s="1">
        <f t="shared" si="4"/>
        <v>-87.3</v>
      </c>
      <c r="J54" s="113">
        <f t="shared" si="5"/>
        <v>-0.004705488272</v>
      </c>
      <c r="K54" s="29">
        <f t="shared" si="6"/>
        <v>0.9388184175</v>
      </c>
      <c r="L54" s="65">
        <f t="shared" si="7"/>
        <v>1347.54</v>
      </c>
      <c r="M54" s="25">
        <f t="shared" si="8"/>
        <v>-0.005927142431</v>
      </c>
      <c r="N54" s="65">
        <f t="shared" si="9"/>
        <v>1349.825</v>
      </c>
      <c r="O54" s="25">
        <f t="shared" si="10"/>
        <v>0.05401569837</v>
      </c>
      <c r="P54" s="25">
        <f t="shared" si="11"/>
        <v>-0.0599428408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IFERROR(__xludf.DUMMYFUNCTION("""COMPUTED_VALUE"""),46210.64583333333)</f>
        <v>46210.64583</v>
      </c>
      <c r="C55" s="1">
        <f>IFERROR(__xludf.DUMMYFUNCTION("""COMPUTED_VALUE"""),1341.0)</f>
        <v>1341</v>
      </c>
      <c r="D55" s="1"/>
      <c r="E55" s="112">
        <f>IFERROR(__xludf.DUMMYFUNCTION("""COMPUTED_VALUE"""),46210.64583333333)</f>
        <v>46210.64583</v>
      </c>
      <c r="F55" s="1">
        <f>IFERROR(__xludf.DUMMYFUNCTION("""COMPUTED_VALUE"""),1414.7)</f>
        <v>1414.7</v>
      </c>
      <c r="G55" s="1"/>
      <c r="H55" s="29">
        <f t="shared" si="3"/>
        <v>0.9479041493</v>
      </c>
      <c r="I55" s="1">
        <f t="shared" si="4"/>
        <v>-73.7</v>
      </c>
      <c r="J55" s="113">
        <f t="shared" si="5"/>
        <v>0.152345579</v>
      </c>
      <c r="K55" s="29">
        <f t="shared" si="6"/>
        <v>0.9479041493</v>
      </c>
      <c r="L55" s="65">
        <f t="shared" si="7"/>
        <v>1351.185</v>
      </c>
      <c r="M55" s="25">
        <f t="shared" si="8"/>
        <v>-0.0075950783</v>
      </c>
      <c r="N55" s="65">
        <f t="shared" si="9"/>
        <v>1358.05</v>
      </c>
      <c r="O55" s="25">
        <f t="shared" si="10"/>
        <v>0.04004382555</v>
      </c>
      <c r="P55" s="25">
        <f t="shared" si="11"/>
        <v>-0.04763890385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IFERROR(__xludf.DUMMYFUNCTION("""COMPUTED_VALUE"""),46211.64583333333)</f>
        <v>46211.64583</v>
      </c>
      <c r="C56" s="1">
        <f>IFERROR(__xludf.DUMMYFUNCTION("""COMPUTED_VALUE"""),1309.5)</f>
        <v>1309.5</v>
      </c>
      <c r="D56" s="1"/>
      <c r="E56" s="112">
        <f>IFERROR(__xludf.DUMMYFUNCTION("""COMPUTED_VALUE"""),46211.64583333333)</f>
        <v>46211.64583</v>
      </c>
      <c r="F56" s="1">
        <f>IFERROR(__xludf.DUMMYFUNCTION("""COMPUTED_VALUE"""),1380.6)</f>
        <v>1380.6</v>
      </c>
      <c r="G56" s="1"/>
      <c r="H56" s="29">
        <f t="shared" si="3"/>
        <v>0.9485006519</v>
      </c>
      <c r="I56" s="1">
        <f t="shared" si="4"/>
        <v>-71.1</v>
      </c>
      <c r="J56" s="113">
        <f t="shared" si="5"/>
        <v>0.1823700477</v>
      </c>
      <c r="K56" s="29">
        <f t="shared" si="6"/>
        <v>0.9485006519</v>
      </c>
      <c r="L56" s="65">
        <f t="shared" si="7"/>
        <v>1352.04</v>
      </c>
      <c r="M56" s="25">
        <f t="shared" si="8"/>
        <v>-0.03248568156</v>
      </c>
      <c r="N56" s="65">
        <f t="shared" si="9"/>
        <v>1363.33</v>
      </c>
      <c r="O56" s="25">
        <f t="shared" si="10"/>
        <v>0.01250905403</v>
      </c>
      <c r="P56" s="25">
        <f t="shared" si="11"/>
        <v>-0.04499473559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IFERROR(__xludf.DUMMYFUNCTION("""COMPUTED_VALUE"""),46212.64583333333)</f>
        <v>46212.64583</v>
      </c>
      <c r="C57" s="1">
        <f>IFERROR(__xludf.DUMMYFUNCTION("""COMPUTED_VALUE"""),1297.6)</f>
        <v>1297.6</v>
      </c>
      <c r="D57" s="1"/>
      <c r="E57" s="112">
        <f>IFERROR(__xludf.DUMMYFUNCTION("""COMPUTED_VALUE"""),46212.64583333333)</f>
        <v>46212.64583</v>
      </c>
      <c r="F57" s="1">
        <f>IFERROR(__xludf.DUMMYFUNCTION("""COMPUTED_VALUE"""),1380.7)</f>
        <v>1380.7</v>
      </c>
      <c r="G57" s="1"/>
      <c r="H57" s="29">
        <f t="shared" si="3"/>
        <v>0.9398131383</v>
      </c>
      <c r="I57" s="1">
        <f t="shared" si="4"/>
        <v>-83.1</v>
      </c>
      <c r="J57" s="113">
        <f t="shared" si="5"/>
        <v>0.04379557662</v>
      </c>
      <c r="K57" s="29">
        <f t="shared" si="6"/>
        <v>0.9398131383</v>
      </c>
      <c r="L57" s="65">
        <f t="shared" si="7"/>
        <v>1351.195</v>
      </c>
      <c r="M57" s="25">
        <f t="shared" si="8"/>
        <v>-0.04130317509</v>
      </c>
      <c r="N57" s="65">
        <f t="shared" si="9"/>
        <v>1367.7</v>
      </c>
      <c r="O57" s="25">
        <f t="shared" si="10"/>
        <v>0.00941551387</v>
      </c>
      <c r="P57" s="25">
        <f t="shared" si="11"/>
        <v>-0.05071868896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IFERROR(__xludf.DUMMYFUNCTION("""COMPUTED_VALUE"""),46213.64583333333)</f>
        <v>46213.64583</v>
      </c>
      <c r="C58" s="1">
        <f>IFERROR(__xludf.DUMMYFUNCTION("""COMPUTED_VALUE"""),1323.7)</f>
        <v>1323.7</v>
      </c>
      <c r="D58" s="1"/>
      <c r="E58" s="112">
        <f>IFERROR(__xludf.DUMMYFUNCTION("""COMPUTED_VALUE"""),46213.64583333333)</f>
        <v>46213.64583</v>
      </c>
      <c r="F58" s="1">
        <f>IFERROR(__xludf.DUMMYFUNCTION("""COMPUTED_VALUE"""),1401.2)</f>
        <v>1401.2</v>
      </c>
      <c r="G58" s="1"/>
      <c r="H58" s="29">
        <f t="shared" si="3"/>
        <v>0.9446902655</v>
      </c>
      <c r="I58" s="1">
        <f t="shared" si="4"/>
        <v>-77.5</v>
      </c>
      <c r="J58" s="113">
        <f t="shared" si="5"/>
        <v>0.1084636631</v>
      </c>
      <c r="K58" s="29">
        <f t="shared" si="6"/>
        <v>0.9446902655</v>
      </c>
      <c r="L58" s="65">
        <f t="shared" si="7"/>
        <v>1351.515</v>
      </c>
      <c r="M58" s="25">
        <f t="shared" si="8"/>
        <v>-0.02101306943</v>
      </c>
      <c r="N58" s="65">
        <f t="shared" si="9"/>
        <v>1371.91</v>
      </c>
      <c r="O58" s="25">
        <f t="shared" si="10"/>
        <v>0.02090351128</v>
      </c>
      <c r="P58" s="25">
        <f t="shared" si="11"/>
        <v>-0.0419165807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IFERROR(__xludf.DUMMYFUNCTION("""COMPUTED_VALUE"""),46216.64583333333)</f>
        <v>46216.64583</v>
      </c>
      <c r="C59" s="1">
        <f>IFERROR(__xludf.DUMMYFUNCTION("""COMPUTED_VALUE"""),1319.4)</f>
        <v>1319.4</v>
      </c>
      <c r="D59" s="1"/>
      <c r="E59" s="112">
        <f>IFERROR(__xludf.DUMMYFUNCTION("""COMPUTED_VALUE"""),46216.64583333333)</f>
        <v>46216.64583</v>
      </c>
      <c r="F59" s="1">
        <f>IFERROR(__xludf.DUMMYFUNCTION("""COMPUTED_VALUE"""),1409.5)</f>
        <v>1409.5</v>
      </c>
      <c r="G59" s="1"/>
      <c r="H59" s="29">
        <f t="shared" si="3"/>
        <v>0.9360766229</v>
      </c>
      <c r="I59" s="1">
        <f t="shared" si="4"/>
        <v>-90.1</v>
      </c>
      <c r="J59" s="113">
        <f t="shared" si="5"/>
        <v>-0.03703953153</v>
      </c>
      <c r="K59" s="29">
        <f t="shared" si="6"/>
        <v>0.9360766229</v>
      </c>
      <c r="L59" s="65">
        <f t="shared" si="7"/>
        <v>1349.67</v>
      </c>
      <c r="M59" s="25">
        <f t="shared" si="8"/>
        <v>-0.02294224648</v>
      </c>
      <c r="N59" s="65">
        <f t="shared" si="9"/>
        <v>1375.345</v>
      </c>
      <c r="O59" s="25">
        <f t="shared" si="10"/>
        <v>0.02423199716</v>
      </c>
      <c r="P59" s="25">
        <f t="shared" si="11"/>
        <v>-0.04717424364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IFERROR(__xludf.DUMMYFUNCTION("""COMPUTED_VALUE"""),46217.64583333333)</f>
        <v>46217.64583</v>
      </c>
      <c r="C60" s="1">
        <f>IFERROR(__xludf.DUMMYFUNCTION("""COMPUTED_VALUE"""),1317.6)</f>
        <v>1317.6</v>
      </c>
      <c r="D60" s="1"/>
      <c r="E60" s="112">
        <f>IFERROR(__xludf.DUMMYFUNCTION("""COMPUTED_VALUE"""),46217.64583333333)</f>
        <v>46217.64583</v>
      </c>
      <c r="F60" s="1">
        <f>IFERROR(__xludf.DUMMYFUNCTION("""COMPUTED_VALUE"""),1407.7)</f>
        <v>1407.7</v>
      </c>
      <c r="G60" s="1"/>
      <c r="H60" s="29">
        <f t="shared" si="3"/>
        <v>0.9359948853</v>
      </c>
      <c r="I60" s="1">
        <f t="shared" si="4"/>
        <v>-90.1</v>
      </c>
      <c r="J60" s="113">
        <f t="shared" si="5"/>
        <v>-0.03703953153</v>
      </c>
      <c r="K60" s="29">
        <f t="shared" si="6"/>
        <v>0.9359948853</v>
      </c>
      <c r="L60" s="65">
        <f t="shared" si="7"/>
        <v>1347.135</v>
      </c>
      <c r="M60" s="25">
        <f t="shared" si="8"/>
        <v>-0.02241575592</v>
      </c>
      <c r="N60" s="65">
        <f t="shared" si="9"/>
        <v>1379.35</v>
      </c>
      <c r="O60" s="25">
        <f t="shared" si="10"/>
        <v>0.02013923421</v>
      </c>
      <c r="P60" s="25">
        <f t="shared" si="11"/>
        <v>-0.04255499013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IFERROR(__xludf.DUMMYFUNCTION("""COMPUTED_VALUE"""),46218.64583333333)</f>
        <v>46218.64583</v>
      </c>
      <c r="C61" s="1">
        <f>IFERROR(__xludf.DUMMYFUNCTION("""COMPUTED_VALUE"""),1312.3)</f>
        <v>1312.3</v>
      </c>
      <c r="D61" s="1"/>
      <c r="E61" s="112">
        <f>IFERROR(__xludf.DUMMYFUNCTION("""COMPUTED_VALUE"""),46218.64583333333)</f>
        <v>46218.64583</v>
      </c>
      <c r="F61" s="1">
        <f>IFERROR(__xludf.DUMMYFUNCTION("""COMPUTED_VALUE"""),1416.2)</f>
        <v>1416.2</v>
      </c>
      <c r="G61" s="1"/>
      <c r="H61" s="29">
        <f t="shared" si="3"/>
        <v>0.9266346561</v>
      </c>
      <c r="I61" s="1">
        <f t="shared" si="4"/>
        <v>-103.9</v>
      </c>
      <c r="J61" s="113">
        <f t="shared" si="5"/>
        <v>-0.1964001733</v>
      </c>
      <c r="K61" s="29">
        <f t="shared" si="6"/>
        <v>0.9266346561</v>
      </c>
      <c r="L61" s="65">
        <f t="shared" si="7"/>
        <v>1344.465</v>
      </c>
      <c r="M61" s="25">
        <f t="shared" si="8"/>
        <v>-0.02451040159</v>
      </c>
      <c r="N61" s="65">
        <f t="shared" si="9"/>
        <v>1383.445</v>
      </c>
      <c r="O61" s="25">
        <f t="shared" si="10"/>
        <v>0.02312879537</v>
      </c>
      <c r="P61" s="25">
        <f t="shared" si="11"/>
        <v>-0.04763919695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IFERROR(__xludf.DUMMYFUNCTION("""COMPUTED_VALUE"""),46219.64583333333)</f>
        <v>46219.64583</v>
      </c>
      <c r="C62" s="1">
        <f>IFERROR(__xludf.DUMMYFUNCTION("""COMPUTED_VALUE"""),1307.6)</f>
        <v>1307.6</v>
      </c>
      <c r="D62" s="1"/>
      <c r="E62" s="112">
        <f>IFERROR(__xludf.DUMMYFUNCTION("""COMPUTED_VALUE"""),46219.64583333333)</f>
        <v>46219.64583</v>
      </c>
      <c r="F62" s="1">
        <f>IFERROR(__xludf.DUMMYFUNCTION("""COMPUTED_VALUE"""),1418.2)</f>
        <v>1418.2</v>
      </c>
      <c r="G62" s="1"/>
      <c r="H62" s="29">
        <f t="shared" si="3"/>
        <v>0.9220138203</v>
      </c>
      <c r="I62" s="1">
        <f t="shared" si="4"/>
        <v>-110.6</v>
      </c>
      <c r="J62" s="113">
        <f t="shared" si="5"/>
        <v>-0.2737709197</v>
      </c>
      <c r="K62" s="29">
        <f t="shared" si="6"/>
        <v>0.9220138203</v>
      </c>
      <c r="L62" s="65">
        <f t="shared" si="7"/>
        <v>1342.3</v>
      </c>
      <c r="M62" s="25">
        <f t="shared" si="8"/>
        <v>-0.02653716733</v>
      </c>
      <c r="N62" s="65">
        <f t="shared" si="9"/>
        <v>1387.515</v>
      </c>
      <c r="O62" s="25">
        <f t="shared" si="10"/>
        <v>0.02163658158</v>
      </c>
      <c r="P62" s="25">
        <f t="shared" si="11"/>
        <v>-0.04817374891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IFERROR(__xludf.DUMMYFUNCTION("""COMPUTED_VALUE"""),46220.64583333333)</f>
        <v>46220.64583</v>
      </c>
      <c r="C63" s="1">
        <f>IFERROR(__xludf.DUMMYFUNCTION("""COMPUTED_VALUE"""),1328.5)</f>
        <v>1328.5</v>
      </c>
      <c r="D63" s="1"/>
      <c r="E63" s="112">
        <f>IFERROR(__xludf.DUMMYFUNCTION("""COMPUTED_VALUE"""),46220.64583333333)</f>
        <v>46220.64583</v>
      </c>
      <c r="F63" s="1">
        <f>IFERROR(__xludf.DUMMYFUNCTION("""COMPUTED_VALUE"""),1444.3)</f>
        <v>1444.3</v>
      </c>
      <c r="G63" s="1"/>
      <c r="H63" s="29">
        <f t="shared" si="3"/>
        <v>0.9198227515</v>
      </c>
      <c r="I63" s="1">
        <f t="shared" si="4"/>
        <v>-115.8</v>
      </c>
      <c r="J63" s="113">
        <f t="shared" si="5"/>
        <v>-0.3338198572</v>
      </c>
      <c r="K63" s="29">
        <f t="shared" si="6"/>
        <v>0.9198227515</v>
      </c>
      <c r="L63" s="65">
        <f t="shared" si="7"/>
        <v>1340.72</v>
      </c>
      <c r="M63" s="25">
        <f t="shared" si="8"/>
        <v>-0.009198343997</v>
      </c>
      <c r="N63" s="65">
        <f t="shared" si="9"/>
        <v>1392.615</v>
      </c>
      <c r="O63" s="25">
        <f t="shared" si="10"/>
        <v>0.03578550163</v>
      </c>
      <c r="P63" s="25">
        <f t="shared" si="11"/>
        <v>-0.04498384562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IFERROR(__xludf.DUMMYFUNCTION("""COMPUTED_VALUE"""),46223.64583333333)</f>
        <v>46223.64583</v>
      </c>
      <c r="C64" s="1">
        <f>IFERROR(__xludf.DUMMYFUNCTION("""COMPUTED_VALUE"""),1256.0)</f>
        <v>1256</v>
      </c>
      <c r="D64" s="1"/>
      <c r="E64" s="112">
        <f>IFERROR(__xludf.DUMMYFUNCTION("""COMPUTED_VALUE"""),46223.64583333333)</f>
        <v>46223.64583</v>
      </c>
      <c r="F64" s="1">
        <f>IFERROR(__xludf.DUMMYFUNCTION("""COMPUTED_VALUE"""),1460.2)</f>
        <v>1460.2</v>
      </c>
      <c r="G64" s="1"/>
      <c r="H64" s="29">
        <f t="shared" si="3"/>
        <v>0.860156143</v>
      </c>
      <c r="I64" s="1">
        <f t="shared" si="4"/>
        <v>-204.2</v>
      </c>
      <c r="J64" s="113">
        <f t="shared" si="5"/>
        <v>-1.354651794</v>
      </c>
      <c r="K64" s="29">
        <f t="shared" si="6"/>
        <v>0.860156143</v>
      </c>
      <c r="L64" s="65">
        <f t="shared" si="7"/>
        <v>1335.625</v>
      </c>
      <c r="M64" s="25">
        <f t="shared" si="8"/>
        <v>-0.06339570064</v>
      </c>
      <c r="N64" s="65">
        <f t="shared" si="9"/>
        <v>1398.3</v>
      </c>
      <c r="O64" s="25">
        <f t="shared" si="10"/>
        <v>0.04239145323</v>
      </c>
      <c r="P64" s="25">
        <f t="shared" si="11"/>
        <v>-0.1057871539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IFERROR(__xludf.DUMMYFUNCTION("""COMPUTED_VALUE"""),46224.64583333333)</f>
        <v>46224.64583</v>
      </c>
      <c r="C65" s="1">
        <f>IFERROR(__xludf.DUMMYFUNCTION("""COMPUTED_VALUE"""),1258.2)</f>
        <v>1258.2</v>
      </c>
      <c r="D65" s="1"/>
      <c r="E65" s="112">
        <f>IFERROR(__xludf.DUMMYFUNCTION("""COMPUTED_VALUE"""),46224.64583333333)</f>
        <v>46224.64583</v>
      </c>
      <c r="F65" s="1">
        <f>IFERROR(__xludf.DUMMYFUNCTION("""COMPUTED_VALUE"""),1463.1)</f>
        <v>1463.1</v>
      </c>
      <c r="G65" s="1"/>
      <c r="H65" s="29">
        <f t="shared" si="3"/>
        <v>0.8599548903</v>
      </c>
      <c r="I65" s="1">
        <f t="shared" si="4"/>
        <v>-204.9</v>
      </c>
      <c r="J65" s="113">
        <f t="shared" si="5"/>
        <v>-1.362735305</v>
      </c>
      <c r="K65" s="29">
        <f t="shared" si="6"/>
        <v>0.8599548903</v>
      </c>
      <c r="L65" s="65">
        <f t="shared" si="7"/>
        <v>1330.605</v>
      </c>
      <c r="M65" s="25">
        <f t="shared" si="8"/>
        <v>-0.05754649499</v>
      </c>
      <c r="N65" s="65">
        <f t="shared" si="9"/>
        <v>1403.835</v>
      </c>
      <c r="O65" s="25">
        <f t="shared" si="10"/>
        <v>0.04050645889</v>
      </c>
      <c r="P65" s="25">
        <f t="shared" si="11"/>
        <v>-0.09805295388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IFERROR(__xludf.DUMMYFUNCTION("""COMPUTED_VALUE"""),46225.64583333333)</f>
        <v>46225.64583</v>
      </c>
      <c r="C66" s="1">
        <f>IFERROR(__xludf.DUMMYFUNCTION("""COMPUTED_VALUE"""),1238.4)</f>
        <v>1238.4</v>
      </c>
      <c r="D66" s="1"/>
      <c r="E66" s="112">
        <f>IFERROR(__xludf.DUMMYFUNCTION("""COMPUTED_VALUE"""),46225.64583333333)</f>
        <v>46225.64583</v>
      </c>
      <c r="F66" s="1">
        <f>IFERROR(__xludf.DUMMYFUNCTION("""COMPUTED_VALUE"""),1440.7)</f>
        <v>1440.7</v>
      </c>
      <c r="G66" s="1"/>
      <c r="H66" s="29">
        <f t="shared" si="3"/>
        <v>0.8595821476</v>
      </c>
      <c r="I66" s="1">
        <f t="shared" si="4"/>
        <v>-202.3</v>
      </c>
      <c r="J66" s="113">
        <f t="shared" si="5"/>
        <v>-1.332710836</v>
      </c>
      <c r="K66" s="29">
        <f t="shared" si="6"/>
        <v>0.8595821476</v>
      </c>
      <c r="L66" s="65">
        <f t="shared" si="7"/>
        <v>1324.35</v>
      </c>
      <c r="M66" s="25">
        <f t="shared" si="8"/>
        <v>-0.06940406977</v>
      </c>
      <c r="N66" s="65">
        <f t="shared" si="9"/>
        <v>1408.955</v>
      </c>
      <c r="O66" s="25">
        <f t="shared" si="10"/>
        <v>0.02203442771</v>
      </c>
      <c r="P66" s="25">
        <f t="shared" si="11"/>
        <v>-0.09143849748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IFERROR(__xludf.DUMMYFUNCTION("""COMPUTED_VALUE"""),46226.64583333333)</f>
        <v>46226.64583</v>
      </c>
      <c r="C67" s="1">
        <f>IFERROR(__xludf.DUMMYFUNCTION("""COMPUTED_VALUE"""),1223.0)</f>
        <v>1223</v>
      </c>
      <c r="D67" s="1"/>
      <c r="E67" s="112">
        <f>IFERROR(__xludf.DUMMYFUNCTION("""COMPUTED_VALUE"""),46226.64583333333)</f>
        <v>46226.64583</v>
      </c>
      <c r="F67" s="1">
        <f>IFERROR(__xludf.DUMMYFUNCTION("""COMPUTED_VALUE"""),1434.6)</f>
        <v>1434.6</v>
      </c>
      <c r="G67" s="1"/>
      <c r="H67" s="29">
        <f t="shared" si="3"/>
        <v>0.8525024397</v>
      </c>
      <c r="I67" s="1">
        <f t="shared" si="4"/>
        <v>-211.6</v>
      </c>
      <c r="J67" s="113">
        <f t="shared" si="5"/>
        <v>-1.440106052</v>
      </c>
      <c r="K67" s="29">
        <f t="shared" si="6"/>
        <v>0.8525024397</v>
      </c>
      <c r="L67" s="65">
        <f t="shared" si="7"/>
        <v>1316.275</v>
      </c>
      <c r="M67" s="25">
        <f t="shared" si="8"/>
        <v>-0.07626737531</v>
      </c>
      <c r="N67" s="65">
        <f t="shared" si="9"/>
        <v>1412.005</v>
      </c>
      <c r="O67" s="25">
        <f t="shared" si="10"/>
        <v>0.01575003485</v>
      </c>
      <c r="P67" s="25">
        <f t="shared" si="11"/>
        <v>-0.09201741016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IFERROR(__xludf.DUMMYFUNCTION("""COMPUTED_VALUE"""),46227.64583333333)</f>
        <v>46227.64583</v>
      </c>
      <c r="C68" s="1">
        <f>IFERROR(__xludf.DUMMYFUNCTION("""COMPUTED_VALUE"""),1227.3)</f>
        <v>1227.3</v>
      </c>
      <c r="D68" s="1"/>
      <c r="E68" s="112">
        <f>IFERROR(__xludf.DUMMYFUNCTION("""COMPUTED_VALUE"""),46227.64583333333)</f>
        <v>46227.64583</v>
      </c>
      <c r="F68" s="1">
        <f>IFERROR(__xludf.DUMMYFUNCTION("""COMPUTED_VALUE"""),1432.9)</f>
        <v>1432.9</v>
      </c>
      <c r="G68" s="1"/>
      <c r="H68" s="29">
        <f t="shared" si="3"/>
        <v>0.8565147603</v>
      </c>
      <c r="I68" s="1">
        <f t="shared" si="4"/>
        <v>-205.6</v>
      </c>
      <c r="J68" s="113">
        <f t="shared" si="5"/>
        <v>-1.370818816</v>
      </c>
      <c r="K68" s="29">
        <f t="shared" si="6"/>
        <v>0.8565147603</v>
      </c>
      <c r="L68" s="65">
        <f t="shared" si="7"/>
        <v>1308.78</v>
      </c>
      <c r="M68" s="25">
        <f t="shared" si="8"/>
        <v>-0.06638963579</v>
      </c>
      <c r="N68" s="65">
        <f t="shared" si="9"/>
        <v>1414.275</v>
      </c>
      <c r="O68" s="25">
        <f t="shared" si="10"/>
        <v>0.01299811571</v>
      </c>
      <c r="P68" s="25">
        <f t="shared" si="11"/>
        <v>-0.0793877515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IFERROR(__xludf.DUMMYFUNCTION("""COMPUTED_VALUE"""),46230.64583333333)</f>
        <v>46230.64583</v>
      </c>
      <c r="C69" s="1">
        <f>IFERROR(__xludf.DUMMYFUNCTION("""COMPUTED_VALUE"""),1227.5)</f>
        <v>1227.5</v>
      </c>
      <c r="D69" s="1"/>
      <c r="E69" s="112">
        <f>IFERROR(__xludf.DUMMYFUNCTION("""COMPUTED_VALUE"""),46230.64583333333)</f>
        <v>46230.64583</v>
      </c>
      <c r="F69" s="1">
        <f>IFERROR(__xludf.DUMMYFUNCTION("""COMPUTED_VALUE"""),1445.7)</f>
        <v>1445.7</v>
      </c>
      <c r="G69" s="1"/>
      <c r="H69" s="29">
        <f t="shared" si="3"/>
        <v>0.8490696548</v>
      </c>
      <c r="I69" s="1">
        <f t="shared" si="4"/>
        <v>-218.2</v>
      </c>
      <c r="J69" s="113">
        <f t="shared" si="5"/>
        <v>-1.516322011</v>
      </c>
      <c r="K69" s="29">
        <f t="shared" si="6"/>
        <v>0.8490696548</v>
      </c>
      <c r="L69" s="65">
        <f t="shared" si="7"/>
        <v>1302.315</v>
      </c>
      <c r="M69" s="25">
        <f t="shared" si="8"/>
        <v>-0.0609490835</v>
      </c>
      <c r="N69" s="65">
        <f t="shared" si="9"/>
        <v>1417.18</v>
      </c>
      <c r="O69" s="25">
        <f t="shared" si="10"/>
        <v>0.01972746766</v>
      </c>
      <c r="P69" s="25">
        <f t="shared" si="11"/>
        <v>-0.08067655117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IFERROR(__xludf.DUMMYFUNCTION("""COMPUTED_VALUE"""),46231.64583333333)</f>
        <v>46231.64583</v>
      </c>
      <c r="C70" s="1">
        <f>IFERROR(__xludf.DUMMYFUNCTION("""COMPUTED_VALUE"""),1223.5)</f>
        <v>1223.5</v>
      </c>
      <c r="D70" s="1"/>
      <c r="E70" s="112">
        <f>IFERROR(__xludf.DUMMYFUNCTION("""COMPUTED_VALUE"""),46231.64583333333)</f>
        <v>46231.64583</v>
      </c>
      <c r="F70" s="1">
        <f>IFERROR(__xludf.DUMMYFUNCTION("""COMPUTED_VALUE"""),1430.8)</f>
        <v>1430.8</v>
      </c>
      <c r="G70" s="1"/>
      <c r="H70" s="29">
        <f t="shared" si="3"/>
        <v>0.855116019</v>
      </c>
      <c r="I70" s="1">
        <f t="shared" si="4"/>
        <v>-207.3</v>
      </c>
      <c r="J70" s="113">
        <f t="shared" si="5"/>
        <v>-1.390450199</v>
      </c>
      <c r="K70" s="29">
        <f t="shared" si="6"/>
        <v>0.855116019</v>
      </c>
      <c r="L70" s="65">
        <f t="shared" si="7"/>
        <v>1296.205</v>
      </c>
      <c r="M70" s="25">
        <f t="shared" si="8"/>
        <v>-0.05942378423</v>
      </c>
      <c r="N70" s="65">
        <f t="shared" si="9"/>
        <v>1419.96</v>
      </c>
      <c r="O70" s="25">
        <f t="shared" si="10"/>
        <v>0.007576181157</v>
      </c>
      <c r="P70" s="25">
        <f t="shared" si="11"/>
        <v>-0.06699996538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IFERROR(__xludf.DUMMYFUNCTION("""COMPUTED_VALUE"""),46232.64583333333)</f>
        <v>46232.64583</v>
      </c>
      <c r="C71" s="1">
        <f>IFERROR(__xludf.DUMMYFUNCTION("""COMPUTED_VALUE"""),1235.4)</f>
        <v>1235.4</v>
      </c>
      <c r="D71" s="1"/>
      <c r="E71" s="112">
        <f>IFERROR(__xludf.DUMMYFUNCTION("""COMPUTED_VALUE"""),46232.64583333333)</f>
        <v>46232.64583</v>
      </c>
      <c r="F71" s="1">
        <f>IFERROR(__xludf.DUMMYFUNCTION("""COMPUTED_VALUE"""),1437.9)</f>
        <v>1437.9</v>
      </c>
      <c r="G71" s="1"/>
      <c r="H71" s="29">
        <f t="shared" si="3"/>
        <v>0.8591696224</v>
      </c>
      <c r="I71" s="1">
        <f t="shared" si="4"/>
        <v>-202.5</v>
      </c>
      <c r="J71" s="113">
        <f t="shared" si="5"/>
        <v>-1.335020411</v>
      </c>
      <c r="K71" s="29">
        <f t="shared" si="6"/>
        <v>0.8591696224</v>
      </c>
      <c r="L71" s="65">
        <f t="shared" si="7"/>
        <v>1289.54</v>
      </c>
      <c r="M71" s="25">
        <f t="shared" si="8"/>
        <v>-0.04382386272</v>
      </c>
      <c r="N71" s="65">
        <f t="shared" si="9"/>
        <v>1422.865</v>
      </c>
      <c r="O71" s="25">
        <f t="shared" si="10"/>
        <v>0.01045622088</v>
      </c>
      <c r="P71" s="25">
        <f t="shared" si="11"/>
        <v>-0.05428008359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IFERROR(__xludf.DUMMYFUNCTION("""COMPUTED_VALUE"""),46233.64583333333)</f>
        <v>46233.64583</v>
      </c>
      <c r="C72" s="1">
        <f>IFERROR(__xludf.DUMMYFUNCTION("""COMPUTED_VALUE"""),1228.9)</f>
        <v>1228.9</v>
      </c>
      <c r="D72" s="1"/>
      <c r="E72" s="112">
        <f>IFERROR(__xludf.DUMMYFUNCTION("""COMPUTED_VALUE"""),46233.64583333333)</f>
        <v>46233.64583</v>
      </c>
      <c r="F72" s="1">
        <f>IFERROR(__xludf.DUMMYFUNCTION("""COMPUTED_VALUE"""),1433.9)</f>
        <v>1433.9</v>
      </c>
      <c r="G72" s="1"/>
      <c r="H72" s="29">
        <f t="shared" si="3"/>
        <v>0.8570332659</v>
      </c>
      <c r="I72" s="1">
        <f t="shared" si="4"/>
        <v>-205</v>
      </c>
      <c r="J72" s="113">
        <f t="shared" si="5"/>
        <v>-1.363890092</v>
      </c>
      <c r="K72" s="29">
        <f t="shared" si="6"/>
        <v>0.8570332659</v>
      </c>
      <c r="L72" s="65">
        <f t="shared" si="7"/>
        <v>1282.855</v>
      </c>
      <c r="M72" s="25">
        <f t="shared" si="8"/>
        <v>-0.0439051184</v>
      </c>
      <c r="N72" s="65">
        <f t="shared" si="9"/>
        <v>1424.56</v>
      </c>
      <c r="O72" s="25">
        <f t="shared" si="10"/>
        <v>0.006513703885</v>
      </c>
      <c r="P72" s="25">
        <f t="shared" si="11"/>
        <v>-0.05041882228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IFERROR(__xludf.DUMMYFUNCTION("""COMPUTED_VALUE"""),46234.64583333333)</f>
        <v>46234.64583</v>
      </c>
      <c r="C73" s="1">
        <f>IFERROR(__xludf.DUMMYFUNCTION("""COMPUTED_VALUE"""),1229.5)</f>
        <v>1229.5</v>
      </c>
      <c r="D73" s="1"/>
      <c r="E73" s="112">
        <f>IFERROR(__xludf.DUMMYFUNCTION("""COMPUTED_VALUE"""),46234.64583333333)</f>
        <v>46234.64583</v>
      </c>
      <c r="F73" s="1">
        <f>IFERROR(__xludf.DUMMYFUNCTION("""COMPUTED_VALUE"""),1435.4)</f>
        <v>1435.4</v>
      </c>
      <c r="G73" s="1"/>
      <c r="H73" s="29">
        <f t="shared" si="3"/>
        <v>0.8565556639</v>
      </c>
      <c r="I73" s="1">
        <f t="shared" si="4"/>
        <v>-205.9</v>
      </c>
      <c r="J73" s="113">
        <f t="shared" si="5"/>
        <v>-1.374283178</v>
      </c>
      <c r="K73" s="29">
        <f t="shared" si="6"/>
        <v>0.8565556639</v>
      </c>
      <c r="L73" s="65">
        <f t="shared" si="7"/>
        <v>1277.225</v>
      </c>
      <c r="M73" s="25">
        <f t="shared" si="8"/>
        <v>-0.03881659211</v>
      </c>
      <c r="N73" s="65">
        <f t="shared" si="9"/>
        <v>1425.76</v>
      </c>
      <c r="O73" s="25">
        <f t="shared" si="10"/>
        <v>0.006715898008</v>
      </c>
      <c r="P73" s="25">
        <f t="shared" si="11"/>
        <v>-0.04553249012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IFERROR(__xludf.DUMMYFUNCTION("""COMPUTED_VALUE"""),46237.64583333333)</f>
        <v>46237.64583</v>
      </c>
      <c r="C74" s="1">
        <f>IFERROR(__xludf.DUMMYFUNCTION("""COMPUTED_VALUE"""),1272.0)</f>
        <v>1272</v>
      </c>
      <c r="D74" s="1"/>
      <c r="E74" s="112">
        <f>IFERROR(__xludf.DUMMYFUNCTION("""COMPUTED_VALUE"""),46237.64583333333)</f>
        <v>46237.64583</v>
      </c>
      <c r="F74" s="1">
        <f>IFERROR(__xludf.DUMMYFUNCTION("""COMPUTED_VALUE"""),1460.0)</f>
        <v>1460</v>
      </c>
      <c r="G74" s="1"/>
      <c r="H74" s="29">
        <f t="shared" si="3"/>
        <v>0.8712328767</v>
      </c>
      <c r="I74" s="1">
        <f t="shared" si="4"/>
        <v>-188</v>
      </c>
      <c r="J74" s="113">
        <f t="shared" si="5"/>
        <v>-1.167576258</v>
      </c>
      <c r="K74" s="29">
        <f t="shared" si="6"/>
        <v>0.8712328767</v>
      </c>
      <c r="L74" s="65">
        <f t="shared" si="7"/>
        <v>1273.845</v>
      </c>
      <c r="M74" s="25">
        <f t="shared" si="8"/>
        <v>-0.001450471698</v>
      </c>
      <c r="N74" s="65">
        <f t="shared" si="9"/>
        <v>1427.415</v>
      </c>
      <c r="O74" s="25">
        <f t="shared" si="10"/>
        <v>0.02231849315</v>
      </c>
      <c r="P74" s="25">
        <f t="shared" si="11"/>
        <v>-0.02376896485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IFERROR(__xludf.DUMMYFUNCTION("""COMPUTED_VALUE"""),46238.64583333333)</f>
        <v>46238.64583</v>
      </c>
      <c r="C75" s="1">
        <f>IFERROR(__xludf.DUMMYFUNCTION("""COMPUTED_VALUE"""),1261.8)</f>
        <v>1261.8</v>
      </c>
      <c r="D75" s="1"/>
      <c r="E75" s="112">
        <f>IFERROR(__xludf.DUMMYFUNCTION("""COMPUTED_VALUE"""),46238.64583333333)</f>
        <v>46238.64583</v>
      </c>
      <c r="F75" s="1">
        <f>IFERROR(__xludf.DUMMYFUNCTION("""COMPUTED_VALUE"""),1454.6)</f>
        <v>1454.6</v>
      </c>
      <c r="G75" s="1"/>
      <c r="H75" s="29">
        <f t="shared" si="3"/>
        <v>0.8674549704</v>
      </c>
      <c r="I75" s="1">
        <f t="shared" si="4"/>
        <v>-192.8</v>
      </c>
      <c r="J75" s="113">
        <f t="shared" si="5"/>
        <v>-1.223006047</v>
      </c>
      <c r="K75" s="29">
        <f t="shared" si="6"/>
        <v>0.8674549704</v>
      </c>
      <c r="L75" s="65">
        <f t="shared" si="7"/>
        <v>1269.885</v>
      </c>
      <c r="M75" s="25">
        <f t="shared" si="8"/>
        <v>-0.006407513077</v>
      </c>
      <c r="N75" s="65">
        <f t="shared" si="9"/>
        <v>1429.41</v>
      </c>
      <c r="O75" s="25">
        <f t="shared" si="10"/>
        <v>0.01731747559</v>
      </c>
      <c r="P75" s="25">
        <f t="shared" si="11"/>
        <v>-0.02372498867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IFERROR(__xludf.DUMMYFUNCTION("""COMPUTED_VALUE"""),46239.64583333333)</f>
        <v>46239.64583</v>
      </c>
      <c r="C76" s="1">
        <f>IFERROR(__xludf.DUMMYFUNCTION("""COMPUTED_VALUE"""),1253.9)</f>
        <v>1253.9</v>
      </c>
      <c r="D76" s="1"/>
      <c r="E76" s="112">
        <f>IFERROR(__xludf.DUMMYFUNCTION("""COMPUTED_VALUE"""),46239.64583333333)</f>
        <v>46239.64583</v>
      </c>
      <c r="F76" s="1">
        <f>IFERROR(__xludf.DUMMYFUNCTION("""COMPUTED_VALUE"""),1450.1)</f>
        <v>1450.1</v>
      </c>
      <c r="G76" s="1"/>
      <c r="H76" s="29">
        <f t="shared" si="3"/>
        <v>0.8646989863</v>
      </c>
      <c r="I76" s="1">
        <f t="shared" si="4"/>
        <v>-196.2</v>
      </c>
      <c r="J76" s="113">
        <f t="shared" si="5"/>
        <v>-1.262268814</v>
      </c>
      <c r="K76" s="29">
        <f t="shared" si="6"/>
        <v>0.8646989863</v>
      </c>
      <c r="L76" s="65">
        <f t="shared" si="7"/>
        <v>1267.105</v>
      </c>
      <c r="M76" s="25">
        <f t="shared" si="8"/>
        <v>-0.01053114283</v>
      </c>
      <c r="N76" s="65">
        <f t="shared" si="9"/>
        <v>1432.885</v>
      </c>
      <c r="O76" s="25">
        <f t="shared" si="10"/>
        <v>0.01187159506</v>
      </c>
      <c r="P76" s="25">
        <f t="shared" si="11"/>
        <v>-0.0224027379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IFERROR(__xludf.DUMMYFUNCTION("""COMPUTED_VALUE"""),46240.64583333333)</f>
        <v>46240.64583</v>
      </c>
      <c r="C77" s="1">
        <f>IFERROR(__xludf.DUMMYFUNCTION("""COMPUTED_VALUE"""),1256.0)</f>
        <v>1256</v>
      </c>
      <c r="D77" s="1"/>
      <c r="E77" s="112">
        <f>IFERROR(__xludf.DUMMYFUNCTION("""COMPUTED_VALUE"""),46240.64583333333)</f>
        <v>46240.64583</v>
      </c>
      <c r="F77" s="1">
        <f>IFERROR(__xludf.DUMMYFUNCTION("""COMPUTED_VALUE"""),1457.5)</f>
        <v>1457.5</v>
      </c>
      <c r="G77" s="1"/>
      <c r="H77" s="29">
        <f t="shared" si="3"/>
        <v>0.8617495712</v>
      </c>
      <c r="I77" s="1">
        <f t="shared" si="4"/>
        <v>-201.5</v>
      </c>
      <c r="J77" s="113">
        <f t="shared" si="5"/>
        <v>-1.323472538</v>
      </c>
      <c r="K77" s="29">
        <f t="shared" si="6"/>
        <v>0.8617495712</v>
      </c>
      <c r="L77" s="65">
        <f t="shared" si="7"/>
        <v>1265.025</v>
      </c>
      <c r="M77" s="25">
        <f t="shared" si="8"/>
        <v>-0.007185509554</v>
      </c>
      <c r="N77" s="65">
        <f t="shared" si="9"/>
        <v>1436.725</v>
      </c>
      <c r="O77" s="25">
        <f t="shared" si="10"/>
        <v>0.01425385935</v>
      </c>
      <c r="P77" s="25">
        <f t="shared" si="11"/>
        <v>-0.0214393689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IFERROR(__xludf.DUMMYFUNCTION("""COMPUTED_VALUE"""),46241.64583333333)</f>
        <v>46241.64583</v>
      </c>
      <c r="C78" s="1">
        <f>IFERROR(__xludf.DUMMYFUNCTION("""COMPUTED_VALUE"""),1238.0)</f>
        <v>1238</v>
      </c>
      <c r="D78" s="1"/>
      <c r="E78" s="112">
        <f>IFERROR(__xludf.DUMMYFUNCTION("""COMPUTED_VALUE"""),46241.64583333333)</f>
        <v>46241.64583</v>
      </c>
      <c r="F78" s="1">
        <f>IFERROR(__xludf.DUMMYFUNCTION("""COMPUTED_VALUE"""),1421.0)</f>
        <v>1421</v>
      </c>
      <c r="G78" s="1"/>
      <c r="H78" s="29">
        <f t="shared" si="3"/>
        <v>0.8712174525</v>
      </c>
      <c r="I78" s="1">
        <f t="shared" si="4"/>
        <v>-183</v>
      </c>
      <c r="J78" s="113">
        <f t="shared" si="5"/>
        <v>-1.109836895</v>
      </c>
      <c r="K78" s="29">
        <f t="shared" si="6"/>
        <v>0.8712174525</v>
      </c>
      <c r="L78" s="65">
        <f t="shared" si="7"/>
        <v>1260.74</v>
      </c>
      <c r="M78" s="25">
        <f t="shared" si="8"/>
        <v>-0.01836833603</v>
      </c>
      <c r="N78" s="65">
        <f t="shared" si="9"/>
        <v>1437.715</v>
      </c>
      <c r="O78" s="25">
        <f t="shared" si="10"/>
        <v>-0.01176284307</v>
      </c>
      <c r="P78" s="25">
        <f t="shared" si="11"/>
        <v>-0.006605492958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IFERROR(__xludf.DUMMYFUNCTION("""COMPUTED_VALUE"""),46244.64583333333)</f>
        <v>46244.64583</v>
      </c>
      <c r="C79" s="1">
        <f>IFERROR(__xludf.DUMMYFUNCTION("""COMPUTED_VALUE"""),1247.3)</f>
        <v>1247.3</v>
      </c>
      <c r="D79" s="1"/>
      <c r="E79" s="112">
        <f>IFERROR(__xludf.DUMMYFUNCTION("""COMPUTED_VALUE"""),46244.64583333333)</f>
        <v>46244.64583</v>
      </c>
      <c r="F79" s="1">
        <f>IFERROR(__xludf.DUMMYFUNCTION("""COMPUTED_VALUE"""),1431.8)</f>
        <v>1431.8</v>
      </c>
      <c r="G79" s="1"/>
      <c r="H79" s="29">
        <f t="shared" si="3"/>
        <v>0.8711412208</v>
      </c>
      <c r="I79" s="1">
        <f t="shared" si="4"/>
        <v>-184.5</v>
      </c>
      <c r="J79" s="113">
        <f t="shared" si="5"/>
        <v>-1.127158704</v>
      </c>
      <c r="K79" s="29">
        <f t="shared" si="6"/>
        <v>0.8711412208</v>
      </c>
      <c r="L79" s="65">
        <f t="shared" si="7"/>
        <v>1257.135</v>
      </c>
      <c r="M79" s="25">
        <f t="shared" si="8"/>
        <v>-0.007885031668</v>
      </c>
      <c r="N79" s="65">
        <f t="shared" si="9"/>
        <v>1438.83</v>
      </c>
      <c r="O79" s="25">
        <f t="shared" si="10"/>
        <v>-0.004909903618</v>
      </c>
      <c r="P79" s="25">
        <f t="shared" si="11"/>
        <v>-0.002975128051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IFERROR(__xludf.DUMMYFUNCTION("""COMPUTED_VALUE"""),46245.64583333333)</f>
        <v>46245.64583</v>
      </c>
      <c r="C80" s="1">
        <f>IFERROR(__xludf.DUMMYFUNCTION("""COMPUTED_VALUE"""),1229.8)</f>
        <v>1229.8</v>
      </c>
      <c r="D80" s="1"/>
      <c r="E80" s="112">
        <f>IFERROR(__xludf.DUMMYFUNCTION("""COMPUTED_VALUE"""),46245.64583333333)</f>
        <v>46245.64583</v>
      </c>
      <c r="F80" s="1">
        <f>IFERROR(__xludf.DUMMYFUNCTION("""COMPUTED_VALUE"""),1429.6)</f>
        <v>1429.6</v>
      </c>
      <c r="G80" s="1"/>
      <c r="H80" s="29">
        <f t="shared" si="3"/>
        <v>0.8602406267</v>
      </c>
      <c r="I80" s="1">
        <f t="shared" si="4"/>
        <v>-199.8</v>
      </c>
      <c r="J80" s="113">
        <f t="shared" si="5"/>
        <v>-1.303841155</v>
      </c>
      <c r="K80" s="29">
        <f t="shared" si="6"/>
        <v>0.8602406267</v>
      </c>
      <c r="L80" s="65">
        <f t="shared" si="7"/>
        <v>1252.745</v>
      </c>
      <c r="M80" s="25">
        <f t="shared" si="8"/>
        <v>-0.01865750529</v>
      </c>
      <c r="N80" s="65">
        <f t="shared" si="9"/>
        <v>1439.925</v>
      </c>
      <c r="O80" s="25">
        <f t="shared" si="10"/>
        <v>-0.007222299944</v>
      </c>
      <c r="P80" s="25">
        <f t="shared" si="11"/>
        <v>-0.01143520534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IFERROR(__xludf.DUMMYFUNCTION("""COMPUTED_VALUE"""),46246.64583333333)</f>
        <v>46246.64583</v>
      </c>
      <c r="C81" s="1">
        <f>IFERROR(__xludf.DUMMYFUNCTION("""COMPUTED_VALUE"""),1230.0)</f>
        <v>1230</v>
      </c>
      <c r="D81" s="1"/>
      <c r="E81" s="112">
        <f>IFERROR(__xludf.DUMMYFUNCTION("""COMPUTED_VALUE"""),46246.64583333333)</f>
        <v>46246.64583</v>
      </c>
      <c r="F81" s="1">
        <f>IFERROR(__xludf.DUMMYFUNCTION("""COMPUTED_VALUE"""),1431.7)</f>
        <v>1431.7</v>
      </c>
      <c r="G81" s="1"/>
      <c r="H81" s="29">
        <f t="shared" si="3"/>
        <v>0.8591185304</v>
      </c>
      <c r="I81" s="1">
        <f t="shared" si="4"/>
        <v>-201.7</v>
      </c>
      <c r="J81" s="113">
        <f t="shared" si="5"/>
        <v>-1.325782113</v>
      </c>
      <c r="K81" s="29">
        <f t="shared" si="6"/>
        <v>0.8591185304</v>
      </c>
      <c r="L81" s="65">
        <f t="shared" si="7"/>
        <v>1248.63</v>
      </c>
      <c r="M81" s="25">
        <f t="shared" si="8"/>
        <v>-0.01514634146</v>
      </c>
      <c r="N81" s="65">
        <f t="shared" si="9"/>
        <v>1440.7</v>
      </c>
      <c r="O81" s="25">
        <f t="shared" si="10"/>
        <v>-0.006286233149</v>
      </c>
      <c r="P81" s="25">
        <f t="shared" si="11"/>
        <v>-0.008860108314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IFERROR(__xludf.DUMMYFUNCTION("""COMPUTED_VALUE"""),46247.64583333333)</f>
        <v>46247.64583</v>
      </c>
      <c r="C82" s="1">
        <f>IFERROR(__xludf.DUMMYFUNCTION("""COMPUTED_VALUE"""),1221.8)</f>
        <v>1221.8</v>
      </c>
      <c r="D82" s="1"/>
      <c r="E82" s="112">
        <f>IFERROR(__xludf.DUMMYFUNCTION("""COMPUTED_VALUE"""),46247.64583333333)</f>
        <v>46247.64583</v>
      </c>
      <c r="F82" s="1">
        <f>IFERROR(__xludf.DUMMYFUNCTION("""COMPUTED_VALUE"""),1406.8)</f>
        <v>1406.8</v>
      </c>
      <c r="G82" s="1"/>
      <c r="H82" s="29">
        <f t="shared" si="3"/>
        <v>0.8684958772</v>
      </c>
      <c r="I82" s="1">
        <f t="shared" si="4"/>
        <v>-185</v>
      </c>
      <c r="J82" s="113">
        <f t="shared" si="5"/>
        <v>-1.132932641</v>
      </c>
      <c r="K82" s="29">
        <f t="shared" si="6"/>
        <v>0.8684958772</v>
      </c>
      <c r="L82" s="65">
        <f t="shared" si="7"/>
        <v>1244.34</v>
      </c>
      <c r="M82" s="25">
        <f t="shared" si="8"/>
        <v>-0.01844819119</v>
      </c>
      <c r="N82" s="65">
        <f t="shared" si="9"/>
        <v>1440.13</v>
      </c>
      <c r="O82" s="25">
        <f t="shared" si="10"/>
        <v>-0.0236920671</v>
      </c>
      <c r="P82" s="25">
        <f t="shared" si="11"/>
        <v>0.005243875909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IFERROR(__xludf.DUMMYFUNCTION("""COMPUTED_VALUE"""),46248.64583333333)</f>
        <v>46248.64583</v>
      </c>
      <c r="C83" s="1">
        <f>IFERROR(__xludf.DUMMYFUNCTION("""COMPUTED_VALUE"""),1217.4)</f>
        <v>1217.4</v>
      </c>
      <c r="D83" s="1"/>
      <c r="E83" s="112">
        <f>IFERROR(__xludf.DUMMYFUNCTION("""COMPUTED_VALUE"""),46248.64583333333)</f>
        <v>46248.64583</v>
      </c>
      <c r="F83" s="1">
        <f>IFERROR(__xludf.DUMMYFUNCTION("""COMPUTED_VALUE"""),1417.0)</f>
        <v>1417</v>
      </c>
      <c r="G83" s="1"/>
      <c r="H83" s="29">
        <f t="shared" si="3"/>
        <v>0.8591390261</v>
      </c>
      <c r="I83" s="1">
        <f t="shared" si="4"/>
        <v>-199.6</v>
      </c>
      <c r="J83" s="113">
        <f t="shared" si="5"/>
        <v>-1.30153158</v>
      </c>
      <c r="K83" s="29">
        <f t="shared" si="6"/>
        <v>0.8591390261</v>
      </c>
      <c r="L83" s="65">
        <f t="shared" si="7"/>
        <v>1238.785</v>
      </c>
      <c r="M83" s="25">
        <f t="shared" si="8"/>
        <v>-0.01756612453</v>
      </c>
      <c r="N83" s="65">
        <f t="shared" si="9"/>
        <v>1438.765</v>
      </c>
      <c r="O83" s="25">
        <f t="shared" si="10"/>
        <v>-0.01535991531</v>
      </c>
      <c r="P83" s="25">
        <f t="shared" si="11"/>
        <v>-0.002206209214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IFERROR(__xludf.DUMMYFUNCTION("""COMPUTED_VALUE"""),46251.64583333333)</f>
        <v>46251.64583</v>
      </c>
      <c r="C84" s="1">
        <f>IFERROR(__xludf.DUMMYFUNCTION("""COMPUTED_VALUE"""),1227.3)</f>
        <v>1227.3</v>
      </c>
      <c r="D84" s="1"/>
      <c r="E84" s="112">
        <f>IFERROR(__xludf.DUMMYFUNCTION("""COMPUTED_VALUE"""),46251.64583333333)</f>
        <v>46251.64583</v>
      </c>
      <c r="F84" s="1">
        <f>IFERROR(__xludf.DUMMYFUNCTION("""COMPUTED_VALUE"""),1415.3)</f>
        <v>1415.3</v>
      </c>
      <c r="G84" s="1"/>
      <c r="H84" s="29">
        <f t="shared" si="3"/>
        <v>0.8671659719</v>
      </c>
      <c r="I84" s="1">
        <f t="shared" si="4"/>
        <v>-188</v>
      </c>
      <c r="J84" s="113">
        <f t="shared" si="5"/>
        <v>-1.167576258</v>
      </c>
      <c r="K84" s="29">
        <f t="shared" si="6"/>
        <v>0.8671659719</v>
      </c>
      <c r="L84" s="65">
        <f t="shared" si="7"/>
        <v>1237.35</v>
      </c>
      <c r="M84" s="25">
        <f t="shared" si="8"/>
        <v>-0.008188706918</v>
      </c>
      <c r="N84" s="65">
        <f t="shared" si="9"/>
        <v>1436.52</v>
      </c>
      <c r="O84" s="25">
        <f t="shared" si="10"/>
        <v>-0.01499328764</v>
      </c>
      <c r="P84" s="25">
        <f t="shared" si="11"/>
        <v>0.006804580725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IFERROR(__xludf.DUMMYFUNCTION("""COMPUTED_VALUE"""),46252.64583333333)</f>
        <v>46252.64583</v>
      </c>
      <c r="C85" s="1">
        <f>IFERROR(__xludf.DUMMYFUNCTION("""COMPUTED_VALUE"""),1243.0)</f>
        <v>1243</v>
      </c>
      <c r="D85" s="1"/>
      <c r="E85" s="112">
        <f>IFERROR(__xludf.DUMMYFUNCTION("""COMPUTED_VALUE"""),46252.64583333333)</f>
        <v>46252.64583</v>
      </c>
      <c r="F85" s="1">
        <f>IFERROR(__xludf.DUMMYFUNCTION("""COMPUTED_VALUE"""),1412.0)</f>
        <v>1412</v>
      </c>
      <c r="G85" s="1"/>
      <c r="H85" s="29">
        <f t="shared" si="3"/>
        <v>0.8803116147</v>
      </c>
      <c r="I85" s="1">
        <f t="shared" si="4"/>
        <v>-169</v>
      </c>
      <c r="J85" s="113">
        <f t="shared" si="5"/>
        <v>-0.9481666791</v>
      </c>
      <c r="K85" s="29">
        <f t="shared" si="6"/>
        <v>0.8803116147</v>
      </c>
      <c r="L85" s="65">
        <f t="shared" si="7"/>
        <v>1236.59</v>
      </c>
      <c r="M85" s="25">
        <f t="shared" si="8"/>
        <v>0.00515687852</v>
      </c>
      <c r="N85" s="65">
        <f t="shared" si="9"/>
        <v>1433.965</v>
      </c>
      <c r="O85" s="25">
        <f t="shared" si="10"/>
        <v>-0.01555594901</v>
      </c>
      <c r="P85" s="25">
        <f t="shared" si="11"/>
        <v>0.02071282753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IFERROR(__xludf.DUMMYFUNCTION("""COMPUTED_VALUE"""),46253.64583333333)</f>
        <v>46253.64583</v>
      </c>
      <c r="C86" s="1">
        <f>IFERROR(__xludf.DUMMYFUNCTION("""COMPUTED_VALUE"""),1235.0)</f>
        <v>1235</v>
      </c>
      <c r="D86" s="1"/>
      <c r="E86" s="112">
        <f>IFERROR(__xludf.DUMMYFUNCTION("""COMPUTED_VALUE"""),46253.64583333333)</f>
        <v>46253.64583</v>
      </c>
      <c r="F86" s="1">
        <f>IFERROR(__xludf.DUMMYFUNCTION("""COMPUTED_VALUE"""),1402.0)</f>
        <v>1402</v>
      </c>
      <c r="G86" s="1"/>
      <c r="H86" s="29">
        <f t="shared" si="3"/>
        <v>0.8808844508</v>
      </c>
      <c r="I86" s="1">
        <f t="shared" si="4"/>
        <v>-167</v>
      </c>
      <c r="J86" s="113">
        <f t="shared" si="5"/>
        <v>-0.9250709339</v>
      </c>
      <c r="K86" s="29">
        <f t="shared" si="6"/>
        <v>0.8808844508</v>
      </c>
      <c r="L86" s="65">
        <f t="shared" si="7"/>
        <v>1236.42</v>
      </c>
      <c r="M86" s="25">
        <f t="shared" si="8"/>
        <v>-0.001149797571</v>
      </c>
      <c r="N86" s="65">
        <f t="shared" si="9"/>
        <v>1432.03</v>
      </c>
      <c r="O86" s="25">
        <f t="shared" si="10"/>
        <v>-0.02141940086</v>
      </c>
      <c r="P86" s="25">
        <f t="shared" si="11"/>
        <v>0.02026960329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IFERROR(__xludf.DUMMYFUNCTION("""COMPUTED_VALUE"""),46254.64583333333)</f>
        <v>46254.64583</v>
      </c>
      <c r="C87" s="1">
        <f>IFERROR(__xludf.DUMMYFUNCTION("""COMPUTED_VALUE"""),1251.0)</f>
        <v>1251</v>
      </c>
      <c r="D87" s="1"/>
      <c r="E87" s="112">
        <f>IFERROR(__xludf.DUMMYFUNCTION("""COMPUTED_VALUE"""),46254.64583333333)</f>
        <v>46254.64583</v>
      </c>
      <c r="F87" s="1">
        <f>IFERROR(__xludf.DUMMYFUNCTION("""COMPUTED_VALUE"""),1411.9)</f>
        <v>1411.9</v>
      </c>
      <c r="G87" s="1"/>
      <c r="H87" s="29">
        <f t="shared" si="3"/>
        <v>0.8860400878</v>
      </c>
      <c r="I87" s="1">
        <f t="shared" si="4"/>
        <v>-160.9</v>
      </c>
      <c r="J87" s="113">
        <f t="shared" si="5"/>
        <v>-0.8546289111</v>
      </c>
      <c r="K87" s="29">
        <f t="shared" si="6"/>
        <v>0.8860400878</v>
      </c>
      <c r="L87" s="65">
        <f t="shared" si="7"/>
        <v>1237.82</v>
      </c>
      <c r="M87" s="25">
        <f t="shared" si="8"/>
        <v>0.01053557154</v>
      </c>
      <c r="N87" s="65">
        <f t="shared" si="9"/>
        <v>1430.895</v>
      </c>
      <c r="O87" s="25">
        <f t="shared" si="10"/>
        <v>-0.01345350237</v>
      </c>
      <c r="P87" s="25">
        <f t="shared" si="11"/>
        <v>0.02398907392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IFERROR(__xludf.DUMMYFUNCTION("""COMPUTED_VALUE"""),46255.64583333333)</f>
        <v>46255.64583</v>
      </c>
      <c r="C88" s="1">
        <f>IFERROR(__xludf.DUMMYFUNCTION("""COMPUTED_VALUE"""),1245.8)</f>
        <v>1245.8</v>
      </c>
      <c r="D88" s="1"/>
      <c r="E88" s="112">
        <f>IFERROR(__xludf.DUMMYFUNCTION("""COMPUTED_VALUE"""),46255.64583333333)</f>
        <v>46255.64583</v>
      </c>
      <c r="F88" s="1">
        <f>IFERROR(__xludf.DUMMYFUNCTION("""COMPUTED_VALUE"""),1420.0)</f>
        <v>1420</v>
      </c>
      <c r="G88" s="1"/>
      <c r="H88" s="29">
        <f t="shared" si="3"/>
        <v>0.8773239437</v>
      </c>
      <c r="I88" s="1">
        <f t="shared" si="4"/>
        <v>-174.2</v>
      </c>
      <c r="J88" s="113">
        <f t="shared" si="5"/>
        <v>-1.008215617</v>
      </c>
      <c r="K88" s="29">
        <f t="shared" si="6"/>
        <v>0.8773239437</v>
      </c>
      <c r="L88" s="65">
        <f t="shared" si="7"/>
        <v>1238.745</v>
      </c>
      <c r="M88" s="25">
        <f t="shared" si="8"/>
        <v>0.005663027773</v>
      </c>
      <c r="N88" s="65">
        <f t="shared" si="9"/>
        <v>1430.25</v>
      </c>
      <c r="O88" s="25">
        <f t="shared" si="10"/>
        <v>-0.007218309859</v>
      </c>
      <c r="P88" s="25">
        <f t="shared" si="11"/>
        <v>0.01288133763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IFERROR(__xludf.DUMMYFUNCTION("""COMPUTED_VALUE"""),46258.64583333333)</f>
        <v>46258.64583</v>
      </c>
      <c r="C89" s="1">
        <f>IFERROR(__xludf.DUMMYFUNCTION("""COMPUTED_VALUE"""),1236.0)</f>
        <v>1236</v>
      </c>
      <c r="D89" s="1"/>
      <c r="E89" s="112">
        <f>IFERROR(__xludf.DUMMYFUNCTION("""COMPUTED_VALUE"""),46258.64583333333)</f>
        <v>46258.64583</v>
      </c>
      <c r="F89" s="1">
        <f>IFERROR(__xludf.DUMMYFUNCTION("""COMPUTED_VALUE"""),1415.0)</f>
        <v>1415</v>
      </c>
      <c r="G89" s="1"/>
      <c r="H89" s="29">
        <f t="shared" si="3"/>
        <v>0.8734982332</v>
      </c>
      <c r="I89" s="1">
        <f t="shared" si="4"/>
        <v>-179</v>
      </c>
      <c r="J89" s="113">
        <f t="shared" si="5"/>
        <v>-1.063645405</v>
      </c>
      <c r="K89" s="29">
        <f t="shared" si="6"/>
        <v>0.8734982332</v>
      </c>
      <c r="L89" s="65">
        <f t="shared" si="7"/>
        <v>1239.17</v>
      </c>
      <c r="M89" s="25">
        <f t="shared" si="8"/>
        <v>-0.002564724919</v>
      </c>
      <c r="N89" s="65">
        <f t="shared" si="9"/>
        <v>1428.715</v>
      </c>
      <c r="O89" s="25">
        <f t="shared" si="10"/>
        <v>-0.009692579505</v>
      </c>
      <c r="P89" s="25">
        <f t="shared" si="11"/>
        <v>0.007127854586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IFERROR(__xludf.DUMMYFUNCTION("""COMPUTED_VALUE"""),46259.64583333333)</f>
        <v>46259.64583</v>
      </c>
      <c r="C90" s="1">
        <f>IFERROR(__xludf.DUMMYFUNCTION("""COMPUTED_VALUE"""),1235.0)</f>
        <v>1235</v>
      </c>
      <c r="D90" s="25"/>
      <c r="E90" s="112">
        <f>IFERROR(__xludf.DUMMYFUNCTION("""COMPUTED_VALUE"""),46259.64583333333)</f>
        <v>46259.64583</v>
      </c>
      <c r="F90" s="1">
        <f>IFERROR(__xludf.DUMMYFUNCTION("""COMPUTED_VALUE"""),1422.7)</f>
        <v>1422.7</v>
      </c>
      <c r="G90" s="1"/>
      <c r="H90" s="29">
        <f t="shared" si="3"/>
        <v>0.8680677585</v>
      </c>
      <c r="I90" s="1">
        <f t="shared" si="4"/>
        <v>-187.7</v>
      </c>
      <c r="J90" s="113">
        <f t="shared" si="5"/>
        <v>-1.164111897</v>
      </c>
      <c r="K90" s="29">
        <f t="shared" si="6"/>
        <v>0.8680677585</v>
      </c>
      <c r="L90" s="65">
        <f t="shared" si="7"/>
        <v>1239.745</v>
      </c>
      <c r="M90" s="25">
        <f t="shared" si="8"/>
        <v>-0.003842105263</v>
      </c>
      <c r="N90" s="65">
        <f t="shared" si="9"/>
        <v>1428.31</v>
      </c>
      <c r="O90" s="25">
        <f t="shared" si="10"/>
        <v>-0.003943206579</v>
      </c>
      <c r="P90" s="25">
        <f t="shared" si="11"/>
        <v>0.0001011013159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IFERROR(__xludf.DUMMYFUNCTION("""COMPUTED_VALUE"""),46260.64583333333)</f>
        <v>46260.64583</v>
      </c>
      <c r="C91" s="1">
        <f>IFERROR(__xludf.DUMMYFUNCTION("""COMPUTED_VALUE"""),1255.0)</f>
        <v>1255</v>
      </c>
      <c r="D91" s="1"/>
      <c r="E91" s="112">
        <f>IFERROR(__xludf.DUMMYFUNCTION("""COMPUTED_VALUE"""),46260.64583333333)</f>
        <v>46260.64583</v>
      </c>
      <c r="F91" s="1">
        <f>IFERROR(__xludf.DUMMYFUNCTION("""COMPUTED_VALUE"""),1430.0)</f>
        <v>1430</v>
      </c>
      <c r="G91" s="1"/>
      <c r="H91" s="29">
        <f t="shared" si="3"/>
        <v>0.8776223776</v>
      </c>
      <c r="I91" s="1">
        <f t="shared" si="4"/>
        <v>-175</v>
      </c>
      <c r="J91" s="113">
        <f t="shared" si="5"/>
        <v>-1.017453915</v>
      </c>
      <c r="K91" s="29">
        <f t="shared" si="6"/>
        <v>0.8776223776</v>
      </c>
      <c r="L91" s="65">
        <f t="shared" si="7"/>
        <v>1240.725</v>
      </c>
      <c r="M91" s="25">
        <f t="shared" si="8"/>
        <v>0.01137450199</v>
      </c>
      <c r="N91" s="65">
        <f t="shared" si="9"/>
        <v>1427.915</v>
      </c>
      <c r="O91" s="25">
        <f t="shared" si="10"/>
        <v>0.001458041958</v>
      </c>
      <c r="P91" s="25">
        <f t="shared" si="11"/>
        <v>0.009916460034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IFERROR(__xludf.DUMMYFUNCTION("""COMPUTED_VALUE"""),46261.64583333333)</f>
        <v>46261.64583</v>
      </c>
      <c r="C92" s="1">
        <f>IFERROR(__xludf.DUMMYFUNCTION("""COMPUTED_VALUE"""),1256.0)</f>
        <v>1256</v>
      </c>
      <c r="D92" s="1"/>
      <c r="E92" s="112">
        <f>IFERROR(__xludf.DUMMYFUNCTION("""COMPUTED_VALUE"""),46261.64583333333)</f>
        <v>46261.64583</v>
      </c>
      <c r="F92" s="1">
        <f>IFERROR(__xludf.DUMMYFUNCTION("""COMPUTED_VALUE"""),1443.0)</f>
        <v>1443</v>
      </c>
      <c r="G92" s="1"/>
      <c r="H92" s="29">
        <f t="shared" si="3"/>
        <v>0.8704088704</v>
      </c>
      <c r="I92" s="1">
        <f t="shared" si="4"/>
        <v>-187</v>
      </c>
      <c r="J92" s="113">
        <f t="shared" si="5"/>
        <v>-1.156028386</v>
      </c>
      <c r="K92" s="29">
        <f t="shared" si="6"/>
        <v>0.8704088704</v>
      </c>
      <c r="L92" s="65">
        <f t="shared" si="7"/>
        <v>1242.08</v>
      </c>
      <c r="M92" s="25">
        <f t="shared" si="8"/>
        <v>0.01108280255</v>
      </c>
      <c r="N92" s="65">
        <f t="shared" si="9"/>
        <v>1428.37</v>
      </c>
      <c r="O92" s="25">
        <f t="shared" si="10"/>
        <v>0.01013860014</v>
      </c>
      <c r="P92" s="25">
        <f t="shared" si="11"/>
        <v>0.0009442024092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IFERROR(__xludf.DUMMYFUNCTION("""COMPUTED_VALUE"""),46262.64583333333)</f>
        <v>46262.64583</v>
      </c>
      <c r="C93" s="1">
        <f>IFERROR(__xludf.DUMMYFUNCTION("""COMPUTED_VALUE"""),1265.0)</f>
        <v>1265</v>
      </c>
      <c r="D93" s="1"/>
      <c r="E93" s="112">
        <f>IFERROR(__xludf.DUMMYFUNCTION("""COMPUTED_VALUE"""),46262.64583333333)</f>
        <v>46262.64583</v>
      </c>
      <c r="F93" s="1">
        <f>IFERROR(__xludf.DUMMYFUNCTION("""COMPUTED_VALUE"""),1422.8)</f>
        <v>1422.8</v>
      </c>
      <c r="G93" s="1"/>
      <c r="H93" s="29">
        <f t="shared" si="3"/>
        <v>0.8890919314</v>
      </c>
      <c r="I93" s="1">
        <f t="shared" si="4"/>
        <v>-157.8</v>
      </c>
      <c r="J93" s="113">
        <f t="shared" si="5"/>
        <v>-0.8188305061</v>
      </c>
      <c r="K93" s="29">
        <f t="shared" si="6"/>
        <v>0.8890919314</v>
      </c>
      <c r="L93" s="65">
        <f t="shared" si="7"/>
        <v>1243.855</v>
      </c>
      <c r="M93" s="25">
        <f t="shared" si="8"/>
        <v>0.01671541502</v>
      </c>
      <c r="N93" s="65">
        <f t="shared" si="9"/>
        <v>1427.74</v>
      </c>
      <c r="O93" s="25">
        <f t="shared" si="10"/>
        <v>-0.003472026989</v>
      </c>
      <c r="P93" s="25">
        <f t="shared" si="11"/>
        <v>0.02018744201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IFERROR(__xludf.DUMMYFUNCTION("""COMPUTED_VALUE"""),46265.64583333333)</f>
        <v>46265.64583</v>
      </c>
      <c r="C94" s="1">
        <f>IFERROR(__xludf.DUMMYFUNCTION("""COMPUTED_VALUE"""),1300.0)</f>
        <v>1300</v>
      </c>
      <c r="D94" s="1"/>
      <c r="E94" s="112">
        <f>IFERROR(__xludf.DUMMYFUNCTION("""COMPUTED_VALUE"""),46265.64583333333)</f>
        <v>46265.64583</v>
      </c>
      <c r="F94" s="1">
        <f>IFERROR(__xludf.DUMMYFUNCTION("""COMPUTED_VALUE"""),1454.0)</f>
        <v>1454</v>
      </c>
      <c r="G94" s="1"/>
      <c r="H94" s="29">
        <f t="shared" si="3"/>
        <v>0.894085282</v>
      </c>
      <c r="I94" s="1">
        <f t="shared" si="4"/>
        <v>-154</v>
      </c>
      <c r="J94" s="113">
        <f t="shared" si="5"/>
        <v>-0.7749485902</v>
      </c>
      <c r="K94" s="29">
        <f t="shared" si="6"/>
        <v>0.894085282</v>
      </c>
      <c r="L94" s="65">
        <f t="shared" si="7"/>
        <v>1245.255</v>
      </c>
      <c r="M94" s="25">
        <f t="shared" si="8"/>
        <v>0.04211153846</v>
      </c>
      <c r="N94" s="65">
        <f t="shared" si="9"/>
        <v>1427.44</v>
      </c>
      <c r="O94" s="25">
        <f t="shared" si="10"/>
        <v>0.01826685007</v>
      </c>
      <c r="P94" s="25">
        <f t="shared" si="11"/>
        <v>0.02384468839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B95" s="166">
        <f>IFERROR(__xludf.DUMMYFUNCTION("""COMPUTED_VALUE"""),46266.64583333333)</f>
        <v>46266.64583</v>
      </c>
      <c r="C95" s="1">
        <f>IFERROR(__xludf.DUMMYFUNCTION("""COMPUTED_VALUE"""),1258.0)</f>
        <v>1258</v>
      </c>
      <c r="E95" s="112">
        <f>IFERROR(__xludf.DUMMYFUNCTION("""COMPUTED_VALUE"""),46266.64583333333)</f>
        <v>46266.64583</v>
      </c>
      <c r="F95" s="1">
        <f>IFERROR(__xludf.DUMMYFUNCTION("""COMPUTED_VALUE"""),1438.0)</f>
        <v>1438</v>
      </c>
      <c r="G95" s="1"/>
      <c r="H95" s="29">
        <f t="shared" si="3"/>
        <v>0.8748261474</v>
      </c>
      <c r="I95" s="1">
        <f t="shared" si="4"/>
        <v>-180</v>
      </c>
      <c r="J95" s="113">
        <f t="shared" si="5"/>
        <v>-1.075193278</v>
      </c>
      <c r="K95" s="29">
        <f t="shared" si="6"/>
        <v>0.8748261474</v>
      </c>
      <c r="L95" s="65">
        <f t="shared" si="7"/>
        <v>1245.065</v>
      </c>
      <c r="M95" s="25">
        <f t="shared" si="8"/>
        <v>0.01028219396</v>
      </c>
      <c r="N95" s="65">
        <f t="shared" si="9"/>
        <v>1426.61</v>
      </c>
      <c r="O95" s="25">
        <f t="shared" si="10"/>
        <v>0.007920723227</v>
      </c>
      <c r="P95" s="25">
        <f t="shared" si="11"/>
        <v>0.002361470732</v>
      </c>
    </row>
    <row r="96">
      <c r="A96" s="1"/>
      <c r="B96" s="112">
        <f>IFERROR(__xludf.DUMMYFUNCTION("""COMPUTED_VALUE"""),46267.64583333333)</f>
        <v>46267.64583</v>
      </c>
      <c r="C96" s="1">
        <f>IFERROR(__xludf.DUMMYFUNCTION("""COMPUTED_VALUE"""),1253.9)</f>
        <v>1253.9</v>
      </c>
      <c r="D96" s="1"/>
      <c r="E96" s="112">
        <f>IFERROR(__xludf.DUMMYFUNCTION("""COMPUTED_VALUE"""),46267.64583333333)</f>
        <v>46267.64583</v>
      </c>
      <c r="F96" s="1">
        <f>IFERROR(__xludf.DUMMYFUNCTION("""COMPUTED_VALUE"""),1426.5)</f>
        <v>1426.5</v>
      </c>
      <c r="G96" s="1"/>
      <c r="H96" s="29">
        <f t="shared" si="3"/>
        <v>0.8790045566</v>
      </c>
      <c r="I96" s="1">
        <f t="shared" si="4"/>
        <v>-172.6</v>
      </c>
      <c r="J96" s="113">
        <f t="shared" si="5"/>
        <v>-0.9897390205</v>
      </c>
      <c r="K96" s="29">
        <f t="shared" si="6"/>
        <v>0.8790045566</v>
      </c>
      <c r="L96" s="65">
        <f t="shared" si="7"/>
        <v>1245.065</v>
      </c>
      <c r="M96" s="25">
        <f t="shared" si="8"/>
        <v>0.007046016429</v>
      </c>
      <c r="N96" s="65">
        <f t="shared" si="9"/>
        <v>1425.43</v>
      </c>
      <c r="O96" s="25">
        <f t="shared" si="10"/>
        <v>0.0007500876271</v>
      </c>
      <c r="P96" s="25">
        <f t="shared" si="11"/>
        <v>0.006295928802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IFERROR(__xludf.DUMMYFUNCTION("""COMPUTED_VALUE"""),46268.64583333333)</f>
        <v>46268.64583</v>
      </c>
      <c r="C97" s="1">
        <f>IFERROR(__xludf.DUMMYFUNCTION("""COMPUTED_VALUE"""),1267.0)</f>
        <v>1267</v>
      </c>
      <c r="D97" s="1"/>
      <c r="E97" s="112">
        <f>IFERROR(__xludf.DUMMYFUNCTION("""COMPUTED_VALUE"""),46268.64583333333)</f>
        <v>46268.64583</v>
      </c>
      <c r="F97" s="1">
        <f>IFERROR(__xludf.DUMMYFUNCTION("""COMPUTED_VALUE"""),1430.0)</f>
        <v>1430</v>
      </c>
      <c r="G97" s="1"/>
      <c r="H97" s="29">
        <f t="shared" si="3"/>
        <v>0.886013986</v>
      </c>
      <c r="I97" s="1">
        <f t="shared" si="4"/>
        <v>-163</v>
      </c>
      <c r="J97" s="113">
        <f t="shared" si="5"/>
        <v>-0.8788794436</v>
      </c>
      <c r="K97" s="29">
        <f t="shared" si="6"/>
        <v>0.886013986</v>
      </c>
      <c r="L97" s="65">
        <f t="shared" si="7"/>
        <v>1245.615</v>
      </c>
      <c r="M97" s="25">
        <f t="shared" si="8"/>
        <v>0.01687845304</v>
      </c>
      <c r="N97" s="65">
        <f t="shared" si="9"/>
        <v>1424.055</v>
      </c>
      <c r="O97" s="25">
        <f t="shared" si="10"/>
        <v>0.004157342657</v>
      </c>
      <c r="P97" s="25">
        <f t="shared" si="11"/>
        <v>0.01272111038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IFERROR(__xludf.DUMMYFUNCTION("""COMPUTED_VALUE"""),46269.64583333333)</f>
        <v>46269.64583</v>
      </c>
      <c r="C98" s="1">
        <f>IFERROR(__xludf.DUMMYFUNCTION("""COMPUTED_VALUE"""),1273.0)</f>
        <v>1273</v>
      </c>
      <c r="D98" s="1"/>
      <c r="E98" s="112">
        <f>IFERROR(__xludf.DUMMYFUNCTION("""COMPUTED_VALUE"""),46269.64583333333)</f>
        <v>46269.64583</v>
      </c>
      <c r="F98" s="1">
        <f>IFERROR(__xludf.DUMMYFUNCTION("""COMPUTED_VALUE"""),1423.2)</f>
        <v>1423.2</v>
      </c>
      <c r="G98" s="1"/>
      <c r="H98" s="29">
        <f t="shared" si="3"/>
        <v>0.8944631816</v>
      </c>
      <c r="I98" s="1">
        <f t="shared" si="4"/>
        <v>-150.2</v>
      </c>
      <c r="J98" s="113">
        <f t="shared" si="5"/>
        <v>-0.7310666744</v>
      </c>
      <c r="K98" s="29">
        <f t="shared" si="6"/>
        <v>0.8944631816</v>
      </c>
      <c r="L98" s="65">
        <f t="shared" si="7"/>
        <v>1247.365</v>
      </c>
      <c r="M98" s="25">
        <f t="shared" si="8"/>
        <v>0.02013747054</v>
      </c>
      <c r="N98" s="65">
        <f t="shared" si="9"/>
        <v>1424.165</v>
      </c>
      <c r="O98" s="25">
        <f t="shared" si="10"/>
        <v>-0.000678049466</v>
      </c>
      <c r="P98" s="25">
        <f t="shared" si="11"/>
        <v>0.02081552001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B99" s="166">
        <f>IFERROR(__xludf.DUMMYFUNCTION("""COMPUTED_VALUE"""),46272.64583333333)</f>
        <v>46272.64583</v>
      </c>
      <c r="C99" s="1">
        <f>IFERROR(__xludf.DUMMYFUNCTION("""COMPUTED_VALUE"""),1266.0)</f>
        <v>1266</v>
      </c>
      <c r="E99" s="112">
        <f>IFERROR(__xludf.DUMMYFUNCTION("""COMPUTED_VALUE"""),46272.64583333333)</f>
        <v>46272.64583</v>
      </c>
      <c r="F99" s="1">
        <f>IFERROR(__xludf.DUMMYFUNCTION("""COMPUTED_VALUE"""),1427.5)</f>
        <v>1427.5</v>
      </c>
      <c r="G99" s="1"/>
      <c r="H99" s="29">
        <f t="shared" si="3"/>
        <v>0.8868651489</v>
      </c>
      <c r="I99" s="1">
        <f t="shared" si="4"/>
        <v>-161.5</v>
      </c>
      <c r="J99" s="113">
        <f t="shared" si="5"/>
        <v>-0.8615576347</v>
      </c>
      <c r="K99" s="29">
        <f t="shared" si="6"/>
        <v>0.8868651489</v>
      </c>
      <c r="L99" s="65">
        <f t="shared" si="7"/>
        <v>1248.3</v>
      </c>
      <c r="M99" s="25">
        <f t="shared" si="8"/>
        <v>0.01398104265</v>
      </c>
      <c r="N99" s="65">
        <f t="shared" si="9"/>
        <v>1423.95</v>
      </c>
      <c r="O99" s="25">
        <f t="shared" si="10"/>
        <v>0.002486865149</v>
      </c>
      <c r="P99" s="25">
        <f t="shared" si="11"/>
        <v>0.01149417751</v>
      </c>
    </row>
    <row r="100">
      <c r="B100" s="166">
        <f>IFERROR(__xludf.DUMMYFUNCTION("""COMPUTED_VALUE"""),46273.64583333333)</f>
        <v>46273.64583</v>
      </c>
      <c r="C100" s="1">
        <f>IFERROR(__xludf.DUMMYFUNCTION("""COMPUTED_VALUE"""),1244.9)</f>
        <v>1244.9</v>
      </c>
      <c r="E100" s="112">
        <f>IFERROR(__xludf.DUMMYFUNCTION("""COMPUTED_VALUE"""),46273.64583333333)</f>
        <v>46273.64583</v>
      </c>
      <c r="F100" s="1">
        <f>IFERROR(__xludf.DUMMYFUNCTION("""COMPUTED_VALUE"""),1399.4)</f>
        <v>1399.4</v>
      </c>
      <c r="G100" s="1"/>
      <c r="H100" s="29">
        <f t="shared" si="3"/>
        <v>0.8895955409</v>
      </c>
      <c r="I100" s="1">
        <f t="shared" si="4"/>
        <v>-154.5</v>
      </c>
      <c r="J100" s="113">
        <f t="shared" si="5"/>
        <v>-0.7807225265</v>
      </c>
      <c r="K100" s="29">
        <f t="shared" si="6"/>
        <v>0.8895955409</v>
      </c>
      <c r="L100" s="65">
        <f t="shared" si="7"/>
        <v>1249.055</v>
      </c>
      <c r="M100" s="25">
        <f t="shared" si="8"/>
        <v>-0.003337617479</v>
      </c>
      <c r="N100" s="65">
        <f t="shared" si="9"/>
        <v>1422.44</v>
      </c>
      <c r="O100" s="25">
        <f t="shared" si="10"/>
        <v>-0.01646419894</v>
      </c>
      <c r="P100" s="25">
        <f t="shared" si="11"/>
        <v>0.01312658146</v>
      </c>
    </row>
    <row r="101">
      <c r="A101" s="1"/>
      <c r="B101" s="112">
        <f>IFERROR(__xludf.DUMMYFUNCTION("""COMPUTED_VALUE"""),46274.64583333333)</f>
        <v>46274.64583</v>
      </c>
      <c r="C101" s="1">
        <f>IFERROR(__xludf.DUMMYFUNCTION("""COMPUTED_VALUE"""),1238.5)</f>
        <v>1238.5</v>
      </c>
      <c r="D101" s="1"/>
      <c r="E101" s="112">
        <f>IFERROR(__xludf.DUMMYFUNCTION("""COMPUTED_VALUE"""),46274.64583333333)</f>
        <v>46274.64583</v>
      </c>
      <c r="F101" s="1">
        <f>IFERROR(__xludf.DUMMYFUNCTION("""COMPUTED_VALUE"""),1389.1)</f>
        <v>1389.1</v>
      </c>
      <c r="G101" s="1"/>
      <c r="H101" s="29">
        <f t="shared" si="3"/>
        <v>0.8915844792</v>
      </c>
      <c r="I101" s="1">
        <f t="shared" si="4"/>
        <v>-150.6</v>
      </c>
      <c r="J101" s="113">
        <f t="shared" si="5"/>
        <v>-0.7356858234</v>
      </c>
      <c r="K101" s="29">
        <f t="shared" si="6"/>
        <v>0.8915844792</v>
      </c>
      <c r="L101" s="65">
        <f t="shared" si="7"/>
        <v>1249.48</v>
      </c>
      <c r="M101" s="25">
        <f t="shared" si="8"/>
        <v>-0.008865563181</v>
      </c>
      <c r="N101" s="65">
        <f t="shared" si="9"/>
        <v>1420.31</v>
      </c>
      <c r="O101" s="25">
        <f t="shared" si="10"/>
        <v>-0.0224677849</v>
      </c>
      <c r="P101" s="25">
        <f t="shared" si="11"/>
        <v>0.01360222172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IFERROR(__xludf.DUMMYFUNCTION("""COMPUTED_VALUE"""),46275.64583333333)</f>
        <v>46275.64583</v>
      </c>
      <c r="C102" s="1">
        <f>IFERROR(__xludf.DUMMYFUNCTION("""COMPUTED_VALUE"""),1246.0)</f>
        <v>1246</v>
      </c>
      <c r="D102" s="1"/>
      <c r="E102" s="112">
        <f>IFERROR(__xludf.DUMMYFUNCTION("""COMPUTED_VALUE"""),46275.64583333333)</f>
        <v>46275.64583</v>
      </c>
      <c r="F102" s="1">
        <f>IFERROR(__xludf.DUMMYFUNCTION("""COMPUTED_VALUE"""),1384.5)</f>
        <v>1384.5</v>
      </c>
      <c r="G102" s="1"/>
      <c r="H102" s="29">
        <f t="shared" si="3"/>
        <v>0.8999638859</v>
      </c>
      <c r="I102" s="1">
        <f t="shared" si="4"/>
        <v>-138.5</v>
      </c>
      <c r="J102" s="113">
        <f t="shared" si="5"/>
        <v>-0.595956565</v>
      </c>
      <c r="K102" s="29">
        <f t="shared" si="6"/>
        <v>0.8999638859</v>
      </c>
      <c r="L102" s="65">
        <f t="shared" si="7"/>
        <v>1250.69</v>
      </c>
      <c r="M102" s="25">
        <f t="shared" si="8"/>
        <v>-0.003764044944</v>
      </c>
      <c r="N102" s="65">
        <f t="shared" si="9"/>
        <v>1419.195</v>
      </c>
      <c r="O102" s="25">
        <f t="shared" si="10"/>
        <v>-0.0250595883</v>
      </c>
      <c r="P102" s="25">
        <f t="shared" si="11"/>
        <v>0.02129554336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IFERROR(__xludf.DUMMYFUNCTION("""COMPUTED_VALUE"""),46276.64583333333)</f>
        <v>46276.64583</v>
      </c>
      <c r="C103" s="1">
        <f>IFERROR(__xludf.DUMMYFUNCTION("""COMPUTED_VALUE"""),1246.0)</f>
        <v>1246</v>
      </c>
      <c r="D103" s="1"/>
      <c r="E103" s="112">
        <f>IFERROR(__xludf.DUMMYFUNCTION("""COMPUTED_VALUE"""),46276.64583333333)</f>
        <v>46276.64583</v>
      </c>
      <c r="F103" s="1">
        <f>IFERROR(__xludf.DUMMYFUNCTION("""COMPUTED_VALUE"""),1379.3)</f>
        <v>1379.3</v>
      </c>
      <c r="G103" s="1"/>
      <c r="H103" s="29">
        <f t="shared" si="3"/>
        <v>0.9033567752</v>
      </c>
      <c r="I103" s="1">
        <f t="shared" si="4"/>
        <v>-133.3</v>
      </c>
      <c r="J103" s="113">
        <f t="shared" si="5"/>
        <v>-0.5359076276</v>
      </c>
      <c r="K103" s="29">
        <f t="shared" si="6"/>
        <v>0.9033567752</v>
      </c>
      <c r="L103" s="65">
        <f t="shared" si="7"/>
        <v>1252.12</v>
      </c>
      <c r="M103" s="25">
        <f t="shared" si="8"/>
        <v>-0.004911717496</v>
      </c>
      <c r="N103" s="65">
        <f t="shared" si="9"/>
        <v>1417.31</v>
      </c>
      <c r="O103" s="25">
        <f t="shared" si="10"/>
        <v>-0.02755745668</v>
      </c>
      <c r="P103" s="25">
        <f t="shared" si="11"/>
        <v>0.02264573918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IFERROR(__xludf.DUMMYFUNCTION("""COMPUTED_VALUE"""),46280.64583333333)</f>
        <v>46280.64583</v>
      </c>
      <c r="C104" s="1">
        <f>IFERROR(__xludf.DUMMYFUNCTION("""COMPUTED_VALUE"""),1222.9)</f>
        <v>1222.9</v>
      </c>
      <c r="D104" s="1"/>
      <c r="E104" s="112">
        <f>IFERROR(__xludf.DUMMYFUNCTION("""COMPUTED_VALUE"""),46280.64583333333)</f>
        <v>46280.64583</v>
      </c>
      <c r="F104" s="1">
        <f>IFERROR(__xludf.DUMMYFUNCTION("""COMPUTED_VALUE"""),1350.4)</f>
        <v>1350.4</v>
      </c>
      <c r="G104" s="1"/>
      <c r="H104" s="29">
        <f t="shared" si="3"/>
        <v>0.9055835308</v>
      </c>
      <c r="I104" s="1">
        <f t="shared" si="4"/>
        <v>-127.5</v>
      </c>
      <c r="J104" s="113">
        <f t="shared" si="5"/>
        <v>-0.4689299665</v>
      </c>
      <c r="K104" s="29">
        <f t="shared" si="6"/>
        <v>0.9055835308</v>
      </c>
      <c r="L104" s="65">
        <f t="shared" si="7"/>
        <v>1251.9</v>
      </c>
      <c r="M104" s="25">
        <f t="shared" si="8"/>
        <v>-0.02371412217</v>
      </c>
      <c r="N104" s="65">
        <f t="shared" si="9"/>
        <v>1414.065</v>
      </c>
      <c r="O104" s="25">
        <f t="shared" si="10"/>
        <v>-0.04714529028</v>
      </c>
      <c r="P104" s="25">
        <f t="shared" si="11"/>
        <v>0.02343116812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IFERROR(__xludf.DUMMYFUNCTION("""COMPUTED_VALUE"""),46281.64583333333)</f>
        <v>46281.64583</v>
      </c>
      <c r="C105" s="1">
        <f>IFERROR(__xludf.DUMMYFUNCTION("""COMPUTED_VALUE"""),1241.0)</f>
        <v>1241</v>
      </c>
      <c r="D105" s="1"/>
      <c r="E105" s="112">
        <f>IFERROR(__xludf.DUMMYFUNCTION("""COMPUTED_VALUE"""),46281.64583333333)</f>
        <v>46281.64583</v>
      </c>
      <c r="F105" s="1">
        <f>IFERROR(__xludf.DUMMYFUNCTION("""COMPUTED_VALUE"""),1358.8)</f>
        <v>1358.8</v>
      </c>
      <c r="G105" s="1"/>
      <c r="H105" s="29">
        <f t="shared" si="3"/>
        <v>0.9133058581</v>
      </c>
      <c r="I105" s="1">
        <f t="shared" si="4"/>
        <v>-117.8</v>
      </c>
      <c r="J105" s="113">
        <f t="shared" si="5"/>
        <v>-0.3569156024</v>
      </c>
      <c r="K105" s="29">
        <f t="shared" si="6"/>
        <v>0.9133058581</v>
      </c>
      <c r="L105" s="65">
        <f t="shared" si="7"/>
        <v>1251.8</v>
      </c>
      <c r="M105" s="25">
        <f t="shared" si="8"/>
        <v>-0.008702659146</v>
      </c>
      <c r="N105" s="65">
        <f t="shared" si="9"/>
        <v>1411.405</v>
      </c>
      <c r="O105" s="25">
        <f t="shared" si="10"/>
        <v>-0.03871430674</v>
      </c>
      <c r="P105" s="25">
        <f t="shared" si="11"/>
        <v>0.0300116476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IFERROR(__xludf.DUMMYFUNCTION("""COMPUTED_VALUE"""),46282.64583333333)</f>
        <v>46282.64583</v>
      </c>
      <c r="C106" s="1">
        <f>IFERROR(__xludf.DUMMYFUNCTION("""COMPUTED_VALUE"""),1240.0)</f>
        <v>1240</v>
      </c>
      <c r="D106" s="1"/>
      <c r="E106" s="112">
        <f>IFERROR(__xludf.DUMMYFUNCTION("""COMPUTED_VALUE"""),46282.64583333333)</f>
        <v>46282.64583</v>
      </c>
      <c r="F106" s="1">
        <f>IFERROR(__xludf.DUMMYFUNCTION("""COMPUTED_VALUE"""),1347.6)</f>
        <v>1347.6</v>
      </c>
      <c r="G106" s="1"/>
      <c r="H106" s="29">
        <f t="shared" si="3"/>
        <v>0.9201543485</v>
      </c>
      <c r="I106" s="1">
        <f t="shared" si="4"/>
        <v>-107.6</v>
      </c>
      <c r="J106" s="113">
        <f t="shared" si="5"/>
        <v>-0.2391273019</v>
      </c>
      <c r="K106" s="29">
        <f t="shared" si="6"/>
        <v>0.9201543485</v>
      </c>
      <c r="L106" s="65">
        <f t="shared" si="7"/>
        <v>1252.05</v>
      </c>
      <c r="M106" s="25">
        <f t="shared" si="8"/>
        <v>-0.009717741935</v>
      </c>
      <c r="N106" s="65">
        <f t="shared" si="9"/>
        <v>1408.685</v>
      </c>
      <c r="O106" s="25">
        <f t="shared" si="10"/>
        <v>-0.04532873256</v>
      </c>
      <c r="P106" s="25">
        <f t="shared" si="11"/>
        <v>0.03561099063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IFERROR(__xludf.DUMMYFUNCTION("""COMPUTED_VALUE"""),46283.64583333333)</f>
        <v>46283.64583</v>
      </c>
      <c r="C107" s="1">
        <f>IFERROR(__xludf.DUMMYFUNCTION("""COMPUTED_VALUE"""),1257.0)</f>
        <v>1257</v>
      </c>
      <c r="D107" s="1"/>
      <c r="E107" s="112">
        <f>IFERROR(__xludf.DUMMYFUNCTION("""COMPUTED_VALUE"""),46283.64583333333)</f>
        <v>46283.64583</v>
      </c>
      <c r="F107" s="1">
        <f>IFERROR(__xludf.DUMMYFUNCTION("""COMPUTED_VALUE"""),1338.9)</f>
        <v>1338.9</v>
      </c>
      <c r="G107" s="1"/>
      <c r="H107" s="29">
        <f t="shared" si="3"/>
        <v>0.9388303832</v>
      </c>
      <c r="I107" s="1">
        <f t="shared" si="4"/>
        <v>-81.9</v>
      </c>
      <c r="J107" s="113">
        <f t="shared" si="5"/>
        <v>0.05765302373</v>
      </c>
      <c r="K107" s="29">
        <f t="shared" si="6"/>
        <v>0.9388303832</v>
      </c>
      <c r="L107" s="65">
        <f t="shared" si="7"/>
        <v>1252.35</v>
      </c>
      <c r="M107" s="25">
        <f t="shared" si="8"/>
        <v>0.00369928401</v>
      </c>
      <c r="N107" s="65">
        <f t="shared" si="9"/>
        <v>1405.035</v>
      </c>
      <c r="O107" s="25">
        <f t="shared" si="10"/>
        <v>-0.04939502577</v>
      </c>
      <c r="P107" s="25">
        <f t="shared" si="11"/>
        <v>0.05309430978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IFERROR(__xludf.DUMMYFUNCTION("""COMPUTED_VALUE"""),46286.64583333333)</f>
        <v>46286.64583</v>
      </c>
      <c r="C108" s="1">
        <f>IFERROR(__xludf.DUMMYFUNCTION("""COMPUTED_VALUE"""),1250.0)</f>
        <v>1250</v>
      </c>
      <c r="D108" s="1"/>
      <c r="E108" s="112">
        <f>IFERROR(__xludf.DUMMYFUNCTION("""COMPUTED_VALUE"""),46286.64583333333)</f>
        <v>46286.64583</v>
      </c>
      <c r="F108" s="1">
        <f>IFERROR(__xludf.DUMMYFUNCTION("""COMPUTED_VALUE"""),1345.0)</f>
        <v>1345</v>
      </c>
      <c r="G108" s="1"/>
      <c r="H108" s="29">
        <f t="shared" si="3"/>
        <v>0.9293680297</v>
      </c>
      <c r="I108" s="1">
        <f t="shared" si="4"/>
        <v>-95</v>
      </c>
      <c r="J108" s="113">
        <f t="shared" si="5"/>
        <v>-0.09362410724</v>
      </c>
      <c r="K108" s="29">
        <f t="shared" si="6"/>
        <v>0.9293680297</v>
      </c>
      <c r="L108" s="65">
        <f t="shared" si="7"/>
        <v>1252.56</v>
      </c>
      <c r="M108" s="25">
        <f t="shared" si="8"/>
        <v>-0.002048</v>
      </c>
      <c r="N108" s="65">
        <f t="shared" si="9"/>
        <v>1401.285</v>
      </c>
      <c r="O108" s="25">
        <f t="shared" si="10"/>
        <v>-0.04184758364</v>
      </c>
      <c r="P108" s="25">
        <f t="shared" si="11"/>
        <v>0.03979958364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IFERROR(__xludf.DUMMYFUNCTION("""COMPUTED_VALUE"""),46287.64583333333)</f>
        <v>46287.64583</v>
      </c>
      <c r="C109" s="1">
        <f>IFERROR(__xludf.DUMMYFUNCTION("""COMPUTED_VALUE"""),1242.7)</f>
        <v>1242.7</v>
      </c>
      <c r="D109" s="1"/>
      <c r="E109" s="112">
        <f>IFERROR(__xludf.DUMMYFUNCTION("""COMPUTED_VALUE"""),46287.64583333333)</f>
        <v>46287.64583</v>
      </c>
      <c r="F109" s="1">
        <f>IFERROR(__xludf.DUMMYFUNCTION("""COMPUTED_VALUE"""),1339.6)</f>
        <v>1339.6</v>
      </c>
      <c r="G109" s="1"/>
      <c r="H109" s="29">
        <f t="shared" si="3"/>
        <v>0.9276649746</v>
      </c>
      <c r="I109" s="1">
        <f t="shared" si="4"/>
        <v>-96.9</v>
      </c>
      <c r="J109" s="113">
        <f t="shared" si="5"/>
        <v>-0.1155650652</v>
      </c>
      <c r="K109" s="29">
        <f t="shared" si="6"/>
        <v>0.9276649746</v>
      </c>
      <c r="L109" s="65">
        <f t="shared" si="7"/>
        <v>1252.895</v>
      </c>
      <c r="M109" s="25">
        <f t="shared" si="8"/>
        <v>-0.008203910839</v>
      </c>
      <c r="N109" s="65">
        <f t="shared" si="9"/>
        <v>1397.515</v>
      </c>
      <c r="O109" s="25">
        <f t="shared" si="10"/>
        <v>-0.04323305464</v>
      </c>
      <c r="P109" s="25">
        <f t="shared" si="11"/>
        <v>0.0350291438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B110" s="166">
        <f>IFERROR(__xludf.DUMMYFUNCTION("""COMPUTED_VALUE"""),46288.64583333333)</f>
        <v>46288.64583</v>
      </c>
      <c r="C110" s="1">
        <f>IFERROR(__xludf.DUMMYFUNCTION("""COMPUTED_VALUE"""),1243.2)</f>
        <v>1243.2</v>
      </c>
      <c r="E110" s="112">
        <f>IFERROR(__xludf.DUMMYFUNCTION("""COMPUTED_VALUE"""),46288.64583333333)</f>
        <v>46288.64583</v>
      </c>
      <c r="F110" s="1">
        <f>IFERROR(__xludf.DUMMYFUNCTION("""COMPUTED_VALUE"""),1340.0)</f>
        <v>1340</v>
      </c>
      <c r="G110" s="1"/>
      <c r="H110" s="29">
        <f t="shared" si="3"/>
        <v>0.927761194</v>
      </c>
      <c r="I110" s="1">
        <f t="shared" si="4"/>
        <v>-96.8</v>
      </c>
      <c r="J110" s="113">
        <f t="shared" si="5"/>
        <v>-0.1144102779</v>
      </c>
      <c r="K110" s="29">
        <f t="shared" si="6"/>
        <v>0.927761194</v>
      </c>
      <c r="L110" s="65">
        <f t="shared" si="7"/>
        <v>1253.305</v>
      </c>
      <c r="M110" s="25">
        <f t="shared" si="8"/>
        <v>-0.008128217503</v>
      </c>
      <c r="N110" s="65">
        <f t="shared" si="9"/>
        <v>1393.38</v>
      </c>
      <c r="O110" s="25">
        <f t="shared" si="10"/>
        <v>-0.0398358209</v>
      </c>
      <c r="P110" s="25">
        <f t="shared" si="11"/>
        <v>0.03170760339</v>
      </c>
    </row>
    <row r="111">
      <c r="A111" s="1"/>
      <c r="B111" s="112">
        <f>IFERROR(__xludf.DUMMYFUNCTION("""COMPUTED_VALUE"""),46289.64583333333)</f>
        <v>46289.64583</v>
      </c>
      <c r="C111" s="1">
        <f>IFERROR(__xludf.DUMMYFUNCTION("""COMPUTED_VALUE"""),1186.5)</f>
        <v>1186.5</v>
      </c>
      <c r="D111" s="1"/>
      <c r="E111" s="112">
        <f>IFERROR(__xludf.DUMMYFUNCTION("""COMPUTED_VALUE"""),46289.64583333333)</f>
        <v>46289.64583</v>
      </c>
      <c r="F111" s="1">
        <f>IFERROR(__xludf.DUMMYFUNCTION("""COMPUTED_VALUE"""),1334.5)</f>
        <v>1334.5</v>
      </c>
      <c r="G111" s="1"/>
      <c r="H111" s="29">
        <f t="shared" si="3"/>
        <v>0.8890970401</v>
      </c>
      <c r="I111" s="1">
        <f t="shared" si="4"/>
        <v>-148</v>
      </c>
      <c r="J111" s="113">
        <f t="shared" si="5"/>
        <v>-0.7056613547</v>
      </c>
      <c r="K111" s="29">
        <f t="shared" si="6"/>
        <v>0.8890970401</v>
      </c>
      <c r="L111" s="65">
        <f t="shared" si="7"/>
        <v>1249.88</v>
      </c>
      <c r="M111" s="25">
        <f t="shared" si="8"/>
        <v>-0.05341761483</v>
      </c>
      <c r="N111" s="65">
        <f t="shared" si="9"/>
        <v>1388.605</v>
      </c>
      <c r="O111" s="25">
        <f t="shared" si="10"/>
        <v>-0.04054327463</v>
      </c>
      <c r="P111" s="25">
        <f t="shared" si="11"/>
        <v>-0.0128743402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IFERROR(__xludf.DUMMYFUNCTION("""COMPUTED_VALUE"""),46290.64583333333)</f>
        <v>46290.64583</v>
      </c>
      <c r="C112" s="1">
        <f>IFERROR(__xludf.DUMMYFUNCTION("""COMPUTED_VALUE"""),1222.4)</f>
        <v>1222.4</v>
      </c>
      <c r="D112" s="1"/>
      <c r="E112" s="112">
        <f>IFERROR(__xludf.DUMMYFUNCTION("""COMPUTED_VALUE"""),46290.64583333333)</f>
        <v>46290.64583</v>
      </c>
      <c r="F112" s="1">
        <f>IFERROR(__xludf.DUMMYFUNCTION("""COMPUTED_VALUE"""),1326.8)</f>
        <v>1326.8</v>
      </c>
      <c r="G112" s="1"/>
      <c r="H112" s="29">
        <f t="shared" si="3"/>
        <v>0.9213144408</v>
      </c>
      <c r="I112" s="1">
        <f t="shared" si="4"/>
        <v>-104.4</v>
      </c>
      <c r="J112" s="113">
        <f t="shared" si="5"/>
        <v>-0.2021741096</v>
      </c>
      <c r="K112" s="29">
        <f t="shared" si="6"/>
        <v>0.9213144408</v>
      </c>
      <c r="L112" s="65">
        <f t="shared" si="7"/>
        <v>1248.2</v>
      </c>
      <c r="M112" s="25">
        <f t="shared" si="8"/>
        <v>-0.02110602094</v>
      </c>
      <c r="N112" s="65">
        <f t="shared" si="9"/>
        <v>1382.795</v>
      </c>
      <c r="O112" s="25">
        <f t="shared" si="10"/>
        <v>-0.04220304492</v>
      </c>
      <c r="P112" s="25">
        <f t="shared" si="11"/>
        <v>0.02109702398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IFERROR(__xludf.DUMMYFUNCTION("""COMPUTED_VALUE"""),46293.64583333333)</f>
        <v>46293.64583</v>
      </c>
      <c r="C113" s="1">
        <f>IFERROR(__xludf.DUMMYFUNCTION("""COMPUTED_VALUE"""),1209.9)</f>
        <v>1209.9</v>
      </c>
      <c r="D113" s="1"/>
      <c r="E113" s="112">
        <f>IFERROR(__xludf.DUMMYFUNCTION("""COMPUTED_VALUE"""),46293.64583333333)</f>
        <v>46293.64583</v>
      </c>
      <c r="F113" s="1">
        <f>IFERROR(__xludf.DUMMYFUNCTION("""COMPUTED_VALUE"""),1302.0)</f>
        <v>1302</v>
      </c>
      <c r="G113" s="1"/>
      <c r="H113" s="29">
        <f t="shared" si="3"/>
        <v>0.9292626728</v>
      </c>
      <c r="I113" s="1">
        <f t="shared" si="4"/>
        <v>-92.1</v>
      </c>
      <c r="J113" s="113">
        <f t="shared" si="5"/>
        <v>-0.06013527672</v>
      </c>
      <c r="K113" s="29">
        <f t="shared" si="6"/>
        <v>0.9292626728</v>
      </c>
      <c r="L113" s="65">
        <f t="shared" si="7"/>
        <v>1245.445</v>
      </c>
      <c r="M113" s="25">
        <f t="shared" si="8"/>
        <v>-0.02937846103</v>
      </c>
      <c r="N113" s="65">
        <f t="shared" si="9"/>
        <v>1376.755</v>
      </c>
      <c r="O113" s="25">
        <f t="shared" si="10"/>
        <v>-0.05741551459</v>
      </c>
      <c r="P113" s="25">
        <f t="shared" si="11"/>
        <v>0.02803705356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IFERROR(__xludf.DUMMYFUNCTION("""COMPUTED_VALUE"""),46294.64583333333)</f>
        <v>46294.64583</v>
      </c>
      <c r="C114" s="1">
        <f>IFERROR(__xludf.DUMMYFUNCTION("""COMPUTED_VALUE"""),1212.1)</f>
        <v>1212.1</v>
      </c>
      <c r="D114" s="1"/>
      <c r="E114" s="112">
        <f>IFERROR(__xludf.DUMMYFUNCTION("""COMPUTED_VALUE"""),46294.64583333333)</f>
        <v>46294.64583</v>
      </c>
      <c r="F114" s="1">
        <f>IFERROR(__xludf.DUMMYFUNCTION("""COMPUTED_VALUE"""),1292.2)</f>
        <v>1292.2</v>
      </c>
      <c r="G114" s="1"/>
      <c r="H114" s="29">
        <f t="shared" si="3"/>
        <v>0.9380126915</v>
      </c>
      <c r="I114" s="1">
        <f t="shared" si="4"/>
        <v>-80.1</v>
      </c>
      <c r="J114" s="113">
        <f t="shared" si="5"/>
        <v>0.0784391944</v>
      </c>
      <c r="K114" s="29">
        <f t="shared" si="6"/>
        <v>0.9380126915</v>
      </c>
      <c r="L114" s="65">
        <f t="shared" si="7"/>
        <v>1241.05</v>
      </c>
      <c r="M114" s="25">
        <f t="shared" si="8"/>
        <v>-0.02388416797</v>
      </c>
      <c r="N114" s="65">
        <f t="shared" si="9"/>
        <v>1368.665</v>
      </c>
      <c r="O114" s="25">
        <f t="shared" si="10"/>
        <v>-0.05917427643</v>
      </c>
      <c r="P114" s="25">
        <f t="shared" si="11"/>
        <v>0.03529010845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IFERROR(__xludf.DUMMYFUNCTION("""COMPUTED_VALUE"""),46295.64583333333)</f>
        <v>46295.64583</v>
      </c>
      <c r="C115" s="1">
        <f>IFERROR(__xludf.DUMMYFUNCTION("""COMPUTED_VALUE"""),1226.0)</f>
        <v>1226</v>
      </c>
      <c r="D115" s="1"/>
      <c r="E115" s="112">
        <f>IFERROR(__xludf.DUMMYFUNCTION("""COMPUTED_VALUE"""),46295.64583333333)</f>
        <v>46295.64583</v>
      </c>
      <c r="F115" s="1">
        <f>IFERROR(__xludf.DUMMYFUNCTION("""COMPUTED_VALUE"""),1321.7)</f>
        <v>1321.7</v>
      </c>
      <c r="G115" s="1"/>
      <c r="H115" s="29">
        <f t="shared" si="3"/>
        <v>0.9275932511</v>
      </c>
      <c r="I115" s="1">
        <f t="shared" si="4"/>
        <v>-95.7</v>
      </c>
      <c r="J115" s="113">
        <f t="shared" si="5"/>
        <v>-0.1017076181</v>
      </c>
      <c r="K115" s="29">
        <f t="shared" si="6"/>
        <v>0.9275932511</v>
      </c>
      <c r="L115" s="65">
        <f t="shared" si="7"/>
        <v>1239.45</v>
      </c>
      <c r="M115" s="25">
        <f t="shared" si="8"/>
        <v>-0.01097063622</v>
      </c>
      <c r="N115" s="65">
        <f t="shared" si="9"/>
        <v>1362.85</v>
      </c>
      <c r="O115" s="25">
        <f t="shared" si="10"/>
        <v>-0.03113414542</v>
      </c>
      <c r="P115" s="25">
        <f t="shared" si="11"/>
        <v>0.0201635092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IFERROR(__xludf.DUMMYFUNCTION("""COMPUTED_VALUE"""),46296.64583333333)</f>
        <v>46296.64583</v>
      </c>
      <c r="C116" s="1">
        <f>IFERROR(__xludf.DUMMYFUNCTION("""COMPUTED_VALUE"""),1217.1)</f>
        <v>1217.1</v>
      </c>
      <c r="D116" s="1"/>
      <c r="E116" s="112">
        <f>IFERROR(__xludf.DUMMYFUNCTION("""COMPUTED_VALUE"""),46296.64583333333)</f>
        <v>46296.64583</v>
      </c>
      <c r="F116" s="1">
        <f>IFERROR(__xludf.DUMMYFUNCTION("""COMPUTED_VALUE"""),1310.6)</f>
        <v>1310.6</v>
      </c>
      <c r="G116" s="1"/>
      <c r="H116" s="29">
        <f t="shared" si="3"/>
        <v>0.9286586296</v>
      </c>
      <c r="I116" s="1">
        <f t="shared" si="4"/>
        <v>-93.5</v>
      </c>
      <c r="J116" s="113">
        <f t="shared" si="5"/>
        <v>-0.07630229835</v>
      </c>
      <c r="K116" s="29">
        <f t="shared" si="6"/>
        <v>0.9286586296</v>
      </c>
      <c r="L116" s="65">
        <f t="shared" si="7"/>
        <v>1237.61</v>
      </c>
      <c r="M116" s="25">
        <f t="shared" si="8"/>
        <v>-0.01685153233</v>
      </c>
      <c r="N116" s="65">
        <f t="shared" si="9"/>
        <v>1357.055</v>
      </c>
      <c r="O116" s="25">
        <f t="shared" si="10"/>
        <v>-0.03544559744</v>
      </c>
      <c r="P116" s="25">
        <f t="shared" si="11"/>
        <v>0.01859406511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IFERROR(__xludf.DUMMYFUNCTION("""COMPUTED_VALUE"""),46300.64583333333)</f>
        <v>46300.64583</v>
      </c>
      <c r="C117" s="1">
        <f>IFERROR(__xludf.DUMMYFUNCTION("""COMPUTED_VALUE"""),1222.2)</f>
        <v>1222.2</v>
      </c>
      <c r="D117" s="1"/>
      <c r="E117" s="112">
        <f>IFERROR(__xludf.DUMMYFUNCTION("""COMPUTED_VALUE"""),46300.64583333333)</f>
        <v>46300.64583</v>
      </c>
      <c r="F117" s="1">
        <f>IFERROR(__xludf.DUMMYFUNCTION("""COMPUTED_VALUE"""),1332.0)</f>
        <v>1332</v>
      </c>
      <c r="G117" s="1"/>
      <c r="H117" s="29">
        <f t="shared" si="3"/>
        <v>0.9175675676</v>
      </c>
      <c r="I117" s="1">
        <f t="shared" si="4"/>
        <v>-109.8</v>
      </c>
      <c r="J117" s="113">
        <f t="shared" si="5"/>
        <v>-0.2645326216</v>
      </c>
      <c r="K117" s="29">
        <f t="shared" si="6"/>
        <v>0.9175675676</v>
      </c>
      <c r="L117" s="65">
        <f t="shared" si="7"/>
        <v>1235.37</v>
      </c>
      <c r="M117" s="25">
        <f t="shared" si="8"/>
        <v>-0.01077565047</v>
      </c>
      <c r="N117" s="65">
        <f t="shared" si="9"/>
        <v>1352.155</v>
      </c>
      <c r="O117" s="25">
        <f t="shared" si="10"/>
        <v>-0.01513138138</v>
      </c>
      <c r="P117" s="25">
        <f t="shared" si="11"/>
        <v>0.004355730915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IFERROR(__xludf.DUMMYFUNCTION("""COMPUTED_VALUE"""),46301.64583333333)</f>
        <v>46301.64583</v>
      </c>
      <c r="C118" s="1">
        <f>IFERROR(__xludf.DUMMYFUNCTION("""COMPUTED_VALUE"""),1248.0)</f>
        <v>1248</v>
      </c>
      <c r="D118" s="1"/>
      <c r="E118" s="112">
        <f>IFERROR(__xludf.DUMMYFUNCTION("""COMPUTED_VALUE"""),46301.64583333333)</f>
        <v>46301.64583</v>
      </c>
      <c r="F118" s="1">
        <f>IFERROR(__xludf.DUMMYFUNCTION("""COMPUTED_VALUE"""),1342.8)</f>
        <v>1342.8</v>
      </c>
      <c r="G118" s="1"/>
      <c r="H118" s="29">
        <f t="shared" si="3"/>
        <v>0.9294012511</v>
      </c>
      <c r="I118" s="1"/>
      <c r="J118" s="113"/>
      <c r="K118" s="29"/>
      <c r="L118" s="65"/>
      <c r="M118" s="25"/>
      <c r="N118" s="65"/>
      <c r="O118" s="25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IFERROR(__xludf.DUMMYFUNCTION("""COMPUTED_VALUE"""),46302.64583333333)</f>
        <v>46302.64583</v>
      </c>
      <c r="C119" s="1">
        <f>IFERROR(__xludf.DUMMYFUNCTION("""COMPUTED_VALUE"""),1242.5)</f>
        <v>1242.5</v>
      </c>
      <c r="D119" s="1"/>
      <c r="E119" s="112">
        <f>IFERROR(__xludf.DUMMYFUNCTION("""COMPUTED_VALUE"""),46302.64583333333)</f>
        <v>46302.64583</v>
      </c>
      <c r="F119" s="1">
        <f>IFERROR(__xludf.DUMMYFUNCTION("""COMPUTED_VALUE"""),1357.5)</f>
        <v>1357.5</v>
      </c>
      <c r="G119" s="1"/>
      <c r="H119" s="29">
        <f t="shared" si="3"/>
        <v>0.9152854512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12">
        <f>IFERROR(__xludf.DUMMYFUNCTION("""COMPUTED_VALUE"""),46303.64583333333)</f>
        <v>46303.64583</v>
      </c>
      <c r="C120" s="1">
        <f>IFERROR(__xludf.DUMMYFUNCTION("""COMPUTED_VALUE"""),1245.0)</f>
        <v>1245</v>
      </c>
      <c r="D120" s="1"/>
      <c r="E120" s="112">
        <f>IFERROR(__xludf.DUMMYFUNCTION("""COMPUTED_VALUE"""),46303.64583333333)</f>
        <v>46303.64583</v>
      </c>
      <c r="F120" s="1">
        <f>IFERROR(__xludf.DUMMYFUNCTION("""COMPUTED_VALUE"""),1349.0)</f>
        <v>1349</v>
      </c>
      <c r="G120" s="1"/>
      <c r="H120" s="29">
        <f t="shared" si="3"/>
        <v>0.9229058562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81"/>
      <c r="B121" s="182">
        <f>IFERROR(__xludf.DUMMYFUNCTION("""COMPUTED_VALUE"""),46304.64583333333)</f>
        <v>46304.64583</v>
      </c>
      <c r="C121" s="183">
        <f>IFERROR(__xludf.DUMMYFUNCTION("""COMPUTED_VALUE"""),1259.1)</f>
        <v>1259.1</v>
      </c>
      <c r="D121" s="183"/>
      <c r="E121" s="182">
        <f>IFERROR(__xludf.DUMMYFUNCTION("""COMPUTED_VALUE"""),46304.64583333333)</f>
        <v>46304.64583</v>
      </c>
      <c r="F121" s="183">
        <f>IFERROR(__xludf.DUMMYFUNCTION("""COMPUTED_VALUE"""),1355.0)</f>
        <v>1355</v>
      </c>
      <c r="G121" s="183"/>
      <c r="H121" s="29">
        <f t="shared" si="3"/>
        <v>0.9292250923</v>
      </c>
      <c r="I121" s="175"/>
      <c r="J121" s="176"/>
      <c r="K121" s="184"/>
      <c r="L121" s="185"/>
      <c r="M121" s="186"/>
      <c r="N121" s="185"/>
      <c r="O121" s="186"/>
      <c r="P121" s="18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81"/>
      <c r="B122" s="182">
        <f>IFERROR(__xludf.DUMMYFUNCTION("""COMPUTED_VALUE"""),46307.64583333333)</f>
        <v>46307.64583</v>
      </c>
      <c r="C122" s="183">
        <f>IFERROR(__xludf.DUMMYFUNCTION("""COMPUTED_VALUE"""),1253.0)</f>
        <v>1253</v>
      </c>
      <c r="D122" s="183"/>
      <c r="E122" s="182">
        <f>IFERROR(__xludf.DUMMYFUNCTION("""COMPUTED_VALUE"""),46307.64583333333)</f>
        <v>46307.64583</v>
      </c>
      <c r="F122" s="183">
        <f>IFERROR(__xludf.DUMMYFUNCTION("""COMPUTED_VALUE"""),1340.0)</f>
        <v>1340</v>
      </c>
      <c r="G122" s="183"/>
      <c r="H122" s="29">
        <f t="shared" si="3"/>
        <v>0.9350746269</v>
      </c>
      <c r="I122" s="175"/>
      <c r="J122" s="176"/>
      <c r="K122" s="184"/>
      <c r="L122" s="185"/>
      <c r="M122" s="186"/>
      <c r="N122" s="185"/>
      <c r="O122" s="186"/>
      <c r="P122" s="18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81"/>
      <c r="B123" s="182">
        <f>IFERROR(__xludf.DUMMYFUNCTION("""COMPUTED_VALUE"""),46308.64583333333)</f>
        <v>46308.64583</v>
      </c>
      <c r="C123" s="183">
        <f>IFERROR(__xludf.DUMMYFUNCTION("""COMPUTED_VALUE"""),1268.4)</f>
        <v>1268.4</v>
      </c>
      <c r="D123" s="183"/>
      <c r="E123" s="182">
        <f>IFERROR(__xludf.DUMMYFUNCTION("""COMPUTED_VALUE"""),46308.64583333333)</f>
        <v>46308.64583</v>
      </c>
      <c r="F123" s="183">
        <f>IFERROR(__xludf.DUMMYFUNCTION("""COMPUTED_VALUE"""),1360.2)</f>
        <v>1360.2</v>
      </c>
      <c r="G123" s="183"/>
      <c r="H123" s="29">
        <f t="shared" si="3"/>
        <v>0.932509925</v>
      </c>
      <c r="I123" s="175"/>
      <c r="J123" s="176"/>
      <c r="K123" s="184"/>
      <c r="L123" s="185"/>
      <c r="M123" s="186"/>
      <c r="N123" s="185"/>
      <c r="O123" s="186"/>
      <c r="P123" s="18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81"/>
      <c r="B124" s="182">
        <f>IFERROR(__xludf.DUMMYFUNCTION("""COMPUTED_VALUE"""),46309.64583333333)</f>
        <v>46309.64583</v>
      </c>
      <c r="C124" s="183">
        <f>IFERROR(__xludf.DUMMYFUNCTION("""COMPUTED_VALUE"""),1264.6)</f>
        <v>1264.6</v>
      </c>
      <c r="D124" s="183"/>
      <c r="E124" s="182">
        <f>IFERROR(__xludf.DUMMYFUNCTION("""COMPUTED_VALUE"""),46309.64583333333)</f>
        <v>46309.64583</v>
      </c>
      <c r="F124" s="183">
        <f>IFERROR(__xludf.DUMMYFUNCTION("""COMPUTED_VALUE"""),1338.6)</f>
        <v>1338.6</v>
      </c>
      <c r="G124" s="183"/>
      <c r="H124" s="29">
        <f t="shared" si="3"/>
        <v>0.9447183625</v>
      </c>
      <c r="I124" s="175"/>
      <c r="J124" s="176"/>
      <c r="K124" s="184"/>
      <c r="L124" s="185"/>
      <c r="M124" s="186"/>
      <c r="N124" s="185"/>
      <c r="O124" s="186"/>
      <c r="P124" s="18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81"/>
      <c r="B125" s="182">
        <f>IFERROR(__xludf.DUMMYFUNCTION("""COMPUTED_VALUE"""),46310.64583333333)</f>
        <v>46310.64583</v>
      </c>
      <c r="C125" s="183">
        <f>IFERROR(__xludf.DUMMYFUNCTION("""COMPUTED_VALUE"""),1288.0)</f>
        <v>1288</v>
      </c>
      <c r="D125" s="183"/>
      <c r="E125" s="182">
        <f>IFERROR(__xludf.DUMMYFUNCTION("""COMPUTED_VALUE"""),46310.64583333333)</f>
        <v>46310.64583</v>
      </c>
      <c r="F125" s="183">
        <f>IFERROR(__xludf.DUMMYFUNCTION("""COMPUTED_VALUE"""),1389.4)</f>
        <v>1389.4</v>
      </c>
      <c r="G125" s="183"/>
      <c r="H125" s="179"/>
      <c r="I125" s="175"/>
      <c r="J125" s="176"/>
      <c r="K125" s="184"/>
      <c r="L125" s="185"/>
      <c r="M125" s="186"/>
      <c r="N125" s="185"/>
      <c r="O125" s="186"/>
      <c r="P125" s="18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81"/>
      <c r="B126" s="182">
        <f>IFERROR(__xludf.DUMMYFUNCTION("""COMPUTED_VALUE"""),46311.64583333333)</f>
        <v>46311.64583</v>
      </c>
      <c r="C126" s="183">
        <f>IFERROR(__xludf.DUMMYFUNCTION("""COMPUTED_VALUE"""),1290.0)</f>
        <v>1290</v>
      </c>
      <c r="D126" s="183"/>
      <c r="E126" s="182">
        <f>IFERROR(__xludf.DUMMYFUNCTION("""COMPUTED_VALUE"""),46311.64583333333)</f>
        <v>46311.64583</v>
      </c>
      <c r="F126" s="183">
        <f>IFERROR(__xludf.DUMMYFUNCTION("""COMPUTED_VALUE"""),1397.0)</f>
        <v>1397</v>
      </c>
      <c r="G126" s="183"/>
      <c r="H126" s="179"/>
      <c r="I126" s="175"/>
      <c r="J126" s="176"/>
      <c r="K126" s="184"/>
      <c r="L126" s="185"/>
      <c r="M126" s="186"/>
      <c r="N126" s="185"/>
      <c r="O126" s="186"/>
      <c r="P126" s="18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81"/>
      <c r="B127" s="183"/>
      <c r="C127" s="183"/>
      <c r="D127" s="183"/>
      <c r="E127" s="183"/>
      <c r="F127" s="183"/>
      <c r="G127" s="183"/>
      <c r="H127" s="179"/>
      <c r="I127" s="175"/>
      <c r="J127" s="176"/>
      <c r="K127" s="184"/>
      <c r="L127" s="185"/>
      <c r="M127" s="186"/>
      <c r="N127" s="185"/>
      <c r="O127" s="186"/>
      <c r="P127" s="18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81" t="s">
        <v>9</v>
      </c>
      <c r="B128" s="182">
        <f>IFERROR(__xludf.DUMMYFUNCTION("GOOGLEFINANCE(B9,""TRADETIME"")"),46311.64583333333)</f>
        <v>46311.64583</v>
      </c>
      <c r="C128" s="183">
        <f>IFERROR(__xludf.DUMMYFUNCTION("GOOGLEFINANCE(B9,""PRICE"")"),1290.0)</f>
        <v>1290</v>
      </c>
      <c r="D128" s="183"/>
      <c r="E128" s="182">
        <f>IFERROR(__xludf.DUMMYFUNCTION("GOOGLEFINANCE(E9,""TRADETIME"")"),46311.64583333333)</f>
        <v>46311.64583</v>
      </c>
      <c r="F128" s="183">
        <f>IFERROR(__xludf.DUMMYFUNCTION("GOOGLEFINANCE(E9,""PRICE"")"),1397.0)</f>
        <v>1397</v>
      </c>
      <c r="G128" s="183"/>
      <c r="H128" s="179">
        <f>C128/F128</f>
        <v>0.9234073014</v>
      </c>
      <c r="I128" s="175">
        <f>C128-F128</f>
        <v>-107</v>
      </c>
      <c r="J128" s="176">
        <f>((I128-$I$129)/$I$130)</f>
        <v>-0.2321985784</v>
      </c>
      <c r="K128" s="184">
        <f>C128/F128</f>
        <v>0.9234073014</v>
      </c>
      <c r="L128" s="185">
        <f>AVERAGE(C73:C109)</f>
        <v>1247.391892</v>
      </c>
      <c r="M128" s="186">
        <f>(C128-L128)/C128</f>
        <v>0.03302954117</v>
      </c>
      <c r="N128" s="185">
        <f>AVERAGE(F73:F109)</f>
        <v>1411.405405</v>
      </c>
      <c r="O128" s="186">
        <f>(F128-N128)/F128</f>
        <v>-0.01031167173</v>
      </c>
      <c r="P128" s="186">
        <f>M128-O128</f>
        <v>0.0433412129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96" t="s">
        <v>138</v>
      </c>
      <c r="I129" s="177">
        <f>AVERAGE(I11:I118)</f>
        <v>-86.89252336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96" t="s">
        <v>139</v>
      </c>
      <c r="I130" s="189">
        <f>_xlfn.STDEV.P(I11:I117)</f>
        <v>86.5960368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200">
        <f>C128*C132*C133</f>
        <v>1612500</v>
      </c>
      <c r="D131" s="9"/>
      <c r="E131" s="9"/>
      <c r="F131" s="201">
        <f>F128*F132*F133</f>
        <v>1955800</v>
      </c>
      <c r="G131" s="202">
        <f>C131/F131</f>
        <v>0.8244708048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203">
        <v>625.0</v>
      </c>
      <c r="D132" s="9"/>
      <c r="E132" s="9"/>
      <c r="F132" s="203">
        <v>700.0</v>
      </c>
      <c r="G132" s="19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203">
        <v>2.0</v>
      </c>
      <c r="D133" s="14"/>
      <c r="E133" s="9"/>
      <c r="F133" s="203">
        <v>2.0</v>
      </c>
      <c r="G133" s="19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3" max="4" width="7.0"/>
    <col customWidth="1" min="5" max="5" width="20.63"/>
    <col customWidth="1" min="6" max="6" width="8.88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6.13"/>
  </cols>
  <sheetData>
    <row r="1">
      <c r="A1" s="1"/>
      <c r="B1" s="2" t="s">
        <v>0</v>
      </c>
      <c r="C1" s="4">
        <f>AVERAGE(C98:C118)</f>
        <v>234.7609524</v>
      </c>
      <c r="D1" s="1"/>
      <c r="E1" s="2" t="s">
        <v>0</v>
      </c>
      <c r="F1" s="4">
        <f>AVERAGE(F98:F118)</f>
        <v>123.507619</v>
      </c>
      <c r="G1" s="1">
        <f>STDEV(F74:F93)</f>
        <v>2.174869083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193"/>
      <c r="T1" s="7" t="s">
        <v>5</v>
      </c>
      <c r="U1" s="7" t="s">
        <v>155</v>
      </c>
      <c r="V1" s="7" t="s">
        <v>156</v>
      </c>
      <c r="W1" s="7" t="s">
        <v>11</v>
      </c>
      <c r="X1" s="13" t="s">
        <v>12</v>
      </c>
      <c r="Y1" s="110"/>
      <c r="Z1" s="1"/>
      <c r="AA1" s="1"/>
      <c r="AB1" s="1"/>
      <c r="AC1" s="1"/>
    </row>
    <row r="2">
      <c r="A2" s="1"/>
      <c r="B2" s="17" t="s">
        <v>20</v>
      </c>
      <c r="C2" s="19">
        <f>AVERAGE(C88:C118)</f>
        <v>237.1187097</v>
      </c>
      <c r="D2" s="1"/>
      <c r="E2" s="17" t="s">
        <v>20</v>
      </c>
      <c r="F2" s="19">
        <f>AVERAGE(F88:F118)</f>
        <v>125.0596774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0.9232006716</v>
      </c>
      <c r="O2" s="7" t="s">
        <v>25</v>
      </c>
      <c r="P2" s="29">
        <f>AVERAGE(K88:K117)</f>
        <v>1.894495781</v>
      </c>
      <c r="Q2" s="29">
        <f>MAX(K88:K117)</f>
        <v>1.93025787</v>
      </c>
      <c r="R2" s="29">
        <f>MIN(K88:K117)</f>
        <v>1.861000794</v>
      </c>
      <c r="S2" s="199">
        <f t="shared" ref="S2:S5" si="1">Q2-R2</f>
        <v>0.06925707578</v>
      </c>
      <c r="T2" s="1">
        <f>MATCH(MAX(K11:K116), K11:K116, 0)</f>
        <v>42</v>
      </c>
      <c r="U2" s="1">
        <f t="array" ref="U2">INDEX(C11:C116, MATCH(MAX(K11:K116), K11:K116, 0))</f>
        <v>272.4</v>
      </c>
      <c r="V2" s="1">
        <f t="array" ref="V2">INDEX(F11:F116, MATCH(MAX(K11:K116), K11:K116, 0))</f>
        <v>125.52</v>
      </c>
      <c r="W2" s="54">
        <f t="shared" ref="W2:W3" si="2">U2/V2</f>
        <v>2.170172084</v>
      </c>
      <c r="X2" s="7" t="s">
        <v>2</v>
      </c>
      <c r="Y2" s="110"/>
      <c r="Z2" s="1"/>
      <c r="AA2" s="1"/>
      <c r="AB2" s="1"/>
      <c r="AC2" s="1"/>
    </row>
    <row r="3">
      <c r="A3" s="1">
        <f>STDEV(C75:C93)</f>
        <v>3.023628006</v>
      </c>
      <c r="B3" s="58" t="s">
        <v>61</v>
      </c>
      <c r="C3" s="61">
        <f>max(C98:C118)</f>
        <v>241.2</v>
      </c>
      <c r="D3" s="65">
        <f>C1+A3*2</f>
        <v>240.8082084</v>
      </c>
      <c r="E3" s="58" t="s">
        <v>61</v>
      </c>
      <c r="F3" s="61">
        <f>max(F98:F118)</f>
        <v>126.3</v>
      </c>
      <c r="G3" s="65">
        <f>F1+G1*2</f>
        <v>127.8573572</v>
      </c>
      <c r="H3" s="1"/>
      <c r="I3" s="1"/>
      <c r="J3" s="1"/>
      <c r="K3" s="1"/>
      <c r="L3" s="1"/>
      <c r="M3" s="7" t="s">
        <v>64</v>
      </c>
      <c r="N3" s="25">
        <f>CORREL(C58:C118,F58:F118)</f>
        <v>0.8029532762</v>
      </c>
      <c r="O3" s="7" t="s">
        <v>67</v>
      </c>
      <c r="P3" s="29">
        <f>AVERAGE((K58:K117))</f>
        <v>1.913474981</v>
      </c>
      <c r="Q3" s="29">
        <f>MAX(K58:K117)</f>
        <v>1.984729674</v>
      </c>
      <c r="R3" s="29">
        <f>MIN(K58:K117)</f>
        <v>1.861000794</v>
      </c>
      <c r="S3" s="199">
        <f t="shared" si="1"/>
        <v>0.1237288797</v>
      </c>
      <c r="T3" s="1">
        <f>MATCH(Min(K11:K116), K11:K116, 0)</f>
        <v>103</v>
      </c>
      <c r="U3" s="1">
        <f t="array" ref="U3">INDEX(C11:C116, MATCH(Min(K11:K116), K11:K116, 0))</f>
        <v>234.3</v>
      </c>
      <c r="V3" s="1">
        <f t="array" ref="V3">INDEX(F11:F116, MATCH(MIN(K11:K116), K11:K116, 0))</f>
        <v>125.9</v>
      </c>
      <c r="W3" s="54">
        <f t="shared" si="2"/>
        <v>1.861000794</v>
      </c>
      <c r="X3" s="7" t="s">
        <v>3</v>
      </c>
      <c r="Y3" s="193"/>
      <c r="Z3" s="1"/>
      <c r="AA3" s="1"/>
      <c r="AB3" s="1"/>
      <c r="AC3" s="1"/>
    </row>
    <row r="4">
      <c r="A4" s="1"/>
      <c r="B4" s="58" t="s">
        <v>73</v>
      </c>
      <c r="C4" s="61">
        <f>MIN(C98:C118)</f>
        <v>227.5</v>
      </c>
      <c r="D4" s="65">
        <f>C1-A3*2</f>
        <v>228.7136964</v>
      </c>
      <c r="E4" s="58" t="s">
        <v>73</v>
      </c>
      <c r="F4" s="61">
        <f>MIN(F98:F118)</f>
        <v>118.36</v>
      </c>
      <c r="G4" s="65">
        <f>F1-G1*2</f>
        <v>119.1578809</v>
      </c>
      <c r="H4" s="1"/>
      <c r="I4" s="1"/>
      <c r="J4" s="1"/>
      <c r="K4" s="1"/>
      <c r="L4" s="1"/>
      <c r="M4" s="7" t="s">
        <v>77</v>
      </c>
      <c r="N4" s="25">
        <f>CORREL(C28:C118,F28:F118)</f>
        <v>0.7648616159</v>
      </c>
      <c r="O4" s="7" t="s">
        <v>79</v>
      </c>
      <c r="P4" s="29">
        <f>AVERAGE(K28:K117)</f>
        <v>1.963167313</v>
      </c>
      <c r="Q4" s="29">
        <f>MAX(K28:K117)</f>
        <v>2.170172084</v>
      </c>
      <c r="R4" s="29">
        <f>MIN(K28:K117)</f>
        <v>1.861000794</v>
      </c>
      <c r="S4" s="199">
        <f t="shared" si="1"/>
        <v>0.3091712898</v>
      </c>
      <c r="T4" s="1"/>
      <c r="U4" s="1"/>
      <c r="V4" s="1"/>
      <c r="W4" s="54"/>
      <c r="X4" s="1"/>
      <c r="Y4" s="193"/>
      <c r="Z4" s="1"/>
      <c r="AA4" s="1"/>
      <c r="AB4" s="1"/>
      <c r="AC4" s="1"/>
    </row>
    <row r="5">
      <c r="A5" s="1"/>
      <c r="B5" s="58" t="s">
        <v>81</v>
      </c>
      <c r="C5" s="61">
        <f>max(C108:C118)</f>
        <v>236.87</v>
      </c>
      <c r="D5" s="65">
        <f>C1+A3</f>
        <v>237.7845804</v>
      </c>
      <c r="E5" s="58" t="s">
        <v>81</v>
      </c>
      <c r="F5" s="61">
        <f>max(F108:F118)</f>
        <v>126</v>
      </c>
      <c r="G5" s="65">
        <f>F1+G1</f>
        <v>125.6824881</v>
      </c>
      <c r="H5" s="1"/>
      <c r="I5" s="1"/>
      <c r="J5" s="1"/>
      <c r="K5" s="1"/>
      <c r="L5" s="1"/>
      <c r="M5" s="7" t="s">
        <v>82</v>
      </c>
      <c r="N5" s="25">
        <f>CORREL(C11:C118,F11:F118)</f>
        <v>0.7510540328</v>
      </c>
      <c r="O5" s="7" t="s">
        <v>83</v>
      </c>
      <c r="P5" s="29">
        <f>AVERAGE(K11:K117)</f>
        <v>1.971427414</v>
      </c>
      <c r="Q5" s="29">
        <f>MAX(K11:K117)</f>
        <v>2.170172084</v>
      </c>
      <c r="R5" s="29">
        <f>MIN(K11:K117)</f>
        <v>1.861000794</v>
      </c>
      <c r="S5" s="199">
        <f t="shared" si="1"/>
        <v>0.3091712898</v>
      </c>
      <c r="T5" s="96" t="str">
        <f>U1</f>
        <v>BOB</v>
      </c>
      <c r="U5" s="96">
        <v>2.0</v>
      </c>
      <c r="V5" s="99">
        <f>U2*U7*U5</f>
        <v>1593540</v>
      </c>
      <c r="W5" s="101">
        <f>V2*U6*U8</f>
        <v>847260</v>
      </c>
      <c r="X5" s="99"/>
      <c r="Y5" s="193"/>
      <c r="Z5" s="1"/>
      <c r="AA5" s="1"/>
      <c r="AB5" s="1"/>
      <c r="AC5" s="1"/>
    </row>
    <row r="6">
      <c r="A6" s="1"/>
      <c r="B6" s="58" t="s">
        <v>87</v>
      </c>
      <c r="C6" s="61">
        <f>MIN(C108:C118)</f>
        <v>227.5</v>
      </c>
      <c r="D6" s="65">
        <f>C1-A3</f>
        <v>231.7373244</v>
      </c>
      <c r="E6" s="58" t="s">
        <v>87</v>
      </c>
      <c r="F6" s="61">
        <f>MIN(F108:F118)</f>
        <v>118.36</v>
      </c>
      <c r="G6" s="65">
        <f>F1-G1</f>
        <v>121.33275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93"/>
      <c r="T6" s="96" t="str">
        <f>V1</f>
        <v>CANBK</v>
      </c>
      <c r="U6" s="96">
        <v>1.0</v>
      </c>
      <c r="V6" s="99">
        <f>U3*U5*U7</f>
        <v>1370655</v>
      </c>
      <c r="W6" s="99">
        <f>V3*U6*U8</f>
        <v>849825</v>
      </c>
      <c r="X6" s="99"/>
      <c r="Y6" s="193"/>
      <c r="Z6" s="1"/>
      <c r="AA6" s="1"/>
      <c r="AB6" s="1"/>
      <c r="AC6" s="1"/>
    </row>
    <row r="7">
      <c r="A7" s="1"/>
      <c r="B7" s="7" t="s">
        <v>88</v>
      </c>
      <c r="C7" s="1">
        <f>max(C88:C118)</f>
        <v>247</v>
      </c>
      <c r="D7" s="1"/>
      <c r="E7" s="7" t="s">
        <v>88</v>
      </c>
      <c r="F7" s="1">
        <f>max(F88:F118)</f>
        <v>129.96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93"/>
      <c r="T7" s="7" t="str">
        <f t="shared" ref="T7:T8" si="3">T5</f>
        <v>BOB</v>
      </c>
      <c r="U7" s="7">
        <f>B134</f>
        <v>2925</v>
      </c>
      <c r="V7" s="1"/>
      <c r="W7" s="1"/>
      <c r="X7" s="1"/>
      <c r="Y7" s="193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234.7609524</v>
      </c>
      <c r="D8" s="1"/>
      <c r="E8" s="58" t="s">
        <v>90</v>
      </c>
      <c r="F8" s="107">
        <f>AVERAGE(F98:F118)</f>
        <v>123.507619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93"/>
      <c r="T8" s="7" t="str">
        <f t="shared" si="3"/>
        <v>CANBK</v>
      </c>
      <c r="U8" s="7">
        <f>E134</f>
        <v>6750</v>
      </c>
      <c r="V8" s="1"/>
      <c r="W8" s="1"/>
      <c r="X8" s="1"/>
      <c r="Y8" s="193"/>
      <c r="Z8" s="1"/>
      <c r="AA8" s="1"/>
      <c r="AB8" s="1"/>
      <c r="AC8" s="1"/>
    </row>
    <row r="9">
      <c r="A9" s="1"/>
      <c r="B9" s="13" t="s">
        <v>146</v>
      </c>
      <c r="C9" s="1"/>
      <c r="D9" s="1"/>
      <c r="E9" s="13" t="s">
        <v>148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93"/>
      <c r="T9" s="1"/>
      <c r="U9" s="1"/>
      <c r="V9" s="1"/>
      <c r="W9" s="1"/>
      <c r="X9" s="1"/>
      <c r="Y9" s="193"/>
      <c r="Z9" s="1"/>
      <c r="AA9" s="1"/>
      <c r="AB9" s="1"/>
      <c r="AC9" s="1"/>
    </row>
    <row r="10">
      <c r="A10" s="1"/>
      <c r="B10" s="1" t="str">
        <f>IFERROR(__xludf.DUMMYFUNCTION("GOOGLEFINANCE(B9,""price"",TODAY()-171,TODAY())"),"Date")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IFERROR(__xludf.DUMMYFUNCTION("GOOGLEFINANCE(E9,""price"",TODAY()-171,TODAY())"),"Date")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157</v>
      </c>
      <c r="M10" s="7" t="s">
        <v>158</v>
      </c>
      <c r="N10" s="7" t="s">
        <v>159</v>
      </c>
      <c r="O10" s="7" t="s">
        <v>160</v>
      </c>
      <c r="P10" s="7" t="s">
        <v>99</v>
      </c>
      <c r="Q10" s="1"/>
      <c r="R10" s="1"/>
      <c r="S10" s="193"/>
      <c r="T10" s="1"/>
      <c r="U10" s="1"/>
      <c r="V10" s="1"/>
      <c r="W10" s="1"/>
      <c r="X10" s="1"/>
      <c r="Y10" s="110" t="s">
        <v>1</v>
      </c>
      <c r="Z10" s="111" t="s">
        <v>161</v>
      </c>
      <c r="AA10" s="111" t="s">
        <v>162</v>
      </c>
      <c r="AB10" s="1"/>
      <c r="AC10" s="1"/>
    </row>
    <row r="11">
      <c r="A11" s="1"/>
      <c r="B11" s="112">
        <f>IFERROR(__xludf.DUMMYFUNCTION("""COMPUTED_VALUE"""),46141.64583333333)</f>
        <v>46141.64583</v>
      </c>
      <c r="C11" s="1">
        <f>IFERROR(__xludf.DUMMYFUNCTION("""COMPUTED_VALUE"""),268.25)</f>
        <v>268.25</v>
      </c>
      <c r="D11" s="1"/>
      <c r="E11" s="112">
        <f>IFERROR(__xludf.DUMMYFUNCTION("""COMPUTED_VALUE"""),46141.64583333333)</f>
        <v>46141.64583</v>
      </c>
      <c r="F11" s="1">
        <f>IFERROR(__xludf.DUMMYFUNCTION("""COMPUTED_VALUE"""),137.06)</f>
        <v>137.06</v>
      </c>
      <c r="G11" s="1"/>
      <c r="H11" s="29">
        <f t="shared" ref="H11:H122" si="4">C11/F11</f>
        <v>1.957172041</v>
      </c>
      <c r="I11" s="1">
        <f t="shared" ref="I11:I118" si="5">C11-F11</f>
        <v>131.19</v>
      </c>
      <c r="J11" s="113">
        <f t="shared" ref="J11:J118" si="6">((I11-$I$131)/$I$132)</f>
        <v>0.525394317</v>
      </c>
      <c r="K11" s="29">
        <f t="shared" ref="K11:K118" si="7">C11/F11</f>
        <v>1.957172041</v>
      </c>
      <c r="L11" s="1"/>
      <c r="M11" s="1"/>
      <c r="N11" s="1"/>
      <c r="O11" s="1"/>
      <c r="P11" s="1"/>
      <c r="Q11" s="1"/>
      <c r="R11" s="1"/>
      <c r="S11" s="193"/>
      <c r="T11" s="1"/>
      <c r="U11" s="1"/>
      <c r="V11" s="1">
        <f>V5-V6</f>
        <v>222885</v>
      </c>
      <c r="W11" s="54">
        <f>W6-W5</f>
        <v>2565</v>
      </c>
      <c r="X11" s="101">
        <f>V11+W11</f>
        <v>225450</v>
      </c>
      <c r="Y11" s="110" t="s">
        <v>101</v>
      </c>
      <c r="Z11" s="115">
        <f>AVERAGE(C88,C118)</f>
        <v>237.91</v>
      </c>
      <c r="AA11" s="115">
        <f>AVERAGE(F88,F118)</f>
        <v>123.72</v>
      </c>
      <c r="AB11" s="1"/>
      <c r="AC11" s="1"/>
    </row>
    <row r="12">
      <c r="A12" s="1"/>
      <c r="B12" s="112">
        <f>IFERROR(__xludf.DUMMYFUNCTION("""COMPUTED_VALUE"""),46142.64583333333)</f>
        <v>46142.64583</v>
      </c>
      <c r="C12" s="1">
        <f>IFERROR(__xludf.DUMMYFUNCTION("""COMPUTED_VALUE"""),263.46)</f>
        <v>263.46</v>
      </c>
      <c r="D12" s="1"/>
      <c r="E12" s="112">
        <f>IFERROR(__xludf.DUMMYFUNCTION("""COMPUTED_VALUE"""),46142.64583333333)</f>
        <v>46142.64583</v>
      </c>
      <c r="F12" s="1">
        <f>IFERROR(__xludf.DUMMYFUNCTION("""COMPUTED_VALUE"""),134.65)</f>
        <v>134.65</v>
      </c>
      <c r="G12" s="1"/>
      <c r="H12" s="29">
        <f t="shared" si="4"/>
        <v>1.956628296</v>
      </c>
      <c r="I12" s="1">
        <f t="shared" si="5"/>
        <v>128.81</v>
      </c>
      <c r="J12" s="113">
        <f t="shared" si="6"/>
        <v>0.3290588971</v>
      </c>
      <c r="K12" s="29">
        <f t="shared" si="7"/>
        <v>1.956628296</v>
      </c>
      <c r="L12" s="1"/>
      <c r="M12" s="1"/>
      <c r="N12" s="1"/>
      <c r="O12" s="1"/>
      <c r="P12" s="1"/>
      <c r="Q12" s="1"/>
      <c r="R12" s="1"/>
      <c r="S12" s="193"/>
      <c r="T12" s="7" t="s">
        <v>103</v>
      </c>
      <c r="U12" s="116">
        <f>S2/3</f>
        <v>0.02308569193</v>
      </c>
      <c r="V12" s="1"/>
      <c r="W12" s="1"/>
      <c r="X12" s="1"/>
      <c r="Y12" s="110" t="s">
        <v>104</v>
      </c>
      <c r="Z12" s="115">
        <f>AVERAGE(C58,C118)</f>
        <v>235.635</v>
      </c>
      <c r="AA12" s="115">
        <f>AVERAGE(F58,F118)</f>
        <v>119.755</v>
      </c>
      <c r="AB12" s="1"/>
      <c r="AC12" s="1"/>
    </row>
    <row r="13">
      <c r="A13" s="1"/>
      <c r="B13" s="112">
        <f>IFERROR(__xludf.DUMMYFUNCTION("""COMPUTED_VALUE"""),46146.64583333333)</f>
        <v>46146.64583</v>
      </c>
      <c r="C13" s="1">
        <f>IFERROR(__xludf.DUMMYFUNCTION("""COMPUTED_VALUE"""),265.1)</f>
        <v>265.1</v>
      </c>
      <c r="D13" s="1"/>
      <c r="E13" s="112">
        <f>IFERROR(__xludf.DUMMYFUNCTION("""COMPUTED_VALUE"""),46146.64583333333)</f>
        <v>46146.64583</v>
      </c>
      <c r="F13" s="1">
        <f>IFERROR(__xludf.DUMMYFUNCTION("""COMPUTED_VALUE"""),134.8)</f>
        <v>134.8</v>
      </c>
      <c r="G13" s="1"/>
      <c r="H13" s="29">
        <f t="shared" si="4"/>
        <v>1.966617211</v>
      </c>
      <c r="I13" s="1">
        <f t="shared" si="5"/>
        <v>130.3</v>
      </c>
      <c r="J13" s="113">
        <f t="shared" si="6"/>
        <v>0.4519747692</v>
      </c>
      <c r="K13" s="29">
        <f t="shared" si="7"/>
        <v>1.966617211</v>
      </c>
      <c r="L13" s="1"/>
      <c r="M13" s="1"/>
      <c r="N13" s="1"/>
      <c r="O13" s="25"/>
      <c r="P13" s="1"/>
      <c r="Q13" s="1"/>
      <c r="R13" s="1"/>
      <c r="S13" s="193"/>
      <c r="T13" s="117"/>
      <c r="U13" s="118">
        <f>(X11*U12)/S2</f>
        <v>75150</v>
      </c>
      <c r="V13" s="117"/>
      <c r="W13" s="117"/>
      <c r="X13" s="119">
        <f>X11/(R2/U12)</f>
        <v>2796.704473</v>
      </c>
      <c r="Y13" s="110" t="s">
        <v>105</v>
      </c>
      <c r="Z13" s="115">
        <f>AVERAGE(C28,C118)</f>
        <v>251.535</v>
      </c>
      <c r="AA13" s="115">
        <f>AVERAGE(F28,F118)</f>
        <v>126.03</v>
      </c>
      <c r="AB13" s="1"/>
      <c r="AC13" s="1"/>
    </row>
    <row r="14">
      <c r="A14" s="1"/>
      <c r="B14" s="112">
        <f>IFERROR(__xludf.DUMMYFUNCTION("""COMPUTED_VALUE"""),46147.64583333333)</f>
        <v>46147.64583</v>
      </c>
      <c r="C14" s="1">
        <f>IFERROR(__xludf.DUMMYFUNCTION("""COMPUTED_VALUE"""),263.4)</f>
        <v>263.4</v>
      </c>
      <c r="D14" s="1"/>
      <c r="E14" s="112">
        <f>IFERROR(__xludf.DUMMYFUNCTION("""COMPUTED_VALUE"""),46147.64583333333)</f>
        <v>46147.64583</v>
      </c>
      <c r="F14" s="1">
        <f>IFERROR(__xludf.DUMMYFUNCTION("""COMPUTED_VALUE"""),134.31)</f>
        <v>134.31</v>
      </c>
      <c r="G14" s="1"/>
      <c r="H14" s="29">
        <f t="shared" si="4"/>
        <v>1.961134688</v>
      </c>
      <c r="I14" s="1">
        <f t="shared" si="5"/>
        <v>129.09</v>
      </c>
      <c r="J14" s="113">
        <f t="shared" si="6"/>
        <v>0.3521571818</v>
      </c>
      <c r="K14" s="29">
        <f t="shared" si="7"/>
        <v>1.961134688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12">
        <f>IFERROR(__xludf.DUMMYFUNCTION("""COMPUTED_VALUE"""),46148.64583333333)</f>
        <v>46148.64583</v>
      </c>
      <c r="C15" s="1">
        <f>IFERROR(__xludf.DUMMYFUNCTION("""COMPUTED_VALUE"""),270.3)</f>
        <v>270.3</v>
      </c>
      <c r="D15" s="1"/>
      <c r="E15" s="112">
        <f>IFERROR(__xludf.DUMMYFUNCTION("""COMPUTED_VALUE"""),46148.64583333333)</f>
        <v>46148.64583</v>
      </c>
      <c r="F15" s="1">
        <f>IFERROR(__xludf.DUMMYFUNCTION("""COMPUTED_VALUE"""),138.04)</f>
        <v>138.04</v>
      </c>
      <c r="G15" s="1"/>
      <c r="H15" s="29">
        <f t="shared" si="4"/>
        <v>1.958128079</v>
      </c>
      <c r="I15" s="1">
        <f t="shared" si="5"/>
        <v>132.26</v>
      </c>
      <c r="J15" s="113">
        <f t="shared" si="6"/>
        <v>0.6136627621</v>
      </c>
      <c r="K15" s="29">
        <f t="shared" si="7"/>
        <v>1.958128079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12">
        <f>IFERROR(__xludf.DUMMYFUNCTION("""COMPUTED_VALUE"""),46149.64583333333)</f>
        <v>46149.64583</v>
      </c>
      <c r="C16" s="1">
        <f>IFERROR(__xludf.DUMMYFUNCTION("""COMPUTED_VALUE"""),270.35)</f>
        <v>270.35</v>
      </c>
      <c r="D16" s="1"/>
      <c r="E16" s="112">
        <f>IFERROR(__xludf.DUMMYFUNCTION("""COMPUTED_VALUE"""),46149.64583333333)</f>
        <v>46149.64583</v>
      </c>
      <c r="F16" s="1">
        <f>IFERROR(__xludf.DUMMYFUNCTION("""COMPUTED_VALUE"""),135.93)</f>
        <v>135.93</v>
      </c>
      <c r="G16" s="1"/>
      <c r="H16" s="29">
        <f t="shared" si="4"/>
        <v>1.988891341</v>
      </c>
      <c r="I16" s="1">
        <f t="shared" si="5"/>
        <v>134.42</v>
      </c>
      <c r="J16" s="113">
        <f t="shared" si="6"/>
        <v>0.7918495298</v>
      </c>
      <c r="K16" s="29">
        <f t="shared" si="7"/>
        <v>1.988891341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12">
        <f>IFERROR(__xludf.DUMMYFUNCTION("""COMPUTED_VALUE"""),46150.64583333333)</f>
        <v>46150.64583</v>
      </c>
      <c r="C17" s="1">
        <f>IFERROR(__xludf.DUMMYFUNCTION("""COMPUTED_VALUE"""),263.9)</f>
        <v>263.9</v>
      </c>
      <c r="D17" s="1"/>
      <c r="E17" s="112">
        <f>IFERROR(__xludf.DUMMYFUNCTION("""COMPUTED_VALUE"""),46150.64583333333)</f>
        <v>46150.64583</v>
      </c>
      <c r="F17" s="1">
        <f>IFERROR(__xludf.DUMMYFUNCTION("""COMPUTED_VALUE"""),134.34)</f>
        <v>134.34</v>
      </c>
      <c r="G17" s="1"/>
      <c r="H17" s="29">
        <f t="shared" si="4"/>
        <v>1.964418639</v>
      </c>
      <c r="I17" s="1">
        <f t="shared" si="5"/>
        <v>129.56</v>
      </c>
      <c r="J17" s="113">
        <f t="shared" si="6"/>
        <v>0.3909293025</v>
      </c>
      <c r="K17" s="29">
        <f t="shared" si="7"/>
        <v>1.964418639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12">
        <f>IFERROR(__xludf.DUMMYFUNCTION("""COMPUTED_VALUE"""),46153.64583333333)</f>
        <v>46153.64583</v>
      </c>
      <c r="C18" s="1">
        <f>IFERROR(__xludf.DUMMYFUNCTION("""COMPUTED_VALUE"""),266.0)</f>
        <v>266</v>
      </c>
      <c r="D18" s="1"/>
      <c r="E18" s="112">
        <f>IFERROR(__xludf.DUMMYFUNCTION("""COMPUTED_VALUE"""),46153.64583333333)</f>
        <v>46153.64583</v>
      </c>
      <c r="F18" s="1">
        <f>IFERROR(__xludf.DUMMYFUNCTION("""COMPUTED_VALUE"""),129.43)</f>
        <v>129.43</v>
      </c>
      <c r="G18" s="1"/>
      <c r="H18" s="29">
        <f t="shared" si="4"/>
        <v>2.055164954</v>
      </c>
      <c r="I18" s="1">
        <f t="shared" si="5"/>
        <v>136.57</v>
      </c>
      <c r="J18" s="113">
        <f t="shared" si="6"/>
        <v>0.9692113588</v>
      </c>
      <c r="K18" s="29">
        <f t="shared" si="7"/>
        <v>2.055164954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IFERROR(__xludf.DUMMYFUNCTION("""COMPUTED_VALUE"""),46154.64583333333)</f>
        <v>46154.64583</v>
      </c>
      <c r="C19" s="1">
        <f>IFERROR(__xludf.DUMMYFUNCTION("""COMPUTED_VALUE"""),259.95)</f>
        <v>259.95</v>
      </c>
      <c r="D19" s="1"/>
      <c r="E19" s="112">
        <f>IFERROR(__xludf.DUMMYFUNCTION("""COMPUTED_VALUE"""),46154.64583333333)</f>
        <v>46154.64583</v>
      </c>
      <c r="F19" s="1">
        <f>IFERROR(__xludf.DUMMYFUNCTION("""COMPUTED_VALUE"""),130.01)</f>
        <v>130.01</v>
      </c>
      <c r="G19" s="1"/>
      <c r="H19" s="29">
        <f t="shared" si="4"/>
        <v>1.99946158</v>
      </c>
      <c r="I19" s="1">
        <f t="shared" si="5"/>
        <v>129.94</v>
      </c>
      <c r="J19" s="113">
        <f t="shared" si="6"/>
        <v>0.4222769746</v>
      </c>
      <c r="K19" s="29">
        <f t="shared" si="7"/>
        <v>1.99946158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IFERROR(__xludf.DUMMYFUNCTION("""COMPUTED_VALUE"""),46155.64583333333)</f>
        <v>46155.64583</v>
      </c>
      <c r="C20" s="1">
        <f>IFERROR(__xludf.DUMMYFUNCTION("""COMPUTED_VALUE"""),261.65)</f>
        <v>261.65</v>
      </c>
      <c r="D20" s="1"/>
      <c r="E20" s="112">
        <f>IFERROR(__xludf.DUMMYFUNCTION("""COMPUTED_VALUE"""),46155.64583333333)</f>
        <v>46155.64583</v>
      </c>
      <c r="F20" s="1">
        <f>IFERROR(__xludf.DUMMYFUNCTION("""COMPUTED_VALUE"""),129.26)</f>
        <v>129.26</v>
      </c>
      <c r="G20" s="1"/>
      <c r="H20" s="29">
        <f t="shared" si="4"/>
        <v>2.024214761</v>
      </c>
      <c r="I20" s="1">
        <f t="shared" si="5"/>
        <v>132.39</v>
      </c>
      <c r="J20" s="113">
        <f t="shared" si="6"/>
        <v>0.6243869658</v>
      </c>
      <c r="K20" s="29">
        <f t="shared" si="7"/>
        <v>2.024214761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IFERROR(__xludf.DUMMYFUNCTION("""COMPUTED_VALUE"""),46156.64583333333)</f>
        <v>46156.64583</v>
      </c>
      <c r="C21" s="1">
        <f>IFERROR(__xludf.DUMMYFUNCTION("""COMPUTED_VALUE"""),267.8)</f>
        <v>267.8</v>
      </c>
      <c r="D21" s="1"/>
      <c r="E21" s="112">
        <f>IFERROR(__xludf.DUMMYFUNCTION("""COMPUTED_VALUE"""),46156.64583333333)</f>
        <v>46156.64583</v>
      </c>
      <c r="F21" s="1">
        <f>IFERROR(__xludf.DUMMYFUNCTION("""COMPUTED_VALUE"""),130.84)</f>
        <v>130.84</v>
      </c>
      <c r="G21" s="1"/>
      <c r="H21" s="29">
        <f t="shared" si="4"/>
        <v>2.046774687</v>
      </c>
      <c r="I21" s="1">
        <f t="shared" si="5"/>
        <v>136.96</v>
      </c>
      <c r="J21" s="113">
        <f t="shared" si="6"/>
        <v>1.00138397</v>
      </c>
      <c r="K21" s="29">
        <f t="shared" si="7"/>
        <v>2.046774687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IFERROR(__xludf.DUMMYFUNCTION("""COMPUTED_VALUE"""),46157.64583333333)</f>
        <v>46157.64583</v>
      </c>
      <c r="C22" s="1">
        <f>IFERROR(__xludf.DUMMYFUNCTION("""COMPUTED_VALUE"""),261.4)</f>
        <v>261.4</v>
      </c>
      <c r="D22" s="1"/>
      <c r="E22" s="112">
        <f>IFERROR(__xludf.DUMMYFUNCTION("""COMPUTED_VALUE"""),46157.64583333333)</f>
        <v>46157.64583</v>
      </c>
      <c r="F22" s="1">
        <f>IFERROR(__xludf.DUMMYFUNCTION("""COMPUTED_VALUE"""),128.07)</f>
        <v>128.07</v>
      </c>
      <c r="G22" s="1"/>
      <c r="H22" s="29">
        <f t="shared" si="4"/>
        <v>2.041071289</v>
      </c>
      <c r="I22" s="1">
        <f t="shared" si="5"/>
        <v>133.33</v>
      </c>
      <c r="J22" s="113">
        <f t="shared" si="6"/>
        <v>0.7019312072</v>
      </c>
      <c r="K22" s="29">
        <f t="shared" si="7"/>
        <v>2.041071289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IFERROR(__xludf.DUMMYFUNCTION("""COMPUTED_VALUE"""),46160.64583333333)</f>
        <v>46160.64583</v>
      </c>
      <c r="C23" s="1">
        <f>IFERROR(__xludf.DUMMYFUNCTION("""COMPUTED_VALUE"""),260.05)</f>
        <v>260.05</v>
      </c>
      <c r="D23" s="1"/>
      <c r="E23" s="112">
        <f>IFERROR(__xludf.DUMMYFUNCTION("""COMPUTED_VALUE"""),46160.64583333333)</f>
        <v>46160.64583</v>
      </c>
      <c r="F23" s="1">
        <f>IFERROR(__xludf.DUMMYFUNCTION("""COMPUTED_VALUE"""),124.9)</f>
        <v>124.9</v>
      </c>
      <c r="G23" s="1"/>
      <c r="H23" s="29">
        <f t="shared" si="4"/>
        <v>2.082065653</v>
      </c>
      <c r="I23" s="1">
        <f t="shared" si="5"/>
        <v>135.15</v>
      </c>
      <c r="J23" s="113">
        <f t="shared" si="6"/>
        <v>0.8520700578</v>
      </c>
      <c r="K23" s="29">
        <f t="shared" si="7"/>
        <v>2.082065653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IFERROR(__xludf.DUMMYFUNCTION("""COMPUTED_VALUE"""),46161.64583333333)</f>
        <v>46161.64583</v>
      </c>
      <c r="C24" s="1">
        <f>IFERROR(__xludf.DUMMYFUNCTION("""COMPUTED_VALUE"""),260.6)</f>
        <v>260.6</v>
      </c>
      <c r="D24" s="1"/>
      <c r="E24" s="112">
        <f>IFERROR(__xludf.DUMMYFUNCTION("""COMPUTED_VALUE"""),46161.64583333333)</f>
        <v>46161.64583</v>
      </c>
      <c r="F24" s="1">
        <f>IFERROR(__xludf.DUMMYFUNCTION("""COMPUTED_VALUE"""),126.15)</f>
        <v>126.15</v>
      </c>
      <c r="G24" s="1"/>
      <c r="H24" s="29">
        <f t="shared" si="4"/>
        <v>2.065794689</v>
      </c>
      <c r="I24" s="1">
        <f t="shared" si="5"/>
        <v>134.45</v>
      </c>
      <c r="J24" s="113">
        <f t="shared" si="6"/>
        <v>0.794324346</v>
      </c>
      <c r="K24" s="29">
        <f t="shared" si="7"/>
        <v>2.065794689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IFERROR(__xludf.DUMMYFUNCTION("""COMPUTED_VALUE"""),46162.64583333333)</f>
        <v>46162.64583</v>
      </c>
      <c r="C25" s="1">
        <f>IFERROR(__xludf.DUMMYFUNCTION("""COMPUTED_VALUE"""),263.55)</f>
        <v>263.55</v>
      </c>
      <c r="D25" s="1"/>
      <c r="E25" s="112">
        <f>IFERROR(__xludf.DUMMYFUNCTION("""COMPUTED_VALUE"""),46162.64583333333)</f>
        <v>46162.64583</v>
      </c>
      <c r="F25" s="1">
        <f>IFERROR(__xludf.DUMMYFUNCTION("""COMPUTED_VALUE"""),127.66)</f>
        <v>127.66</v>
      </c>
      <c r="G25" s="1"/>
      <c r="H25" s="29">
        <f t="shared" si="4"/>
        <v>2.064468118</v>
      </c>
      <c r="I25" s="1">
        <f t="shared" si="5"/>
        <v>135.89</v>
      </c>
      <c r="J25" s="113">
        <f t="shared" si="6"/>
        <v>0.9131155245</v>
      </c>
      <c r="K25" s="29">
        <f t="shared" si="7"/>
        <v>2.064468118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IFERROR(__xludf.DUMMYFUNCTION("""COMPUTED_VALUE"""),46163.64583333333)</f>
        <v>46163.64583</v>
      </c>
      <c r="C26" s="1">
        <f>IFERROR(__xludf.DUMMYFUNCTION("""COMPUTED_VALUE"""),263.1)</f>
        <v>263.1</v>
      </c>
      <c r="D26" s="1"/>
      <c r="E26" s="112">
        <f>IFERROR(__xludf.DUMMYFUNCTION("""COMPUTED_VALUE"""),46163.64583333333)</f>
        <v>46163.64583</v>
      </c>
      <c r="F26" s="1">
        <f>IFERROR(__xludf.DUMMYFUNCTION("""COMPUTED_VALUE"""),127.97)</f>
        <v>127.97</v>
      </c>
      <c r="G26" s="1"/>
      <c r="H26" s="29">
        <f t="shared" si="4"/>
        <v>2.055950613</v>
      </c>
      <c r="I26" s="1">
        <f t="shared" si="5"/>
        <v>135.13</v>
      </c>
      <c r="J26" s="113">
        <f t="shared" si="6"/>
        <v>0.8504201803</v>
      </c>
      <c r="K26" s="29">
        <f t="shared" si="7"/>
        <v>2.055950613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IFERROR(__xludf.DUMMYFUNCTION("""COMPUTED_VALUE"""),46164.64583333333)</f>
        <v>46164.64583</v>
      </c>
      <c r="C27" s="1">
        <f>IFERROR(__xludf.DUMMYFUNCTION("""COMPUTED_VALUE"""),265.4)</f>
        <v>265.4</v>
      </c>
      <c r="D27" s="1"/>
      <c r="E27" s="112">
        <f>IFERROR(__xludf.DUMMYFUNCTION("""COMPUTED_VALUE"""),46164.64583333333)</f>
        <v>46164.64583</v>
      </c>
      <c r="F27" s="1">
        <f>IFERROR(__xludf.DUMMYFUNCTION("""COMPUTED_VALUE"""),128.23)</f>
        <v>128.23</v>
      </c>
      <c r="G27" s="1"/>
      <c r="H27" s="29">
        <f t="shared" si="4"/>
        <v>2.069718475</v>
      </c>
      <c r="I27" s="1">
        <f t="shared" si="5"/>
        <v>137.17</v>
      </c>
      <c r="J27" s="113">
        <f t="shared" si="6"/>
        <v>1.018707683</v>
      </c>
      <c r="K27" s="29">
        <f t="shared" si="7"/>
        <v>2.069718475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1.896291145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IFERROR(__xludf.DUMMYFUNCTION("""COMPUTED_VALUE"""),46167.64583333333)</f>
        <v>46167.64583</v>
      </c>
      <c r="C28" s="1">
        <f>IFERROR(__xludf.DUMMYFUNCTION("""COMPUTED_VALUE"""),272.25)</f>
        <v>272.25</v>
      </c>
      <c r="D28" s="1"/>
      <c r="E28" s="112">
        <f>IFERROR(__xludf.DUMMYFUNCTION("""COMPUTED_VALUE"""),46167.64583333333)</f>
        <v>46167.64583</v>
      </c>
      <c r="F28" s="1">
        <f>IFERROR(__xludf.DUMMYFUNCTION("""COMPUTED_VALUE"""),133.7)</f>
        <v>133.7</v>
      </c>
      <c r="G28" s="1"/>
      <c r="H28" s="29">
        <f t="shared" si="4"/>
        <v>2.036275243</v>
      </c>
      <c r="I28" s="1">
        <f t="shared" si="5"/>
        <v>138.55</v>
      </c>
      <c r="J28" s="113">
        <f t="shared" si="6"/>
        <v>1.132549229</v>
      </c>
      <c r="K28" s="29">
        <f t="shared" si="7"/>
        <v>2.036275243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1.950152078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IFERROR(__xludf.DUMMYFUNCTION("""COMPUTED_VALUE"""),46168.64583333333)</f>
        <v>46168.64583</v>
      </c>
      <c r="C29" s="1">
        <f>IFERROR(__xludf.DUMMYFUNCTION("""COMPUTED_VALUE"""),270.55)</f>
        <v>270.55</v>
      </c>
      <c r="D29" s="1"/>
      <c r="E29" s="112">
        <f>IFERROR(__xludf.DUMMYFUNCTION("""COMPUTED_VALUE"""),46168.64583333333)</f>
        <v>46168.64583</v>
      </c>
      <c r="F29" s="1">
        <f>IFERROR(__xludf.DUMMYFUNCTION("""COMPUTED_VALUE"""),133.15)</f>
        <v>133.15</v>
      </c>
      <c r="G29" s="1"/>
      <c r="H29" s="29">
        <f t="shared" si="4"/>
        <v>2.031918888</v>
      </c>
      <c r="I29" s="1">
        <f t="shared" si="5"/>
        <v>137.4</v>
      </c>
      <c r="J29" s="113">
        <f t="shared" si="6"/>
        <v>1.037681274</v>
      </c>
      <c r="K29" s="29">
        <f t="shared" si="7"/>
        <v>2.031918888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IFERROR(__xludf.DUMMYFUNCTION("""COMPUTED_VALUE"""),46169.64583333333)</f>
        <v>46169.64583</v>
      </c>
      <c r="C30" s="1">
        <f>IFERROR(__xludf.DUMMYFUNCTION("""COMPUTED_VALUE"""),270.95)</f>
        <v>270.95</v>
      </c>
      <c r="D30" s="1"/>
      <c r="E30" s="112">
        <f>IFERROR(__xludf.DUMMYFUNCTION("""COMPUTED_VALUE"""),46169.64583333333)</f>
        <v>46169.64583</v>
      </c>
      <c r="F30" s="1">
        <f>IFERROR(__xludf.DUMMYFUNCTION("""COMPUTED_VALUE"""),134.16)</f>
        <v>134.16</v>
      </c>
      <c r="G30" s="1"/>
      <c r="H30" s="29">
        <f t="shared" si="4"/>
        <v>2.019603459</v>
      </c>
      <c r="I30" s="1">
        <f t="shared" si="5"/>
        <v>136.79</v>
      </c>
      <c r="J30" s="113">
        <f t="shared" si="6"/>
        <v>0.987360011</v>
      </c>
      <c r="K30" s="29">
        <f t="shared" si="7"/>
        <v>2.019603459</v>
      </c>
      <c r="L30" s="1">
        <f t="shared" ref="L30:L118" si="8">AVERAGE(C11:C30)</f>
        <v>265.4005</v>
      </c>
      <c r="M30" s="25">
        <f t="shared" ref="M30:M118" si="9">(C30-L30)/C30</f>
        <v>0.02048163868</v>
      </c>
      <c r="N30" s="65">
        <f t="shared" ref="N30:N118" si="10">AVERAGE(F11:F30)</f>
        <v>131.633</v>
      </c>
      <c r="O30" s="25">
        <f t="shared" ref="O30:O118" si="11">(F30-N30)/F30</f>
        <v>0.01883571855</v>
      </c>
      <c r="P30" s="25">
        <f t="shared" ref="P30:P118" si="12">M30-O30</f>
        <v>0.001645920134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IFERROR(__xludf.DUMMYFUNCTION("""COMPUTED_VALUE"""),46171.64583333333)</f>
        <v>46171.64583</v>
      </c>
      <c r="C31" s="1">
        <f>IFERROR(__xludf.DUMMYFUNCTION("""COMPUTED_VALUE"""),268.5)</f>
        <v>268.5</v>
      </c>
      <c r="D31" s="1"/>
      <c r="E31" s="112">
        <f>IFERROR(__xludf.DUMMYFUNCTION("""COMPUTED_VALUE"""),46171.64583333333)</f>
        <v>46171.64583</v>
      </c>
      <c r="F31" s="1">
        <f>IFERROR(__xludf.DUMMYFUNCTION("""COMPUTED_VALUE"""),130.8)</f>
        <v>130.8</v>
      </c>
      <c r="G31" s="1"/>
      <c r="H31" s="29">
        <f t="shared" si="4"/>
        <v>2.052752294</v>
      </c>
      <c r="I31" s="1">
        <f t="shared" si="5"/>
        <v>137.7</v>
      </c>
      <c r="J31" s="113">
        <f t="shared" si="6"/>
        <v>1.062429436</v>
      </c>
      <c r="K31" s="29">
        <f t="shared" si="7"/>
        <v>2.052752294</v>
      </c>
      <c r="L31" s="65">
        <f t="shared" si="8"/>
        <v>265.413</v>
      </c>
      <c r="M31" s="25">
        <f t="shared" si="9"/>
        <v>0.0114972067</v>
      </c>
      <c r="N31" s="65">
        <f t="shared" si="10"/>
        <v>131.32</v>
      </c>
      <c r="O31" s="25">
        <f t="shared" si="11"/>
        <v>-0.003975535168</v>
      </c>
      <c r="P31" s="25">
        <f t="shared" si="12"/>
        <v>0.01547274187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IFERROR(__xludf.DUMMYFUNCTION("""COMPUTED_VALUE"""),46174.64583333333)</f>
        <v>46174.64583</v>
      </c>
      <c r="C32" s="1">
        <f>IFERROR(__xludf.DUMMYFUNCTION("""COMPUTED_VALUE"""),264.35)</f>
        <v>264.35</v>
      </c>
      <c r="D32" s="1"/>
      <c r="E32" s="112">
        <f>IFERROR(__xludf.DUMMYFUNCTION("""COMPUTED_VALUE"""),46174.64583333333)</f>
        <v>46174.64583</v>
      </c>
      <c r="F32" s="1">
        <f>IFERROR(__xludf.DUMMYFUNCTION("""COMPUTED_VALUE"""),127.96)</f>
        <v>127.96</v>
      </c>
      <c r="G32" s="1"/>
      <c r="H32" s="29">
        <f t="shared" si="4"/>
        <v>2.065879962</v>
      </c>
      <c r="I32" s="1">
        <f t="shared" si="5"/>
        <v>136.39</v>
      </c>
      <c r="J32" s="113">
        <f t="shared" si="6"/>
        <v>0.9543624615</v>
      </c>
      <c r="K32" s="29">
        <f t="shared" si="7"/>
        <v>2.065879962</v>
      </c>
      <c r="L32" s="65">
        <f t="shared" si="8"/>
        <v>265.4575</v>
      </c>
      <c r="M32" s="25">
        <f t="shared" si="9"/>
        <v>-0.004189521468</v>
      </c>
      <c r="N32" s="65">
        <f t="shared" si="10"/>
        <v>130.9855</v>
      </c>
      <c r="O32" s="25">
        <f t="shared" si="11"/>
        <v>-0.02364410753</v>
      </c>
      <c r="P32" s="25">
        <f t="shared" si="12"/>
        <v>0.01945458607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IFERROR(__xludf.DUMMYFUNCTION("""COMPUTED_VALUE"""),46175.64583333333)</f>
        <v>46175.64583</v>
      </c>
      <c r="C33" s="1">
        <f>IFERROR(__xludf.DUMMYFUNCTION("""COMPUTED_VALUE"""),265.8)</f>
        <v>265.8</v>
      </c>
      <c r="D33" s="1"/>
      <c r="E33" s="112">
        <f>IFERROR(__xludf.DUMMYFUNCTION("""COMPUTED_VALUE"""),46175.64583333333)</f>
        <v>46175.64583</v>
      </c>
      <c r="F33" s="1">
        <f>IFERROR(__xludf.DUMMYFUNCTION("""COMPUTED_VALUE"""),129.08)</f>
        <v>129.08</v>
      </c>
      <c r="G33" s="1"/>
      <c r="H33" s="29">
        <f t="shared" si="4"/>
        <v>2.0591881</v>
      </c>
      <c r="I33" s="1">
        <f t="shared" si="5"/>
        <v>136.72</v>
      </c>
      <c r="J33" s="113">
        <f t="shared" si="6"/>
        <v>0.9815854398</v>
      </c>
      <c r="K33" s="29">
        <f t="shared" si="7"/>
        <v>2.0591881</v>
      </c>
      <c r="L33" s="65">
        <f t="shared" si="8"/>
        <v>265.4925</v>
      </c>
      <c r="M33" s="25">
        <f t="shared" si="9"/>
        <v>0.001156884876</v>
      </c>
      <c r="N33" s="65">
        <f t="shared" si="10"/>
        <v>130.6995</v>
      </c>
      <c r="O33" s="25">
        <f t="shared" si="11"/>
        <v>-0.0125464828</v>
      </c>
      <c r="P33" s="25">
        <f t="shared" si="12"/>
        <v>0.01370336768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IFERROR(__xludf.DUMMYFUNCTION("""COMPUTED_VALUE"""),46176.64583333333)</f>
        <v>46176.64583</v>
      </c>
      <c r="C34" s="1">
        <f>IFERROR(__xludf.DUMMYFUNCTION("""COMPUTED_VALUE"""),268.85)</f>
        <v>268.85</v>
      </c>
      <c r="D34" s="1"/>
      <c r="E34" s="112">
        <f>IFERROR(__xludf.DUMMYFUNCTION("""COMPUTED_VALUE"""),46176.64583333333)</f>
        <v>46176.64583</v>
      </c>
      <c r="F34" s="1">
        <f>IFERROR(__xludf.DUMMYFUNCTION("""COMPUTED_VALUE"""),131.85)</f>
        <v>131.85</v>
      </c>
      <c r="G34" s="1"/>
      <c r="H34" s="29">
        <f t="shared" si="4"/>
        <v>2.039059537</v>
      </c>
      <c r="I34" s="1">
        <f t="shared" si="5"/>
        <v>137</v>
      </c>
      <c r="J34" s="113">
        <f t="shared" si="6"/>
        <v>1.004683725</v>
      </c>
      <c r="K34" s="29">
        <f t="shared" si="7"/>
        <v>2.039059537</v>
      </c>
      <c r="L34" s="65">
        <f t="shared" si="8"/>
        <v>265.765</v>
      </c>
      <c r="M34" s="25">
        <f t="shared" si="9"/>
        <v>0.01147480007</v>
      </c>
      <c r="N34" s="65">
        <f t="shared" si="10"/>
        <v>130.5765</v>
      </c>
      <c r="O34" s="25">
        <f t="shared" si="11"/>
        <v>0.009658703072</v>
      </c>
      <c r="P34" s="25">
        <f t="shared" si="12"/>
        <v>0.001816097003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IFERROR(__xludf.DUMMYFUNCTION("""COMPUTED_VALUE"""),46177.64583333333)</f>
        <v>46177.64583</v>
      </c>
      <c r="C35" s="1">
        <f>IFERROR(__xludf.DUMMYFUNCTION("""COMPUTED_VALUE"""),271.3)</f>
        <v>271.3</v>
      </c>
      <c r="D35" s="1"/>
      <c r="E35" s="112">
        <f>IFERROR(__xludf.DUMMYFUNCTION("""COMPUTED_VALUE"""),46177.64583333333)</f>
        <v>46177.64583</v>
      </c>
      <c r="F35" s="1">
        <f>IFERROR(__xludf.DUMMYFUNCTION("""COMPUTED_VALUE"""),133.12)</f>
        <v>133.12</v>
      </c>
      <c r="G35" s="1"/>
      <c r="H35" s="29">
        <f t="shared" si="4"/>
        <v>2.038010817</v>
      </c>
      <c r="I35" s="1">
        <f t="shared" si="5"/>
        <v>138.18</v>
      </c>
      <c r="J35" s="113">
        <f t="shared" si="6"/>
        <v>1.102026496</v>
      </c>
      <c r="K35" s="29">
        <f t="shared" si="7"/>
        <v>2.038010817</v>
      </c>
      <c r="L35" s="65">
        <f t="shared" si="8"/>
        <v>265.815</v>
      </c>
      <c r="M35" s="25">
        <f t="shared" si="9"/>
        <v>0.02021747143</v>
      </c>
      <c r="N35" s="65">
        <f t="shared" si="10"/>
        <v>130.3305</v>
      </c>
      <c r="O35" s="25">
        <f t="shared" si="11"/>
        <v>0.02095477764</v>
      </c>
      <c r="P35" s="25">
        <f t="shared" si="12"/>
        <v>-0.0007373062104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IFERROR(__xludf.DUMMYFUNCTION("""COMPUTED_VALUE"""),46178.64583333333)</f>
        <v>46178.64583</v>
      </c>
      <c r="C36" s="1">
        <f>IFERROR(__xludf.DUMMYFUNCTION("""COMPUTED_VALUE"""),263.7)</f>
        <v>263.7</v>
      </c>
      <c r="D36" s="1"/>
      <c r="E36" s="112">
        <f>IFERROR(__xludf.DUMMYFUNCTION("""COMPUTED_VALUE"""),46178.64583333333)</f>
        <v>46178.64583</v>
      </c>
      <c r="F36" s="1">
        <f>IFERROR(__xludf.DUMMYFUNCTION("""COMPUTED_VALUE"""),135.81)</f>
        <v>135.81</v>
      </c>
      <c r="G36" s="1"/>
      <c r="H36" s="29">
        <f t="shared" si="4"/>
        <v>1.941683234</v>
      </c>
      <c r="I36" s="1">
        <f t="shared" si="5"/>
        <v>127.89</v>
      </c>
      <c r="J36" s="113">
        <f t="shared" si="6"/>
        <v>0.2531645331</v>
      </c>
      <c r="K36" s="29">
        <f t="shared" si="7"/>
        <v>1.941683234</v>
      </c>
      <c r="L36" s="65">
        <f t="shared" si="8"/>
        <v>265.4825</v>
      </c>
      <c r="M36" s="25">
        <f t="shared" si="9"/>
        <v>-0.006759575275</v>
      </c>
      <c r="N36" s="65">
        <f t="shared" si="10"/>
        <v>130.3245</v>
      </c>
      <c r="O36" s="25">
        <f t="shared" si="11"/>
        <v>0.04039098741</v>
      </c>
      <c r="P36" s="25">
        <f t="shared" si="12"/>
        <v>-0.04715056268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IFERROR(__xludf.DUMMYFUNCTION("""COMPUTED_VALUE"""),46181.64583333333)</f>
        <v>46181.64583</v>
      </c>
      <c r="C37" s="1">
        <f>IFERROR(__xludf.DUMMYFUNCTION("""COMPUTED_VALUE"""),259.25)</f>
        <v>259.25</v>
      </c>
      <c r="D37" s="1"/>
      <c r="E37" s="112">
        <f>IFERROR(__xludf.DUMMYFUNCTION("""COMPUTED_VALUE"""),46181.64583333333)</f>
        <v>46181.64583</v>
      </c>
      <c r="F37" s="1">
        <f>IFERROR(__xludf.DUMMYFUNCTION("""COMPUTED_VALUE"""),131.91)</f>
        <v>131.91</v>
      </c>
      <c r="G37" s="1"/>
      <c r="H37" s="29">
        <f t="shared" si="4"/>
        <v>1.965355166</v>
      </c>
      <c r="I37" s="1">
        <f t="shared" si="5"/>
        <v>127.34</v>
      </c>
      <c r="J37" s="113">
        <f t="shared" si="6"/>
        <v>0.2077929024</v>
      </c>
      <c r="K37" s="29">
        <f t="shared" si="7"/>
        <v>1.965355166</v>
      </c>
      <c r="L37" s="65">
        <f t="shared" si="8"/>
        <v>265.25</v>
      </c>
      <c r="M37" s="25">
        <f t="shared" si="9"/>
        <v>-0.0231436837</v>
      </c>
      <c r="N37" s="65">
        <f t="shared" si="10"/>
        <v>130.203</v>
      </c>
      <c r="O37" s="25">
        <f t="shared" si="11"/>
        <v>0.01294064135</v>
      </c>
      <c r="P37" s="25">
        <f t="shared" si="12"/>
        <v>-0.03608432505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IFERROR(__xludf.DUMMYFUNCTION("""COMPUTED_VALUE"""),46182.64583333333)</f>
        <v>46182.64583</v>
      </c>
      <c r="C38" s="1">
        <f>IFERROR(__xludf.DUMMYFUNCTION("""COMPUTED_VALUE"""),273.75)</f>
        <v>273.75</v>
      </c>
      <c r="D38" s="1"/>
      <c r="E38" s="112">
        <f>IFERROR(__xludf.DUMMYFUNCTION("""COMPUTED_VALUE"""),46182.64583333333)</f>
        <v>46182.64583</v>
      </c>
      <c r="F38" s="1">
        <f>IFERROR(__xludf.DUMMYFUNCTION("""COMPUTED_VALUE"""),137.51)</f>
        <v>137.51</v>
      </c>
      <c r="G38" s="1"/>
      <c r="H38" s="29">
        <f t="shared" si="4"/>
        <v>1.990764308</v>
      </c>
      <c r="I38" s="1">
        <f t="shared" si="5"/>
        <v>136.24</v>
      </c>
      <c r="J38" s="113">
        <f t="shared" si="6"/>
        <v>0.9419883804</v>
      </c>
      <c r="K38" s="29">
        <f t="shared" si="7"/>
        <v>1.990764308</v>
      </c>
      <c r="L38" s="65">
        <f t="shared" si="8"/>
        <v>265.6375</v>
      </c>
      <c r="M38" s="25">
        <f t="shared" si="9"/>
        <v>0.0296347032</v>
      </c>
      <c r="N38" s="65">
        <f t="shared" si="10"/>
        <v>130.607</v>
      </c>
      <c r="O38" s="25">
        <f t="shared" si="11"/>
        <v>0.05019998546</v>
      </c>
      <c r="P38" s="25">
        <f t="shared" si="12"/>
        <v>-0.02056528226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IFERROR(__xludf.DUMMYFUNCTION("""COMPUTED_VALUE"""),46183.64583333333)</f>
        <v>46183.64583</v>
      </c>
      <c r="C39" s="1">
        <f>IFERROR(__xludf.DUMMYFUNCTION("""COMPUTED_VALUE"""),269.3)</f>
        <v>269.3</v>
      </c>
      <c r="D39" s="1"/>
      <c r="E39" s="112">
        <f>IFERROR(__xludf.DUMMYFUNCTION("""COMPUTED_VALUE"""),46183.64583333333)</f>
        <v>46183.64583</v>
      </c>
      <c r="F39" s="1">
        <f>IFERROR(__xludf.DUMMYFUNCTION("""COMPUTED_VALUE"""),133.46)</f>
        <v>133.46</v>
      </c>
      <c r="G39" s="1"/>
      <c r="H39" s="29">
        <f t="shared" si="4"/>
        <v>2.017833059</v>
      </c>
      <c r="I39" s="1">
        <f t="shared" si="5"/>
        <v>135.84</v>
      </c>
      <c r="J39" s="113">
        <f t="shared" si="6"/>
        <v>0.9089908308</v>
      </c>
      <c r="K39" s="29">
        <f t="shared" si="7"/>
        <v>2.017833059</v>
      </c>
      <c r="L39" s="65">
        <f t="shared" si="8"/>
        <v>266.105</v>
      </c>
      <c r="M39" s="25">
        <f t="shared" si="9"/>
        <v>0.01186409209</v>
      </c>
      <c r="N39" s="65">
        <f t="shared" si="10"/>
        <v>130.7795</v>
      </c>
      <c r="O39" s="25">
        <f t="shared" si="11"/>
        <v>0.02008466956</v>
      </c>
      <c r="P39" s="25">
        <f t="shared" si="12"/>
        <v>-0.008220577473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IFERROR(__xludf.DUMMYFUNCTION("""COMPUTED_VALUE"""),46184.64583333333)</f>
        <v>46184.64583</v>
      </c>
      <c r="C40" s="1">
        <f>IFERROR(__xludf.DUMMYFUNCTION("""COMPUTED_VALUE"""),267.6)</f>
        <v>267.6</v>
      </c>
      <c r="D40" s="1"/>
      <c r="E40" s="112">
        <f>IFERROR(__xludf.DUMMYFUNCTION("""COMPUTED_VALUE"""),46184.64583333333)</f>
        <v>46184.64583</v>
      </c>
      <c r="F40" s="1">
        <f>IFERROR(__xludf.DUMMYFUNCTION("""COMPUTED_VALUE"""),131.52)</f>
        <v>131.52</v>
      </c>
      <c r="G40" s="1"/>
      <c r="H40" s="29">
        <f t="shared" si="4"/>
        <v>2.034671533</v>
      </c>
      <c r="I40" s="1">
        <f t="shared" si="5"/>
        <v>136.08</v>
      </c>
      <c r="J40" s="113">
        <f t="shared" si="6"/>
        <v>0.9287893605</v>
      </c>
      <c r="K40" s="29">
        <f t="shared" si="7"/>
        <v>2.034671533</v>
      </c>
      <c r="L40" s="65">
        <f t="shared" si="8"/>
        <v>266.4025</v>
      </c>
      <c r="M40" s="25">
        <f t="shared" si="9"/>
        <v>0.004474962631</v>
      </c>
      <c r="N40" s="65">
        <f t="shared" si="10"/>
        <v>130.8925</v>
      </c>
      <c r="O40" s="25">
        <f t="shared" si="11"/>
        <v>0.00477113747</v>
      </c>
      <c r="P40" s="25">
        <f t="shared" si="12"/>
        <v>-0.0002961748388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IFERROR(__xludf.DUMMYFUNCTION("""COMPUTED_VALUE"""),46185.64583333333)</f>
        <v>46185.64583</v>
      </c>
      <c r="C41" s="1">
        <f>IFERROR(__xludf.DUMMYFUNCTION("""COMPUTED_VALUE"""),274.75)</f>
        <v>274.75</v>
      </c>
      <c r="D41" s="1"/>
      <c r="E41" s="112">
        <f>IFERROR(__xludf.DUMMYFUNCTION("""COMPUTED_VALUE"""),46185.64583333333)</f>
        <v>46185.64583</v>
      </c>
      <c r="F41" s="1">
        <f>IFERROR(__xludf.DUMMYFUNCTION("""COMPUTED_VALUE"""),131.67)</f>
        <v>131.67</v>
      </c>
      <c r="G41" s="1"/>
      <c r="H41" s="29">
        <f t="shared" si="4"/>
        <v>2.086656034</v>
      </c>
      <c r="I41" s="1">
        <f t="shared" si="5"/>
        <v>143.08</v>
      </c>
      <c r="J41" s="113">
        <f t="shared" si="6"/>
        <v>1.506246478</v>
      </c>
      <c r="K41" s="29">
        <f t="shared" si="7"/>
        <v>2.086656034</v>
      </c>
      <c r="L41" s="65">
        <f t="shared" si="8"/>
        <v>266.75</v>
      </c>
      <c r="M41" s="25">
        <f t="shared" si="9"/>
        <v>0.02911737944</v>
      </c>
      <c r="N41" s="65">
        <f t="shared" si="10"/>
        <v>130.934</v>
      </c>
      <c r="O41" s="25">
        <f t="shared" si="11"/>
        <v>0.005589731906</v>
      </c>
      <c r="P41" s="25">
        <f t="shared" si="12"/>
        <v>0.02352764753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IFERROR(__xludf.DUMMYFUNCTION("""COMPUTED_VALUE"""),46188.64583333333)</f>
        <v>46188.64583</v>
      </c>
      <c r="C42" s="1">
        <f>IFERROR(__xludf.DUMMYFUNCTION("""COMPUTED_VALUE"""),276.05)</f>
        <v>276.05</v>
      </c>
      <c r="D42" s="1"/>
      <c r="E42" s="112">
        <f>IFERROR(__xludf.DUMMYFUNCTION("""COMPUTED_VALUE"""),46188.64583333333)</f>
        <v>46188.64583</v>
      </c>
      <c r="F42" s="1">
        <f>IFERROR(__xludf.DUMMYFUNCTION("""COMPUTED_VALUE"""),132.2)</f>
        <v>132.2</v>
      </c>
      <c r="G42" s="1"/>
      <c r="H42" s="29">
        <f t="shared" si="4"/>
        <v>2.088124054</v>
      </c>
      <c r="I42" s="1">
        <f t="shared" si="5"/>
        <v>143.85</v>
      </c>
      <c r="J42" s="113">
        <f t="shared" si="6"/>
        <v>1.569766761</v>
      </c>
      <c r="K42" s="29">
        <f t="shared" si="7"/>
        <v>2.088124054</v>
      </c>
      <c r="L42" s="65">
        <f t="shared" si="8"/>
        <v>267.4825</v>
      </c>
      <c r="M42" s="25">
        <f t="shared" si="9"/>
        <v>0.03103604419</v>
      </c>
      <c r="N42" s="65">
        <f t="shared" si="10"/>
        <v>131.1405</v>
      </c>
      <c r="O42" s="25">
        <f t="shared" si="11"/>
        <v>0.008014372163</v>
      </c>
      <c r="P42" s="25">
        <f t="shared" si="12"/>
        <v>0.02302167203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IFERROR(__xludf.DUMMYFUNCTION("""COMPUTED_VALUE"""),46189.64583333333)</f>
        <v>46189.64583</v>
      </c>
      <c r="C43" s="1">
        <f>IFERROR(__xludf.DUMMYFUNCTION("""COMPUTED_VALUE"""),275.35)</f>
        <v>275.35</v>
      </c>
      <c r="D43" s="1"/>
      <c r="E43" s="112">
        <f>IFERROR(__xludf.DUMMYFUNCTION("""COMPUTED_VALUE"""),46189.64583333333)</f>
        <v>46189.64583</v>
      </c>
      <c r="F43" s="1">
        <f>IFERROR(__xludf.DUMMYFUNCTION("""COMPUTED_VALUE"""),132.83)</f>
        <v>132.83</v>
      </c>
      <c r="G43" s="1"/>
      <c r="H43" s="29">
        <f t="shared" si="4"/>
        <v>2.072950388</v>
      </c>
      <c r="I43" s="1">
        <f t="shared" si="5"/>
        <v>142.52</v>
      </c>
      <c r="J43" s="113">
        <f t="shared" si="6"/>
        <v>1.460049909</v>
      </c>
      <c r="K43" s="29">
        <f t="shared" si="7"/>
        <v>2.072950388</v>
      </c>
      <c r="L43" s="65">
        <f t="shared" si="8"/>
        <v>268.2475</v>
      </c>
      <c r="M43" s="25">
        <f t="shared" si="9"/>
        <v>0.02579444344</v>
      </c>
      <c r="N43" s="65">
        <f t="shared" si="10"/>
        <v>131.537</v>
      </c>
      <c r="O43" s="25">
        <f t="shared" si="11"/>
        <v>0.009734246782</v>
      </c>
      <c r="P43" s="25">
        <f t="shared" si="12"/>
        <v>0.01606019665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IFERROR(__xludf.DUMMYFUNCTION("""COMPUTED_VALUE"""),46190.64583333333)</f>
        <v>46190.64583</v>
      </c>
      <c r="C44" s="1">
        <f>IFERROR(__xludf.DUMMYFUNCTION("""COMPUTED_VALUE"""),281.85)</f>
        <v>281.85</v>
      </c>
      <c r="D44" s="1"/>
      <c r="E44" s="112">
        <f>IFERROR(__xludf.DUMMYFUNCTION("""COMPUTED_VALUE"""),46190.64583333333)</f>
        <v>46190.64583</v>
      </c>
      <c r="F44" s="1">
        <f>IFERROR(__xludf.DUMMYFUNCTION("""COMPUTED_VALUE"""),135.24)</f>
        <v>135.24</v>
      </c>
      <c r="G44" s="1"/>
      <c r="H44" s="29">
        <f t="shared" si="4"/>
        <v>2.08407276</v>
      </c>
      <c r="I44" s="1">
        <f t="shared" si="5"/>
        <v>146.61</v>
      </c>
      <c r="J44" s="113">
        <f t="shared" si="6"/>
        <v>1.797449853</v>
      </c>
      <c r="K44" s="29">
        <f t="shared" si="7"/>
        <v>2.08407276</v>
      </c>
      <c r="L44" s="65">
        <f t="shared" si="8"/>
        <v>269.31</v>
      </c>
      <c r="M44" s="25">
        <f t="shared" si="9"/>
        <v>0.04449175093</v>
      </c>
      <c r="N44" s="65">
        <f t="shared" si="10"/>
        <v>131.9915</v>
      </c>
      <c r="O44" s="25">
        <f t="shared" si="11"/>
        <v>0.02402026028</v>
      </c>
      <c r="P44" s="25">
        <f t="shared" si="12"/>
        <v>0.02047149065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IFERROR(__xludf.DUMMYFUNCTION("""COMPUTED_VALUE"""),46191.64583333333)</f>
        <v>46191.64583</v>
      </c>
      <c r="C45" s="1">
        <f>IFERROR(__xludf.DUMMYFUNCTION("""COMPUTED_VALUE"""),283.0)</f>
        <v>283</v>
      </c>
      <c r="D45" s="1"/>
      <c r="E45" s="112">
        <f>IFERROR(__xludf.DUMMYFUNCTION("""COMPUTED_VALUE"""),46191.64583333333)</f>
        <v>46191.64583</v>
      </c>
      <c r="F45" s="1">
        <f>IFERROR(__xludf.DUMMYFUNCTION("""COMPUTED_VALUE"""),134.97)</f>
        <v>134.97</v>
      </c>
      <c r="G45" s="1"/>
      <c r="H45" s="29">
        <f t="shared" si="4"/>
        <v>2.096762243</v>
      </c>
      <c r="I45" s="1">
        <f t="shared" si="5"/>
        <v>148.03</v>
      </c>
      <c r="J45" s="113">
        <f t="shared" si="6"/>
        <v>1.914591154</v>
      </c>
      <c r="K45" s="29">
        <f t="shared" si="7"/>
        <v>2.096762243</v>
      </c>
      <c r="L45" s="65">
        <f t="shared" si="8"/>
        <v>270.2825</v>
      </c>
      <c r="M45" s="25">
        <f t="shared" si="9"/>
        <v>0.04493816254</v>
      </c>
      <c r="N45" s="65">
        <f t="shared" si="10"/>
        <v>132.357</v>
      </c>
      <c r="O45" s="25">
        <f t="shared" si="11"/>
        <v>0.01935985775</v>
      </c>
      <c r="P45" s="25">
        <f t="shared" si="12"/>
        <v>0.0255783048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IFERROR(__xludf.DUMMYFUNCTION("""COMPUTED_VALUE"""),46192.64583333333)</f>
        <v>46192.64583</v>
      </c>
      <c r="C46" s="1">
        <f>IFERROR(__xludf.DUMMYFUNCTION("""COMPUTED_VALUE"""),281.05)</f>
        <v>281.05</v>
      </c>
      <c r="D46" s="1"/>
      <c r="E46" s="112">
        <f>IFERROR(__xludf.DUMMYFUNCTION("""COMPUTED_VALUE"""),46192.64583333333)</f>
        <v>46192.64583</v>
      </c>
      <c r="F46" s="1">
        <f>IFERROR(__xludf.DUMMYFUNCTION("""COMPUTED_VALUE"""),133.74)</f>
        <v>133.74</v>
      </c>
      <c r="G46" s="1"/>
      <c r="H46" s="29">
        <f t="shared" si="4"/>
        <v>2.10146553</v>
      </c>
      <c r="I46" s="1">
        <f t="shared" si="5"/>
        <v>147.31</v>
      </c>
      <c r="J46" s="113">
        <f t="shared" si="6"/>
        <v>1.855195565</v>
      </c>
      <c r="K46" s="29">
        <f t="shared" si="7"/>
        <v>2.10146553</v>
      </c>
      <c r="L46" s="65">
        <f t="shared" si="8"/>
        <v>271.18</v>
      </c>
      <c r="M46" s="25">
        <f t="shared" si="9"/>
        <v>0.03511830635</v>
      </c>
      <c r="N46" s="65">
        <f t="shared" si="10"/>
        <v>132.6455</v>
      </c>
      <c r="O46" s="25">
        <f t="shared" si="11"/>
        <v>0.008183789442</v>
      </c>
      <c r="P46" s="25">
        <f t="shared" si="12"/>
        <v>0.02693451691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IFERROR(__xludf.DUMMYFUNCTION("""COMPUTED_VALUE"""),46195.64583333333)</f>
        <v>46195.64583</v>
      </c>
      <c r="C47" s="1">
        <f>IFERROR(__xludf.DUMMYFUNCTION("""COMPUTED_VALUE"""),286.05)</f>
        <v>286.05</v>
      </c>
      <c r="D47" s="1"/>
      <c r="E47" s="112">
        <f>IFERROR(__xludf.DUMMYFUNCTION("""COMPUTED_VALUE"""),46195.64583333333)</f>
        <v>46195.64583</v>
      </c>
      <c r="F47" s="1">
        <f>IFERROR(__xludf.DUMMYFUNCTION("""COMPUTED_VALUE"""),134.82)</f>
        <v>134.82</v>
      </c>
      <c r="G47" s="1"/>
      <c r="H47" s="29">
        <f t="shared" si="4"/>
        <v>2.121717846</v>
      </c>
      <c r="I47" s="1">
        <f t="shared" si="5"/>
        <v>151.23</v>
      </c>
      <c r="J47" s="113">
        <f t="shared" si="6"/>
        <v>2.17857155</v>
      </c>
      <c r="K47" s="29">
        <f t="shared" si="7"/>
        <v>2.121717846</v>
      </c>
      <c r="L47" s="65">
        <f t="shared" si="8"/>
        <v>272.2125</v>
      </c>
      <c r="M47" s="25">
        <f t="shared" si="9"/>
        <v>0.04837441007</v>
      </c>
      <c r="N47" s="65">
        <f t="shared" si="10"/>
        <v>132.975</v>
      </c>
      <c r="O47" s="25">
        <f t="shared" si="11"/>
        <v>0.01368491322</v>
      </c>
      <c r="P47" s="25">
        <f t="shared" si="12"/>
        <v>0.03468949685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IFERROR(__xludf.DUMMYFUNCTION("""COMPUTED_VALUE"""),46196.64583333333)</f>
        <v>46196.64583</v>
      </c>
      <c r="C48" s="1">
        <f>IFERROR(__xludf.DUMMYFUNCTION("""COMPUTED_VALUE"""),277.8)</f>
        <v>277.8</v>
      </c>
      <c r="D48" s="1"/>
      <c r="E48" s="112">
        <f>IFERROR(__xludf.DUMMYFUNCTION("""COMPUTED_VALUE"""),46196.64583333333)</f>
        <v>46196.64583</v>
      </c>
      <c r="F48" s="1">
        <f>IFERROR(__xludf.DUMMYFUNCTION("""COMPUTED_VALUE"""),130.37)</f>
        <v>130.37</v>
      </c>
      <c r="G48" s="1"/>
      <c r="H48" s="29">
        <f t="shared" si="4"/>
        <v>2.130858326</v>
      </c>
      <c r="I48" s="1">
        <f t="shared" si="5"/>
        <v>147.43</v>
      </c>
      <c r="J48" s="113">
        <f t="shared" si="6"/>
        <v>1.86509483</v>
      </c>
      <c r="K48" s="29">
        <f t="shared" si="7"/>
        <v>2.130858326</v>
      </c>
      <c r="L48" s="65">
        <f t="shared" si="8"/>
        <v>272.49</v>
      </c>
      <c r="M48" s="25">
        <f t="shared" si="9"/>
        <v>0.01911447084</v>
      </c>
      <c r="N48" s="65">
        <f t="shared" si="10"/>
        <v>132.8085</v>
      </c>
      <c r="O48" s="25">
        <f t="shared" si="11"/>
        <v>-0.01870445655</v>
      </c>
      <c r="P48" s="25">
        <f t="shared" si="12"/>
        <v>0.03781892739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IFERROR(__xludf.DUMMYFUNCTION("""COMPUTED_VALUE"""),46197.64583333333)</f>
        <v>46197.64583</v>
      </c>
      <c r="C49" s="1">
        <f>IFERROR(__xludf.DUMMYFUNCTION("""COMPUTED_VALUE"""),279.9)</f>
        <v>279.9</v>
      </c>
      <c r="D49" s="1"/>
      <c r="E49" s="112">
        <f>IFERROR(__xludf.DUMMYFUNCTION("""COMPUTED_VALUE"""),46197.64583333333)</f>
        <v>46197.64583</v>
      </c>
      <c r="F49" s="1">
        <f>IFERROR(__xludf.DUMMYFUNCTION("""COMPUTED_VALUE"""),130.15)</f>
        <v>130.15</v>
      </c>
      <c r="G49" s="1"/>
      <c r="H49" s="29">
        <f t="shared" si="4"/>
        <v>2.150595467</v>
      </c>
      <c r="I49" s="1">
        <f t="shared" si="5"/>
        <v>149.75</v>
      </c>
      <c r="J49" s="113">
        <f t="shared" si="6"/>
        <v>2.056480617</v>
      </c>
      <c r="K49" s="29">
        <f t="shared" si="7"/>
        <v>2.150595467</v>
      </c>
      <c r="L49" s="65">
        <f t="shared" si="8"/>
        <v>272.9575</v>
      </c>
      <c r="M49" s="25">
        <f t="shared" si="9"/>
        <v>0.02480350125</v>
      </c>
      <c r="N49" s="65">
        <f t="shared" si="10"/>
        <v>132.6585</v>
      </c>
      <c r="O49" s="25">
        <f t="shared" si="11"/>
        <v>-0.01927391471</v>
      </c>
      <c r="P49" s="25">
        <f t="shared" si="12"/>
        <v>0.04407741596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IFERROR(__xludf.DUMMYFUNCTION("""COMPUTED_VALUE"""),46198.64583333333)</f>
        <v>46198.64583</v>
      </c>
      <c r="C50" s="1">
        <f>IFERROR(__xludf.DUMMYFUNCTION("""COMPUTED_VALUE"""),279.15)</f>
        <v>279.15</v>
      </c>
      <c r="D50" s="1"/>
      <c r="E50" s="112">
        <f>IFERROR(__xludf.DUMMYFUNCTION("""COMPUTED_VALUE"""),46198.64583333333)</f>
        <v>46198.64583</v>
      </c>
      <c r="F50" s="1">
        <f>IFERROR(__xludf.DUMMYFUNCTION("""COMPUTED_VALUE"""),128.95)</f>
        <v>128.95</v>
      </c>
      <c r="G50" s="1"/>
      <c r="H50" s="29">
        <f t="shared" si="4"/>
        <v>2.164792555</v>
      </c>
      <c r="I50" s="1">
        <f t="shared" si="5"/>
        <v>150.2</v>
      </c>
      <c r="J50" s="113">
        <f t="shared" si="6"/>
        <v>2.09360286</v>
      </c>
      <c r="K50" s="29">
        <f t="shared" si="7"/>
        <v>2.164792555</v>
      </c>
      <c r="L50" s="65">
        <f t="shared" si="8"/>
        <v>273.3675</v>
      </c>
      <c r="M50" s="25">
        <f t="shared" si="9"/>
        <v>0.02071466953</v>
      </c>
      <c r="N50" s="65">
        <f t="shared" si="10"/>
        <v>132.398</v>
      </c>
      <c r="O50" s="25">
        <f t="shared" si="11"/>
        <v>-0.02673904614</v>
      </c>
      <c r="P50" s="25">
        <f t="shared" si="12"/>
        <v>0.04745371567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IFERROR(__xludf.DUMMYFUNCTION("""COMPUTED_VALUE"""),46202.64583333333)</f>
        <v>46202.64583</v>
      </c>
      <c r="C51" s="1">
        <f>IFERROR(__xludf.DUMMYFUNCTION("""COMPUTED_VALUE"""),272.8)</f>
        <v>272.8</v>
      </c>
      <c r="D51" s="1"/>
      <c r="E51" s="112">
        <f>IFERROR(__xludf.DUMMYFUNCTION("""COMPUTED_VALUE"""),46202.64583333333)</f>
        <v>46202.64583</v>
      </c>
      <c r="F51" s="1">
        <f>IFERROR(__xludf.DUMMYFUNCTION("""COMPUTED_VALUE"""),125.86)</f>
        <v>125.86</v>
      </c>
      <c r="G51" s="1"/>
      <c r="H51" s="29">
        <f t="shared" si="4"/>
        <v>2.167487685</v>
      </c>
      <c r="I51" s="1">
        <f t="shared" si="5"/>
        <v>146.94</v>
      </c>
      <c r="J51" s="113">
        <f t="shared" si="6"/>
        <v>1.824672831</v>
      </c>
      <c r="K51" s="29">
        <f t="shared" si="7"/>
        <v>2.167487685</v>
      </c>
      <c r="L51" s="65">
        <f t="shared" si="8"/>
        <v>273.5825</v>
      </c>
      <c r="M51" s="25">
        <f t="shared" si="9"/>
        <v>-0.00286840176</v>
      </c>
      <c r="N51" s="65">
        <f t="shared" si="10"/>
        <v>132.151</v>
      </c>
      <c r="O51" s="25">
        <f t="shared" si="11"/>
        <v>-0.04998410933</v>
      </c>
      <c r="P51" s="25">
        <f t="shared" si="12"/>
        <v>0.04711570757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IFERROR(__xludf.DUMMYFUNCTION("""COMPUTED_VALUE"""),46203.64583333333)</f>
        <v>46203.64583</v>
      </c>
      <c r="C52" s="1">
        <f>IFERROR(__xludf.DUMMYFUNCTION("""COMPUTED_VALUE"""),272.4)</f>
        <v>272.4</v>
      </c>
      <c r="D52" s="1"/>
      <c r="E52" s="112">
        <f>IFERROR(__xludf.DUMMYFUNCTION("""COMPUTED_VALUE"""),46203.64583333333)</f>
        <v>46203.64583</v>
      </c>
      <c r="F52" s="1">
        <f>IFERROR(__xludf.DUMMYFUNCTION("""COMPUTED_VALUE"""),125.52)</f>
        <v>125.52</v>
      </c>
      <c r="G52" s="1"/>
      <c r="H52" s="29">
        <f t="shared" si="4"/>
        <v>2.170172084</v>
      </c>
      <c r="I52" s="1">
        <f t="shared" si="5"/>
        <v>146.88</v>
      </c>
      <c r="J52" s="113">
        <f t="shared" si="6"/>
        <v>1.819723199</v>
      </c>
      <c r="K52" s="29">
        <f t="shared" si="7"/>
        <v>2.170172084</v>
      </c>
      <c r="L52" s="65">
        <f t="shared" si="8"/>
        <v>273.985</v>
      </c>
      <c r="M52" s="25">
        <f t="shared" si="9"/>
        <v>-0.005818649046</v>
      </c>
      <c r="N52" s="65">
        <f t="shared" si="10"/>
        <v>132.029</v>
      </c>
      <c r="O52" s="25">
        <f t="shared" si="11"/>
        <v>-0.05185627788</v>
      </c>
      <c r="P52" s="25">
        <f t="shared" si="12"/>
        <v>0.04603762884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IFERROR(__xludf.DUMMYFUNCTION("""COMPUTED_VALUE"""),46204.64583333333)</f>
        <v>46204.64583</v>
      </c>
      <c r="C53" s="1">
        <f>IFERROR(__xludf.DUMMYFUNCTION("""COMPUTED_VALUE"""),271.65)</f>
        <v>271.65</v>
      </c>
      <c r="D53" s="1"/>
      <c r="E53" s="112">
        <f>IFERROR(__xludf.DUMMYFUNCTION("""COMPUTED_VALUE"""),46204.64583333333)</f>
        <v>46204.64583</v>
      </c>
      <c r="F53" s="1">
        <f>IFERROR(__xludf.DUMMYFUNCTION("""COMPUTED_VALUE"""),126.28)</f>
        <v>126.28</v>
      </c>
      <c r="G53" s="1"/>
      <c r="H53" s="29">
        <f t="shared" si="4"/>
        <v>2.151171999</v>
      </c>
      <c r="I53" s="1">
        <f t="shared" si="5"/>
        <v>145.37</v>
      </c>
      <c r="J53" s="113">
        <f t="shared" si="6"/>
        <v>1.695157449</v>
      </c>
      <c r="K53" s="29">
        <f t="shared" si="7"/>
        <v>2.151171999</v>
      </c>
      <c r="L53" s="65">
        <f t="shared" si="8"/>
        <v>274.2775</v>
      </c>
      <c r="M53" s="25">
        <f t="shared" si="9"/>
        <v>-0.009672372538</v>
      </c>
      <c r="N53" s="65">
        <f t="shared" si="10"/>
        <v>131.889</v>
      </c>
      <c r="O53" s="25">
        <f t="shared" si="11"/>
        <v>-0.0444171682</v>
      </c>
      <c r="P53" s="25">
        <f t="shared" si="12"/>
        <v>0.03474479566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IFERROR(__xludf.DUMMYFUNCTION("""COMPUTED_VALUE"""),46205.64583333333)</f>
        <v>46205.64583</v>
      </c>
      <c r="C54" s="1">
        <f>IFERROR(__xludf.DUMMYFUNCTION("""COMPUTED_VALUE"""),260.25)</f>
        <v>260.25</v>
      </c>
      <c r="D54" s="1"/>
      <c r="E54" s="112">
        <f>IFERROR(__xludf.DUMMYFUNCTION("""COMPUTED_VALUE"""),46205.64583333333)</f>
        <v>46205.64583</v>
      </c>
      <c r="F54" s="1">
        <f>IFERROR(__xludf.DUMMYFUNCTION("""COMPUTED_VALUE"""),126.64)</f>
        <v>126.64</v>
      </c>
      <c r="G54" s="1"/>
      <c r="H54" s="29">
        <f t="shared" si="4"/>
        <v>2.055037903</v>
      </c>
      <c r="I54" s="1">
        <f t="shared" si="5"/>
        <v>133.61</v>
      </c>
      <c r="J54" s="113">
        <f t="shared" si="6"/>
        <v>0.7250294919</v>
      </c>
      <c r="K54" s="29">
        <f t="shared" si="7"/>
        <v>2.055037903</v>
      </c>
      <c r="L54" s="65">
        <f t="shared" si="8"/>
        <v>273.8475</v>
      </c>
      <c r="M54" s="25">
        <f t="shared" si="9"/>
        <v>-0.05224783862</v>
      </c>
      <c r="N54" s="65">
        <f t="shared" si="10"/>
        <v>131.6285</v>
      </c>
      <c r="O54" s="25">
        <f t="shared" si="11"/>
        <v>-0.03939118762</v>
      </c>
      <c r="P54" s="25">
        <f t="shared" si="12"/>
        <v>-0.012856651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IFERROR(__xludf.DUMMYFUNCTION("""COMPUTED_VALUE"""),46206.64583333333)</f>
        <v>46206.64583</v>
      </c>
      <c r="C55" s="1">
        <f>IFERROR(__xludf.DUMMYFUNCTION("""COMPUTED_VALUE"""),252.2)</f>
        <v>252.2</v>
      </c>
      <c r="D55" s="1"/>
      <c r="E55" s="112">
        <f>IFERROR(__xludf.DUMMYFUNCTION("""COMPUTED_VALUE"""),46206.64583333333)</f>
        <v>46206.64583</v>
      </c>
      <c r="F55" s="1">
        <f>IFERROR(__xludf.DUMMYFUNCTION("""COMPUTED_VALUE"""),127.19)</f>
        <v>127.19</v>
      </c>
      <c r="G55" s="1"/>
      <c r="H55" s="29">
        <f t="shared" si="4"/>
        <v>1.982860288</v>
      </c>
      <c r="I55" s="1">
        <f t="shared" si="5"/>
        <v>125.01</v>
      </c>
      <c r="J55" s="113">
        <f t="shared" si="6"/>
        <v>0.01558217619</v>
      </c>
      <c r="K55" s="29">
        <f t="shared" si="7"/>
        <v>1.982860288</v>
      </c>
      <c r="L55" s="65">
        <f t="shared" si="8"/>
        <v>272.8925</v>
      </c>
      <c r="M55" s="25">
        <f t="shared" si="9"/>
        <v>-0.0820479778</v>
      </c>
      <c r="N55" s="65">
        <f t="shared" si="10"/>
        <v>131.332</v>
      </c>
      <c r="O55" s="25">
        <f t="shared" si="11"/>
        <v>-0.03256545326</v>
      </c>
      <c r="P55" s="25">
        <f t="shared" si="12"/>
        <v>-0.04948252454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IFERROR(__xludf.DUMMYFUNCTION("""COMPUTED_VALUE"""),46209.64583333333)</f>
        <v>46209.64583</v>
      </c>
      <c r="C56" s="1">
        <f>IFERROR(__xludf.DUMMYFUNCTION("""COMPUTED_VALUE"""),249.95)</f>
        <v>249.95</v>
      </c>
      <c r="D56" s="1"/>
      <c r="E56" s="112">
        <f>IFERROR(__xludf.DUMMYFUNCTION("""COMPUTED_VALUE"""),46209.64583333333)</f>
        <v>46209.64583</v>
      </c>
      <c r="F56" s="1">
        <f>IFERROR(__xludf.DUMMYFUNCTION("""COMPUTED_VALUE"""),126.46)</f>
        <v>126.46</v>
      </c>
      <c r="G56" s="1"/>
      <c r="H56" s="29">
        <f t="shared" si="4"/>
        <v>1.976514313</v>
      </c>
      <c r="I56" s="1">
        <f t="shared" si="5"/>
        <v>123.49</v>
      </c>
      <c r="J56" s="113">
        <f t="shared" si="6"/>
        <v>-0.1098085122</v>
      </c>
      <c r="K56" s="29">
        <f t="shared" si="7"/>
        <v>1.976514313</v>
      </c>
      <c r="L56" s="65">
        <f t="shared" si="8"/>
        <v>272.205</v>
      </c>
      <c r="M56" s="25">
        <f t="shared" si="9"/>
        <v>-0.08903780756</v>
      </c>
      <c r="N56" s="65">
        <f t="shared" si="10"/>
        <v>130.8645</v>
      </c>
      <c r="O56" s="25">
        <f t="shared" si="11"/>
        <v>-0.034829195</v>
      </c>
      <c r="P56" s="25">
        <f t="shared" si="12"/>
        <v>-0.05420861256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IFERROR(__xludf.DUMMYFUNCTION("""COMPUTED_VALUE"""),46210.64583333333)</f>
        <v>46210.64583</v>
      </c>
      <c r="C57" s="1">
        <f>IFERROR(__xludf.DUMMYFUNCTION("""COMPUTED_VALUE"""),247.85)</f>
        <v>247.85</v>
      </c>
      <c r="D57" s="1"/>
      <c r="E57" s="112">
        <f>IFERROR(__xludf.DUMMYFUNCTION("""COMPUTED_VALUE"""),46210.64583333333)</f>
        <v>46210.64583</v>
      </c>
      <c r="F57" s="1">
        <f>IFERROR(__xludf.DUMMYFUNCTION("""COMPUTED_VALUE"""),125.03)</f>
        <v>125.03</v>
      </c>
      <c r="G57" s="1"/>
      <c r="H57" s="29">
        <f t="shared" si="4"/>
        <v>1.982324242</v>
      </c>
      <c r="I57" s="1">
        <f t="shared" si="5"/>
        <v>122.82</v>
      </c>
      <c r="J57" s="113">
        <f t="shared" si="6"/>
        <v>-0.1650794077</v>
      </c>
      <c r="K57" s="29">
        <f t="shared" si="7"/>
        <v>1.982324242</v>
      </c>
      <c r="L57" s="65">
        <f t="shared" si="8"/>
        <v>271.635</v>
      </c>
      <c r="M57" s="25">
        <f t="shared" si="9"/>
        <v>-0.09596530159</v>
      </c>
      <c r="N57" s="65">
        <f t="shared" si="10"/>
        <v>130.5205</v>
      </c>
      <c r="O57" s="25">
        <f t="shared" si="11"/>
        <v>-0.04391346077</v>
      </c>
      <c r="P57" s="25">
        <f t="shared" si="12"/>
        <v>-0.05205184082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IFERROR(__xludf.DUMMYFUNCTION("""COMPUTED_VALUE"""),46211.64583333333)</f>
        <v>46211.64583</v>
      </c>
      <c r="C58" s="1">
        <f>IFERROR(__xludf.DUMMYFUNCTION("""COMPUTED_VALUE"""),240.45)</f>
        <v>240.45</v>
      </c>
      <c r="D58" s="1"/>
      <c r="E58" s="112">
        <f>IFERROR(__xludf.DUMMYFUNCTION("""COMPUTED_VALUE"""),46211.64583333333)</f>
        <v>46211.64583</v>
      </c>
      <c r="F58" s="1">
        <f>IFERROR(__xludf.DUMMYFUNCTION("""COMPUTED_VALUE"""),121.15)</f>
        <v>121.15</v>
      </c>
      <c r="G58" s="1"/>
      <c r="H58" s="29">
        <f t="shared" si="4"/>
        <v>1.984729674</v>
      </c>
      <c r="I58" s="1">
        <f t="shared" si="5"/>
        <v>119.3</v>
      </c>
      <c r="J58" s="113">
        <f t="shared" si="6"/>
        <v>-0.4554578439</v>
      </c>
      <c r="K58" s="29">
        <f t="shared" si="7"/>
        <v>1.984729674</v>
      </c>
      <c r="L58" s="65">
        <f t="shared" si="8"/>
        <v>269.97</v>
      </c>
      <c r="M58" s="25">
        <f t="shared" si="9"/>
        <v>-0.1227698066</v>
      </c>
      <c r="N58" s="65">
        <f t="shared" si="10"/>
        <v>129.7025</v>
      </c>
      <c r="O58" s="25">
        <f t="shared" si="11"/>
        <v>-0.07059430458</v>
      </c>
      <c r="P58" s="25">
        <f t="shared" si="12"/>
        <v>-0.05217550203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IFERROR(__xludf.DUMMYFUNCTION("""COMPUTED_VALUE"""),46212.64583333333)</f>
        <v>46212.64583</v>
      </c>
      <c r="C59" s="1">
        <f>IFERROR(__xludf.DUMMYFUNCTION("""COMPUTED_VALUE"""),244.6)</f>
        <v>244.6</v>
      </c>
      <c r="D59" s="1"/>
      <c r="E59" s="112">
        <f>IFERROR(__xludf.DUMMYFUNCTION("""COMPUTED_VALUE"""),46212.64583333333)</f>
        <v>46212.64583</v>
      </c>
      <c r="F59" s="1">
        <f>IFERROR(__xludf.DUMMYFUNCTION("""COMPUTED_VALUE"""),124.8)</f>
        <v>124.8</v>
      </c>
      <c r="G59" s="1"/>
      <c r="H59" s="29">
        <f t="shared" si="4"/>
        <v>1.959935897</v>
      </c>
      <c r="I59" s="1">
        <f t="shared" si="5"/>
        <v>119.8</v>
      </c>
      <c r="J59" s="113">
        <f t="shared" si="6"/>
        <v>-0.414210907</v>
      </c>
      <c r="K59" s="29">
        <f t="shared" si="7"/>
        <v>1.959935897</v>
      </c>
      <c r="L59" s="65">
        <f t="shared" si="8"/>
        <v>268.735</v>
      </c>
      <c r="M59" s="25">
        <f t="shared" si="9"/>
        <v>-0.09867130008</v>
      </c>
      <c r="N59" s="65">
        <f t="shared" si="10"/>
        <v>129.2695</v>
      </c>
      <c r="O59" s="25">
        <f t="shared" si="11"/>
        <v>-0.03581330128</v>
      </c>
      <c r="P59" s="25">
        <f t="shared" si="12"/>
        <v>-0.0628579988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IFERROR(__xludf.DUMMYFUNCTION("""COMPUTED_VALUE"""),46213.64583333333)</f>
        <v>46213.64583</v>
      </c>
      <c r="C60" s="1">
        <f>IFERROR(__xludf.DUMMYFUNCTION("""COMPUTED_VALUE"""),250.95)</f>
        <v>250.95</v>
      </c>
      <c r="D60" s="1"/>
      <c r="E60" s="112">
        <f>IFERROR(__xludf.DUMMYFUNCTION("""COMPUTED_VALUE"""),46213.64583333333)</f>
        <v>46213.64583</v>
      </c>
      <c r="F60" s="1">
        <f>IFERROR(__xludf.DUMMYFUNCTION("""COMPUTED_VALUE"""),128.78)</f>
        <v>128.78</v>
      </c>
      <c r="G60" s="1"/>
      <c r="H60" s="29">
        <f t="shared" si="4"/>
        <v>1.948672154</v>
      </c>
      <c r="I60" s="1">
        <f t="shared" si="5"/>
        <v>122.17</v>
      </c>
      <c r="J60" s="113">
        <f t="shared" si="6"/>
        <v>-0.2187004258</v>
      </c>
      <c r="K60" s="29">
        <f t="shared" si="7"/>
        <v>1.948672154</v>
      </c>
      <c r="L60" s="65">
        <f t="shared" si="8"/>
        <v>267.9025</v>
      </c>
      <c r="M60" s="25">
        <f t="shared" si="9"/>
        <v>-0.06755329747</v>
      </c>
      <c r="N60" s="65">
        <f t="shared" si="10"/>
        <v>129.1325</v>
      </c>
      <c r="O60" s="25">
        <f t="shared" si="11"/>
        <v>-0.002737226277</v>
      </c>
      <c r="P60" s="25">
        <f t="shared" si="12"/>
        <v>-0.06481607119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IFERROR(__xludf.DUMMYFUNCTION("""COMPUTED_VALUE"""),46216.64583333333)</f>
        <v>46216.64583</v>
      </c>
      <c r="C61" s="1">
        <f>IFERROR(__xludf.DUMMYFUNCTION("""COMPUTED_VALUE"""),250.65)</f>
        <v>250.65</v>
      </c>
      <c r="D61" s="1"/>
      <c r="E61" s="112">
        <f>IFERROR(__xludf.DUMMYFUNCTION("""COMPUTED_VALUE"""),46216.64583333333)</f>
        <v>46216.64583</v>
      </c>
      <c r="F61" s="1">
        <f>IFERROR(__xludf.DUMMYFUNCTION("""COMPUTED_VALUE"""),129.33)</f>
        <v>129.33</v>
      </c>
      <c r="G61" s="1"/>
      <c r="H61" s="29">
        <f t="shared" si="4"/>
        <v>1.938065414</v>
      </c>
      <c r="I61" s="1">
        <f t="shared" si="5"/>
        <v>121.32</v>
      </c>
      <c r="J61" s="113">
        <f t="shared" si="6"/>
        <v>-0.2888202186</v>
      </c>
      <c r="K61" s="29">
        <f t="shared" si="7"/>
        <v>1.938065414</v>
      </c>
      <c r="L61" s="65">
        <f t="shared" si="8"/>
        <v>266.6975</v>
      </c>
      <c r="M61" s="25">
        <f t="shared" si="9"/>
        <v>-0.0640235388</v>
      </c>
      <c r="N61" s="65">
        <f t="shared" si="10"/>
        <v>129.0155</v>
      </c>
      <c r="O61" s="25">
        <f t="shared" si="11"/>
        <v>0.002431763705</v>
      </c>
      <c r="P61" s="25">
        <f t="shared" si="12"/>
        <v>-0.0664553025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IFERROR(__xludf.DUMMYFUNCTION("""COMPUTED_VALUE"""),46217.64583333333)</f>
        <v>46217.64583</v>
      </c>
      <c r="C62" s="1">
        <f>IFERROR(__xludf.DUMMYFUNCTION("""COMPUTED_VALUE"""),246.6)</f>
        <v>246.6</v>
      </c>
      <c r="D62" s="1"/>
      <c r="E62" s="112">
        <f>IFERROR(__xludf.DUMMYFUNCTION("""COMPUTED_VALUE"""),46217.64583333333)</f>
        <v>46217.64583</v>
      </c>
      <c r="F62" s="1">
        <f>IFERROR(__xludf.DUMMYFUNCTION("""COMPUTED_VALUE"""),125.74)</f>
        <v>125.74</v>
      </c>
      <c r="G62" s="1"/>
      <c r="H62" s="29">
        <f t="shared" si="4"/>
        <v>1.961189757</v>
      </c>
      <c r="I62" s="1">
        <f t="shared" si="5"/>
        <v>120.86</v>
      </c>
      <c r="J62" s="113">
        <f t="shared" si="6"/>
        <v>-0.3267674006</v>
      </c>
      <c r="K62" s="29">
        <f t="shared" si="7"/>
        <v>1.961189757</v>
      </c>
      <c r="L62" s="65">
        <f t="shared" si="8"/>
        <v>265.225</v>
      </c>
      <c r="M62" s="25">
        <f t="shared" si="9"/>
        <v>-0.07552716951</v>
      </c>
      <c r="N62" s="65">
        <f t="shared" si="10"/>
        <v>128.6925</v>
      </c>
      <c r="O62" s="25">
        <f t="shared" si="11"/>
        <v>-0.02348099252</v>
      </c>
      <c r="P62" s="25">
        <f t="shared" si="12"/>
        <v>-0.05204617698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IFERROR(__xludf.DUMMYFUNCTION("""COMPUTED_VALUE"""),46218.64583333333)</f>
        <v>46218.64583</v>
      </c>
      <c r="C63" s="1">
        <f>IFERROR(__xludf.DUMMYFUNCTION("""COMPUTED_VALUE"""),248.15)</f>
        <v>248.15</v>
      </c>
      <c r="D63" s="1"/>
      <c r="E63" s="112">
        <f>IFERROR(__xludf.DUMMYFUNCTION("""COMPUTED_VALUE"""),46218.64583333333)</f>
        <v>46218.64583</v>
      </c>
      <c r="F63" s="1">
        <f>IFERROR(__xludf.DUMMYFUNCTION("""COMPUTED_VALUE"""),126.47)</f>
        <v>126.47</v>
      </c>
      <c r="G63" s="1"/>
      <c r="H63" s="29">
        <f t="shared" si="4"/>
        <v>1.962125405</v>
      </c>
      <c r="I63" s="1">
        <f t="shared" si="5"/>
        <v>121.68</v>
      </c>
      <c r="J63" s="113">
        <f t="shared" si="6"/>
        <v>-0.259122424</v>
      </c>
      <c r="K63" s="29">
        <f t="shared" si="7"/>
        <v>1.962125405</v>
      </c>
      <c r="L63" s="65">
        <f t="shared" si="8"/>
        <v>263.865</v>
      </c>
      <c r="M63" s="25">
        <f t="shared" si="9"/>
        <v>-0.06332863188</v>
      </c>
      <c r="N63" s="65">
        <f t="shared" si="10"/>
        <v>128.3745</v>
      </c>
      <c r="O63" s="25">
        <f t="shared" si="11"/>
        <v>-0.01505890725</v>
      </c>
      <c r="P63" s="25">
        <f t="shared" si="12"/>
        <v>-0.04826972463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IFERROR(__xludf.DUMMYFUNCTION("""COMPUTED_VALUE"""),46219.64583333333)</f>
        <v>46219.64583</v>
      </c>
      <c r="C64" s="1">
        <f>IFERROR(__xludf.DUMMYFUNCTION("""COMPUTED_VALUE"""),248.3)</f>
        <v>248.3</v>
      </c>
      <c r="D64" s="1"/>
      <c r="E64" s="112">
        <f>IFERROR(__xludf.DUMMYFUNCTION("""COMPUTED_VALUE"""),46219.64583333333)</f>
        <v>46219.64583</v>
      </c>
      <c r="F64" s="1">
        <f>IFERROR(__xludf.DUMMYFUNCTION("""COMPUTED_VALUE"""),125.9)</f>
        <v>125.9</v>
      </c>
      <c r="G64" s="1"/>
      <c r="H64" s="29">
        <f t="shared" si="4"/>
        <v>1.972200159</v>
      </c>
      <c r="I64" s="1">
        <f t="shared" si="5"/>
        <v>122.4</v>
      </c>
      <c r="J64" s="113">
        <f t="shared" si="6"/>
        <v>-0.1997268348</v>
      </c>
      <c r="K64" s="29">
        <f t="shared" si="7"/>
        <v>1.972200159</v>
      </c>
      <c r="L64" s="65">
        <f t="shared" si="8"/>
        <v>262.1875</v>
      </c>
      <c r="M64" s="25">
        <f t="shared" si="9"/>
        <v>-0.05593032622</v>
      </c>
      <c r="N64" s="65">
        <f t="shared" si="10"/>
        <v>127.9075</v>
      </c>
      <c r="O64" s="25">
        <f t="shared" si="11"/>
        <v>-0.0159451946</v>
      </c>
      <c r="P64" s="25">
        <f t="shared" si="12"/>
        <v>-0.03998513162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IFERROR(__xludf.DUMMYFUNCTION("""COMPUTED_VALUE"""),46220.64583333333)</f>
        <v>46220.64583</v>
      </c>
      <c r="C65" s="1">
        <f>IFERROR(__xludf.DUMMYFUNCTION("""COMPUTED_VALUE"""),246.8)</f>
        <v>246.8</v>
      </c>
      <c r="D65" s="1"/>
      <c r="E65" s="112">
        <f>IFERROR(__xludf.DUMMYFUNCTION("""COMPUTED_VALUE"""),46220.64583333333)</f>
        <v>46220.64583</v>
      </c>
      <c r="F65" s="1">
        <f>IFERROR(__xludf.DUMMYFUNCTION("""COMPUTED_VALUE"""),125.01)</f>
        <v>125.01</v>
      </c>
      <c r="G65" s="1"/>
      <c r="H65" s="29">
        <f t="shared" si="4"/>
        <v>1.974242061</v>
      </c>
      <c r="I65" s="1">
        <f t="shared" si="5"/>
        <v>121.79</v>
      </c>
      <c r="J65" s="113">
        <f t="shared" si="6"/>
        <v>-0.2500480979</v>
      </c>
      <c r="K65" s="29">
        <f t="shared" si="7"/>
        <v>1.974242061</v>
      </c>
      <c r="L65" s="65">
        <f t="shared" si="8"/>
        <v>260.3775</v>
      </c>
      <c r="M65" s="25">
        <f t="shared" si="9"/>
        <v>-0.05501418152</v>
      </c>
      <c r="N65" s="65">
        <f t="shared" si="10"/>
        <v>127.4095</v>
      </c>
      <c r="O65" s="25">
        <f t="shared" si="11"/>
        <v>-0.01919446444</v>
      </c>
      <c r="P65" s="25">
        <f t="shared" si="12"/>
        <v>-0.03581971708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IFERROR(__xludf.DUMMYFUNCTION("""COMPUTED_VALUE"""),46223.64583333333)</f>
        <v>46223.64583</v>
      </c>
      <c r="C66" s="1">
        <f>IFERROR(__xludf.DUMMYFUNCTION("""COMPUTED_VALUE"""),254.85)</f>
        <v>254.85</v>
      </c>
      <c r="D66" s="1"/>
      <c r="E66" s="112">
        <f>IFERROR(__xludf.DUMMYFUNCTION("""COMPUTED_VALUE"""),46223.64583333333)</f>
        <v>46223.64583</v>
      </c>
      <c r="F66" s="1">
        <f>IFERROR(__xludf.DUMMYFUNCTION("""COMPUTED_VALUE"""),128.82)</f>
        <v>128.82</v>
      </c>
      <c r="G66" s="1"/>
      <c r="H66" s="29">
        <f t="shared" si="4"/>
        <v>1.978341872</v>
      </c>
      <c r="I66" s="1">
        <f t="shared" si="5"/>
        <v>126.03</v>
      </c>
      <c r="J66" s="113">
        <f t="shared" si="6"/>
        <v>0.09972592759</v>
      </c>
      <c r="K66" s="29">
        <f t="shared" si="7"/>
        <v>1.978341872</v>
      </c>
      <c r="L66" s="65">
        <f t="shared" si="8"/>
        <v>259.0675</v>
      </c>
      <c r="M66" s="25">
        <f t="shared" si="9"/>
        <v>-0.01654895036</v>
      </c>
      <c r="N66" s="65">
        <f t="shared" si="10"/>
        <v>127.1635</v>
      </c>
      <c r="O66" s="25">
        <f t="shared" si="11"/>
        <v>0.0128590281</v>
      </c>
      <c r="P66" s="25">
        <f t="shared" si="12"/>
        <v>-0.02940797846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IFERROR(__xludf.DUMMYFUNCTION("""COMPUTED_VALUE"""),46224.64583333333)</f>
        <v>46224.64583</v>
      </c>
      <c r="C67" s="1">
        <f>IFERROR(__xludf.DUMMYFUNCTION("""COMPUTED_VALUE"""),247.7)</f>
        <v>247.7</v>
      </c>
      <c r="D67" s="1"/>
      <c r="E67" s="112">
        <f>IFERROR(__xludf.DUMMYFUNCTION("""COMPUTED_VALUE"""),46224.64583333333)</f>
        <v>46224.64583</v>
      </c>
      <c r="F67" s="1">
        <f>IFERROR(__xludf.DUMMYFUNCTION("""COMPUTED_VALUE"""),127.52)</f>
        <v>127.52</v>
      </c>
      <c r="G67" s="1"/>
      <c r="H67" s="29">
        <f t="shared" si="4"/>
        <v>1.942440402</v>
      </c>
      <c r="I67" s="1">
        <f t="shared" si="5"/>
        <v>120.18</v>
      </c>
      <c r="J67" s="113">
        <f t="shared" si="6"/>
        <v>-0.3828632349</v>
      </c>
      <c r="K67" s="29">
        <f t="shared" si="7"/>
        <v>1.942440402</v>
      </c>
      <c r="L67" s="65">
        <f t="shared" si="8"/>
        <v>257.15</v>
      </c>
      <c r="M67" s="25">
        <f t="shared" si="9"/>
        <v>-0.0381509891</v>
      </c>
      <c r="N67" s="65">
        <f t="shared" si="10"/>
        <v>126.7985</v>
      </c>
      <c r="O67" s="25">
        <f t="shared" si="11"/>
        <v>0.00565793601</v>
      </c>
      <c r="P67" s="25">
        <f t="shared" si="12"/>
        <v>-0.04380892511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IFERROR(__xludf.DUMMYFUNCTION("""COMPUTED_VALUE"""),46225.64583333333)</f>
        <v>46225.64583</v>
      </c>
      <c r="C68" s="1">
        <f>IFERROR(__xludf.DUMMYFUNCTION("""COMPUTED_VALUE"""),245.75)</f>
        <v>245.75</v>
      </c>
      <c r="D68" s="1"/>
      <c r="E68" s="112">
        <f>IFERROR(__xludf.DUMMYFUNCTION("""COMPUTED_VALUE"""),46225.64583333333)</f>
        <v>46225.64583</v>
      </c>
      <c r="F68" s="1">
        <f>IFERROR(__xludf.DUMMYFUNCTION("""COMPUTED_VALUE"""),126.46)</f>
        <v>126.46</v>
      </c>
      <c r="G68" s="1"/>
      <c r="H68" s="29">
        <f t="shared" si="4"/>
        <v>1.94330223</v>
      </c>
      <c r="I68" s="1">
        <f t="shared" si="5"/>
        <v>119.29</v>
      </c>
      <c r="J68" s="113">
        <f t="shared" si="6"/>
        <v>-0.4562827827</v>
      </c>
      <c r="K68" s="29">
        <f t="shared" si="7"/>
        <v>1.94330223</v>
      </c>
      <c r="L68" s="65">
        <f t="shared" si="8"/>
        <v>255.5475</v>
      </c>
      <c r="M68" s="25">
        <f t="shared" si="9"/>
        <v>-0.03986775178</v>
      </c>
      <c r="N68" s="65">
        <f t="shared" si="10"/>
        <v>126.603</v>
      </c>
      <c r="O68" s="25">
        <f t="shared" si="11"/>
        <v>-0.001130792345</v>
      </c>
      <c r="P68" s="25">
        <f t="shared" si="12"/>
        <v>-0.03873695943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IFERROR(__xludf.DUMMYFUNCTION("""COMPUTED_VALUE"""),46226.64583333333)</f>
        <v>46226.64583</v>
      </c>
      <c r="C69" s="1">
        <f>IFERROR(__xludf.DUMMYFUNCTION("""COMPUTED_VALUE"""),243.15)</f>
        <v>243.15</v>
      </c>
      <c r="D69" s="1"/>
      <c r="E69" s="112">
        <f>IFERROR(__xludf.DUMMYFUNCTION("""COMPUTED_VALUE"""),46226.64583333333)</f>
        <v>46226.64583</v>
      </c>
      <c r="F69" s="1">
        <f>IFERROR(__xludf.DUMMYFUNCTION("""COMPUTED_VALUE"""),125.22)</f>
        <v>125.22</v>
      </c>
      <c r="G69" s="1"/>
      <c r="H69" s="29">
        <f t="shared" si="4"/>
        <v>1.941782463</v>
      </c>
      <c r="I69" s="1">
        <f t="shared" si="5"/>
        <v>117.93</v>
      </c>
      <c r="J69" s="113">
        <f t="shared" si="6"/>
        <v>-0.5684744512</v>
      </c>
      <c r="K69" s="29">
        <f t="shared" si="7"/>
        <v>1.941782463</v>
      </c>
      <c r="L69" s="65">
        <f t="shared" si="8"/>
        <v>253.71</v>
      </c>
      <c r="M69" s="25">
        <f t="shared" si="9"/>
        <v>-0.04342998149</v>
      </c>
      <c r="N69" s="65">
        <f t="shared" si="10"/>
        <v>126.3565</v>
      </c>
      <c r="O69" s="25">
        <f t="shared" si="11"/>
        <v>-0.009076026194</v>
      </c>
      <c r="P69" s="25">
        <f t="shared" si="12"/>
        <v>-0.0343539553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IFERROR(__xludf.DUMMYFUNCTION("""COMPUTED_VALUE"""),46227.64583333333)</f>
        <v>46227.64583</v>
      </c>
      <c r="C70" s="1">
        <f>IFERROR(__xludf.DUMMYFUNCTION("""COMPUTED_VALUE"""),246.45)</f>
        <v>246.45</v>
      </c>
      <c r="D70" s="1"/>
      <c r="E70" s="112">
        <f>IFERROR(__xludf.DUMMYFUNCTION("""COMPUTED_VALUE"""),46227.64583333333)</f>
        <v>46227.64583</v>
      </c>
      <c r="F70" s="1">
        <f>IFERROR(__xludf.DUMMYFUNCTION("""COMPUTED_VALUE"""),125.65)</f>
        <v>125.65</v>
      </c>
      <c r="G70" s="1"/>
      <c r="H70" s="29">
        <f t="shared" si="4"/>
        <v>1.961400716</v>
      </c>
      <c r="I70" s="1">
        <f t="shared" si="5"/>
        <v>120.8</v>
      </c>
      <c r="J70" s="113">
        <f t="shared" si="6"/>
        <v>-0.331717033</v>
      </c>
      <c r="K70" s="29">
        <f t="shared" si="7"/>
        <v>1.961400716</v>
      </c>
      <c r="L70" s="65">
        <f t="shared" si="8"/>
        <v>252.075</v>
      </c>
      <c r="M70" s="25">
        <f t="shared" si="9"/>
        <v>-0.02282410225</v>
      </c>
      <c r="N70" s="65">
        <f t="shared" si="10"/>
        <v>126.1915</v>
      </c>
      <c r="O70" s="25">
        <f t="shared" si="11"/>
        <v>-0.004309590131</v>
      </c>
      <c r="P70" s="25">
        <f t="shared" si="12"/>
        <v>-0.01851451212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IFERROR(__xludf.DUMMYFUNCTION("""COMPUTED_VALUE"""),46230.64583333333)</f>
        <v>46230.64583</v>
      </c>
      <c r="C71" s="1">
        <f>IFERROR(__xludf.DUMMYFUNCTION("""COMPUTED_VALUE"""),244.0)</f>
        <v>244</v>
      </c>
      <c r="D71" s="1"/>
      <c r="E71" s="112">
        <f>IFERROR(__xludf.DUMMYFUNCTION("""COMPUTED_VALUE"""),46230.64583333333)</f>
        <v>46230.64583</v>
      </c>
      <c r="F71" s="1">
        <f>IFERROR(__xludf.DUMMYFUNCTION("""COMPUTED_VALUE"""),127.26)</f>
        <v>127.26</v>
      </c>
      <c r="G71" s="1"/>
      <c r="H71" s="29">
        <f t="shared" si="4"/>
        <v>1.917334591</v>
      </c>
      <c r="I71" s="1">
        <f t="shared" si="5"/>
        <v>116.74</v>
      </c>
      <c r="J71" s="113">
        <f t="shared" si="6"/>
        <v>-0.6666421612</v>
      </c>
      <c r="K71" s="29">
        <f t="shared" si="7"/>
        <v>1.917334591</v>
      </c>
      <c r="L71" s="65">
        <f t="shared" si="8"/>
        <v>250.635</v>
      </c>
      <c r="M71" s="25">
        <f t="shared" si="9"/>
        <v>-0.02719262295</v>
      </c>
      <c r="N71" s="65">
        <f t="shared" si="10"/>
        <v>126.2615</v>
      </c>
      <c r="O71" s="25">
        <f t="shared" si="11"/>
        <v>0.007846141757</v>
      </c>
      <c r="P71" s="25">
        <f t="shared" si="12"/>
        <v>-0.03503876471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IFERROR(__xludf.DUMMYFUNCTION("""COMPUTED_VALUE"""),46231.64583333333)</f>
        <v>46231.64583</v>
      </c>
      <c r="C72" s="1">
        <f>IFERROR(__xludf.DUMMYFUNCTION("""COMPUTED_VALUE"""),239.2)</f>
        <v>239.2</v>
      </c>
      <c r="D72" s="1"/>
      <c r="E72" s="112">
        <f>IFERROR(__xludf.DUMMYFUNCTION("""COMPUTED_VALUE"""),46231.64583333333)</f>
        <v>46231.64583</v>
      </c>
      <c r="F72" s="1">
        <f>IFERROR(__xludf.DUMMYFUNCTION("""COMPUTED_VALUE"""),124.24)</f>
        <v>124.24</v>
      </c>
      <c r="G72" s="1"/>
      <c r="H72" s="29">
        <f t="shared" si="4"/>
        <v>1.92530586</v>
      </c>
      <c r="I72" s="1">
        <f t="shared" si="5"/>
        <v>114.96</v>
      </c>
      <c r="J72" s="113">
        <f t="shared" si="6"/>
        <v>-0.8134812568</v>
      </c>
      <c r="K72" s="29">
        <f t="shared" si="7"/>
        <v>1.92530586</v>
      </c>
      <c r="L72" s="65">
        <f t="shared" si="8"/>
        <v>248.975</v>
      </c>
      <c r="M72" s="25">
        <f t="shared" si="9"/>
        <v>-0.04086538462</v>
      </c>
      <c r="N72" s="65">
        <f t="shared" si="10"/>
        <v>126.1975</v>
      </c>
      <c r="O72" s="25">
        <f t="shared" si="11"/>
        <v>-0.01575579524</v>
      </c>
      <c r="P72" s="25">
        <f t="shared" si="12"/>
        <v>-0.02510958938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IFERROR(__xludf.DUMMYFUNCTION("""COMPUTED_VALUE"""),46232.64583333333)</f>
        <v>46232.64583</v>
      </c>
      <c r="C73" s="1">
        <f>IFERROR(__xludf.DUMMYFUNCTION("""COMPUTED_VALUE"""),243.35)</f>
        <v>243.35</v>
      </c>
      <c r="D73" s="1"/>
      <c r="E73" s="112">
        <f>IFERROR(__xludf.DUMMYFUNCTION("""COMPUTED_VALUE"""),46232.64583333333)</f>
        <v>46232.64583</v>
      </c>
      <c r="F73" s="1">
        <f>IFERROR(__xludf.DUMMYFUNCTION("""COMPUTED_VALUE"""),124.72)</f>
        <v>124.72</v>
      </c>
      <c r="G73" s="1"/>
      <c r="H73" s="29">
        <f t="shared" si="4"/>
        <v>1.951170622</v>
      </c>
      <c r="I73" s="1">
        <f t="shared" si="5"/>
        <v>118.63</v>
      </c>
      <c r="J73" s="113">
        <f t="shared" si="6"/>
        <v>-0.5107287395</v>
      </c>
      <c r="K73" s="29">
        <f t="shared" si="7"/>
        <v>1.951170622</v>
      </c>
      <c r="L73" s="65">
        <f t="shared" si="8"/>
        <v>247.56</v>
      </c>
      <c r="M73" s="25">
        <f t="shared" si="9"/>
        <v>-0.01730018492</v>
      </c>
      <c r="N73" s="65">
        <f t="shared" si="10"/>
        <v>126.1195</v>
      </c>
      <c r="O73" s="25">
        <f t="shared" si="11"/>
        <v>-0.01122113534</v>
      </c>
      <c r="P73" s="25">
        <f t="shared" si="12"/>
        <v>-0.006079049576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IFERROR(__xludf.DUMMYFUNCTION("""COMPUTED_VALUE"""),46233.64583333333)</f>
        <v>46233.64583</v>
      </c>
      <c r="C74" s="1">
        <f>IFERROR(__xludf.DUMMYFUNCTION("""COMPUTED_VALUE"""),241.65)</f>
        <v>241.65</v>
      </c>
      <c r="D74" s="1"/>
      <c r="E74" s="112">
        <f>IFERROR(__xludf.DUMMYFUNCTION("""COMPUTED_VALUE"""),46233.64583333333)</f>
        <v>46233.64583</v>
      </c>
      <c r="F74" s="1">
        <f>IFERROR(__xludf.DUMMYFUNCTION("""COMPUTED_VALUE"""),124.28)</f>
        <v>124.28</v>
      </c>
      <c r="G74" s="1"/>
      <c r="H74" s="29">
        <f t="shared" si="4"/>
        <v>1.944399743</v>
      </c>
      <c r="I74" s="1">
        <f t="shared" si="5"/>
        <v>117.37</v>
      </c>
      <c r="J74" s="113">
        <f t="shared" si="6"/>
        <v>-0.6146710206</v>
      </c>
      <c r="K74" s="29">
        <f t="shared" si="7"/>
        <v>1.944399743</v>
      </c>
      <c r="L74" s="65">
        <f t="shared" si="8"/>
        <v>246.63</v>
      </c>
      <c r="M74" s="25">
        <f t="shared" si="9"/>
        <v>-0.02060831782</v>
      </c>
      <c r="N74" s="65">
        <f t="shared" si="10"/>
        <v>126.0015</v>
      </c>
      <c r="O74" s="25">
        <f t="shared" si="11"/>
        <v>-0.01385178629</v>
      </c>
      <c r="P74" s="25">
        <f t="shared" si="12"/>
        <v>-0.006756531526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IFERROR(__xludf.DUMMYFUNCTION("""COMPUTED_VALUE"""),46234.64583333333)</f>
        <v>46234.64583</v>
      </c>
      <c r="C75" s="1">
        <f>IFERROR(__xludf.DUMMYFUNCTION("""COMPUTED_VALUE"""),242.6)</f>
        <v>242.6</v>
      </c>
      <c r="D75" s="1"/>
      <c r="E75" s="112">
        <f>IFERROR(__xludf.DUMMYFUNCTION("""COMPUTED_VALUE"""),46234.64583333333)</f>
        <v>46234.64583</v>
      </c>
      <c r="F75" s="1">
        <f>IFERROR(__xludf.DUMMYFUNCTION("""COMPUTED_VALUE"""),124.98)</f>
        <v>124.98</v>
      </c>
      <c r="G75" s="1"/>
      <c r="H75" s="29">
        <f t="shared" si="4"/>
        <v>1.941110578</v>
      </c>
      <c r="I75" s="1">
        <f t="shared" si="5"/>
        <v>117.62</v>
      </c>
      <c r="J75" s="113">
        <f t="shared" si="6"/>
        <v>-0.5940475521</v>
      </c>
      <c r="K75" s="29">
        <f t="shared" si="7"/>
        <v>1.941110578</v>
      </c>
      <c r="L75" s="65">
        <f t="shared" si="8"/>
        <v>246.15</v>
      </c>
      <c r="M75" s="25">
        <f t="shared" si="9"/>
        <v>-0.01463314097</v>
      </c>
      <c r="N75" s="65">
        <f t="shared" si="10"/>
        <v>125.891</v>
      </c>
      <c r="O75" s="25">
        <f t="shared" si="11"/>
        <v>-0.007289166267</v>
      </c>
      <c r="P75" s="25">
        <f t="shared" si="12"/>
        <v>-0.007343974706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IFERROR(__xludf.DUMMYFUNCTION("""COMPUTED_VALUE"""),46237.64583333333)</f>
        <v>46237.64583</v>
      </c>
      <c r="C76" s="1">
        <f>IFERROR(__xludf.DUMMYFUNCTION("""COMPUTED_VALUE"""),247.25)</f>
        <v>247.25</v>
      </c>
      <c r="D76" s="1"/>
      <c r="E76" s="112">
        <f>IFERROR(__xludf.DUMMYFUNCTION("""COMPUTED_VALUE"""),46237.64583333333)</f>
        <v>46237.64583</v>
      </c>
      <c r="F76" s="1">
        <f>IFERROR(__xludf.DUMMYFUNCTION("""COMPUTED_VALUE"""),127.1)</f>
        <v>127.1</v>
      </c>
      <c r="G76" s="1"/>
      <c r="H76" s="29">
        <f t="shared" si="4"/>
        <v>1.945318647</v>
      </c>
      <c r="I76" s="1">
        <f t="shared" si="5"/>
        <v>120.15</v>
      </c>
      <c r="J76" s="113">
        <f t="shared" si="6"/>
        <v>-0.3853380511</v>
      </c>
      <c r="K76" s="29">
        <f t="shared" si="7"/>
        <v>1.945318647</v>
      </c>
      <c r="L76" s="65">
        <f t="shared" si="8"/>
        <v>246.015</v>
      </c>
      <c r="M76" s="25">
        <f t="shared" si="9"/>
        <v>0.004994944388</v>
      </c>
      <c r="N76" s="65">
        <f t="shared" si="10"/>
        <v>125.923</v>
      </c>
      <c r="O76" s="25">
        <f t="shared" si="11"/>
        <v>0.009260424862</v>
      </c>
      <c r="P76" s="25">
        <f t="shared" si="12"/>
        <v>-0.004265480474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IFERROR(__xludf.DUMMYFUNCTION("""COMPUTED_VALUE"""),46238.64583333333)</f>
        <v>46238.64583</v>
      </c>
      <c r="C77" s="1">
        <f>IFERROR(__xludf.DUMMYFUNCTION("""COMPUTED_VALUE"""),245.0)</f>
        <v>245</v>
      </c>
      <c r="D77" s="1"/>
      <c r="E77" s="112">
        <f>IFERROR(__xludf.DUMMYFUNCTION("""COMPUTED_VALUE"""),46238.64583333333)</f>
        <v>46238.64583</v>
      </c>
      <c r="F77" s="1">
        <f>IFERROR(__xludf.DUMMYFUNCTION("""COMPUTED_VALUE"""),128.0)</f>
        <v>128</v>
      </c>
      <c r="G77" s="1"/>
      <c r="H77" s="29">
        <f t="shared" si="4"/>
        <v>1.9140625</v>
      </c>
      <c r="I77" s="1">
        <f t="shared" si="5"/>
        <v>117</v>
      </c>
      <c r="J77" s="113">
        <f t="shared" si="6"/>
        <v>-0.645193754</v>
      </c>
      <c r="K77" s="29">
        <f t="shared" si="7"/>
        <v>1.9140625</v>
      </c>
      <c r="L77" s="65">
        <f t="shared" si="8"/>
        <v>245.8725</v>
      </c>
      <c r="M77" s="25">
        <f t="shared" si="9"/>
        <v>-0.00356122449</v>
      </c>
      <c r="N77" s="65">
        <f t="shared" si="10"/>
        <v>126.0715</v>
      </c>
      <c r="O77" s="25">
        <f t="shared" si="11"/>
        <v>0.01506640625</v>
      </c>
      <c r="P77" s="25">
        <f t="shared" si="12"/>
        <v>-0.01862763074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IFERROR(__xludf.DUMMYFUNCTION("""COMPUTED_VALUE"""),46239.64583333333)</f>
        <v>46239.64583</v>
      </c>
      <c r="C78" s="1">
        <f>IFERROR(__xludf.DUMMYFUNCTION("""COMPUTED_VALUE"""),245.6)</f>
        <v>245.6</v>
      </c>
      <c r="D78" s="1"/>
      <c r="E78" s="112">
        <f>IFERROR(__xludf.DUMMYFUNCTION("""COMPUTED_VALUE"""),46239.64583333333)</f>
        <v>46239.64583</v>
      </c>
      <c r="F78" s="1">
        <f>IFERROR(__xludf.DUMMYFUNCTION("""COMPUTED_VALUE"""),128.91)</f>
        <v>128.91</v>
      </c>
      <c r="G78" s="1"/>
      <c r="H78" s="29">
        <f t="shared" si="4"/>
        <v>1.905205182</v>
      </c>
      <c r="I78" s="1">
        <f t="shared" si="5"/>
        <v>116.69</v>
      </c>
      <c r="J78" s="113">
        <f t="shared" si="6"/>
        <v>-0.6707668549</v>
      </c>
      <c r="K78" s="29">
        <f t="shared" si="7"/>
        <v>1.905205182</v>
      </c>
      <c r="L78" s="65">
        <f t="shared" si="8"/>
        <v>246.13</v>
      </c>
      <c r="M78" s="25">
        <f t="shared" si="9"/>
        <v>-0.002157980456</v>
      </c>
      <c r="N78" s="65">
        <f t="shared" si="10"/>
        <v>126.4595</v>
      </c>
      <c r="O78" s="25">
        <f t="shared" si="11"/>
        <v>0.01900938639</v>
      </c>
      <c r="P78" s="25">
        <f t="shared" si="12"/>
        <v>-0.02116736685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IFERROR(__xludf.DUMMYFUNCTION("""COMPUTED_VALUE"""),46240.64583333333)</f>
        <v>46240.64583</v>
      </c>
      <c r="C79" s="1">
        <f>IFERROR(__xludf.DUMMYFUNCTION("""COMPUTED_VALUE"""),251.0)</f>
        <v>251</v>
      </c>
      <c r="D79" s="1"/>
      <c r="E79" s="112">
        <f>IFERROR(__xludf.DUMMYFUNCTION("""COMPUTED_VALUE"""),46240.64583333333)</f>
        <v>46240.64583</v>
      </c>
      <c r="F79" s="1">
        <f>IFERROR(__xludf.DUMMYFUNCTION("""COMPUTED_VALUE"""),131.7)</f>
        <v>131.7</v>
      </c>
      <c r="G79" s="1"/>
      <c r="H79" s="29">
        <f t="shared" si="4"/>
        <v>1.905846621</v>
      </c>
      <c r="I79" s="1">
        <f t="shared" si="5"/>
        <v>119.3</v>
      </c>
      <c r="J79" s="113">
        <f t="shared" si="6"/>
        <v>-0.4554578439</v>
      </c>
      <c r="K79" s="29">
        <f t="shared" si="7"/>
        <v>1.905846621</v>
      </c>
      <c r="L79" s="65">
        <f t="shared" si="8"/>
        <v>246.45</v>
      </c>
      <c r="M79" s="25">
        <f t="shared" si="9"/>
        <v>0.01812749004</v>
      </c>
      <c r="N79" s="65">
        <f t="shared" si="10"/>
        <v>126.8045</v>
      </c>
      <c r="O79" s="25">
        <f t="shared" si="11"/>
        <v>0.03717160213</v>
      </c>
      <c r="P79" s="25">
        <f t="shared" si="12"/>
        <v>-0.01904411209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IFERROR(__xludf.DUMMYFUNCTION("""COMPUTED_VALUE"""),46241.64583333333)</f>
        <v>46241.64583</v>
      </c>
      <c r="C80" s="1">
        <f>IFERROR(__xludf.DUMMYFUNCTION("""COMPUTED_VALUE"""),250.7)</f>
        <v>250.7</v>
      </c>
      <c r="D80" s="1"/>
      <c r="E80" s="112">
        <f>IFERROR(__xludf.DUMMYFUNCTION("""COMPUTED_VALUE"""),46241.64583333333)</f>
        <v>46241.64583</v>
      </c>
      <c r="F80" s="1">
        <f>IFERROR(__xludf.DUMMYFUNCTION("""COMPUTED_VALUE"""),131.95)</f>
        <v>131.95</v>
      </c>
      <c r="G80" s="1"/>
      <c r="H80" s="29">
        <f t="shared" si="4"/>
        <v>1.899962107</v>
      </c>
      <c r="I80" s="1">
        <f t="shared" si="5"/>
        <v>118.75</v>
      </c>
      <c r="J80" s="113">
        <f t="shared" si="6"/>
        <v>-0.5008294746</v>
      </c>
      <c r="K80" s="29">
        <f t="shared" si="7"/>
        <v>1.899962107</v>
      </c>
      <c r="L80" s="65">
        <f t="shared" si="8"/>
        <v>246.4375</v>
      </c>
      <c r="M80" s="25">
        <f t="shared" si="9"/>
        <v>0.0170023933</v>
      </c>
      <c r="N80" s="65">
        <f t="shared" si="10"/>
        <v>126.963</v>
      </c>
      <c r="O80" s="25">
        <f t="shared" si="11"/>
        <v>0.03779461917</v>
      </c>
      <c r="P80" s="25">
        <f t="shared" si="12"/>
        <v>-0.02079222588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IFERROR(__xludf.DUMMYFUNCTION("""COMPUTED_VALUE"""),46244.64583333333)</f>
        <v>46244.64583</v>
      </c>
      <c r="C81" s="1">
        <f>IFERROR(__xludf.DUMMYFUNCTION("""COMPUTED_VALUE"""),247.81)</f>
        <v>247.81</v>
      </c>
      <c r="D81" s="1"/>
      <c r="E81" s="112">
        <f>IFERROR(__xludf.DUMMYFUNCTION("""COMPUTED_VALUE"""),46244.64583333333)</f>
        <v>46244.64583</v>
      </c>
      <c r="F81" s="1">
        <f>IFERROR(__xludf.DUMMYFUNCTION("""COMPUTED_VALUE"""),129.0)</f>
        <v>129</v>
      </c>
      <c r="G81" s="1"/>
      <c r="H81" s="29">
        <f t="shared" si="4"/>
        <v>1.921007752</v>
      </c>
      <c r="I81" s="1">
        <f t="shared" si="5"/>
        <v>118.81</v>
      </c>
      <c r="J81" s="113">
        <f t="shared" si="6"/>
        <v>-0.4958798421</v>
      </c>
      <c r="K81" s="29">
        <f t="shared" si="7"/>
        <v>1.921007752</v>
      </c>
      <c r="L81" s="65">
        <f t="shared" si="8"/>
        <v>246.2955</v>
      </c>
      <c r="M81" s="25">
        <f t="shared" si="9"/>
        <v>0.006111537065</v>
      </c>
      <c r="N81" s="65">
        <f t="shared" si="10"/>
        <v>126.9465</v>
      </c>
      <c r="O81" s="25">
        <f t="shared" si="11"/>
        <v>0.01591860465</v>
      </c>
      <c r="P81" s="25">
        <f t="shared" si="12"/>
        <v>-0.009807067586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IFERROR(__xludf.DUMMYFUNCTION("""COMPUTED_VALUE"""),46245.64583333333)</f>
        <v>46245.64583</v>
      </c>
      <c r="C82" s="1">
        <f>IFERROR(__xludf.DUMMYFUNCTION("""COMPUTED_VALUE"""),246.2)</f>
        <v>246.2</v>
      </c>
      <c r="D82" s="1"/>
      <c r="E82" s="112">
        <f>IFERROR(__xludf.DUMMYFUNCTION("""COMPUTED_VALUE"""),46245.64583333333)</f>
        <v>46245.64583</v>
      </c>
      <c r="F82" s="1">
        <f>IFERROR(__xludf.DUMMYFUNCTION("""COMPUTED_VALUE"""),130.3)</f>
        <v>130.3</v>
      </c>
      <c r="G82" s="1"/>
      <c r="H82" s="29">
        <f t="shared" si="4"/>
        <v>1.889485802</v>
      </c>
      <c r="I82" s="1">
        <f t="shared" si="5"/>
        <v>115.9</v>
      </c>
      <c r="J82" s="113">
        <f t="shared" si="6"/>
        <v>-0.7359370153</v>
      </c>
      <c r="K82" s="29">
        <f t="shared" si="7"/>
        <v>1.889485802</v>
      </c>
      <c r="L82" s="65">
        <f t="shared" si="8"/>
        <v>246.2755</v>
      </c>
      <c r="M82" s="25">
        <f t="shared" si="9"/>
        <v>-0.000306661251</v>
      </c>
      <c r="N82" s="65">
        <f t="shared" si="10"/>
        <v>127.1745</v>
      </c>
      <c r="O82" s="25">
        <f t="shared" si="11"/>
        <v>0.02398695318</v>
      </c>
      <c r="P82" s="25">
        <f t="shared" si="12"/>
        <v>-0.02429361444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IFERROR(__xludf.DUMMYFUNCTION("""COMPUTED_VALUE"""),46246.64583333333)</f>
        <v>46246.64583</v>
      </c>
      <c r="C83" s="1">
        <f>IFERROR(__xludf.DUMMYFUNCTION("""COMPUTED_VALUE"""),251.0)</f>
        <v>251</v>
      </c>
      <c r="D83" s="1"/>
      <c r="E83" s="112">
        <f>IFERROR(__xludf.DUMMYFUNCTION("""COMPUTED_VALUE"""),46246.64583333333)</f>
        <v>46246.64583</v>
      </c>
      <c r="F83" s="1">
        <f>IFERROR(__xludf.DUMMYFUNCTION("""COMPUTED_VALUE"""),132.0)</f>
        <v>132</v>
      </c>
      <c r="G83" s="1"/>
      <c r="H83" s="29">
        <f t="shared" si="4"/>
        <v>1.901515152</v>
      </c>
      <c r="I83" s="1">
        <f t="shared" si="5"/>
        <v>119</v>
      </c>
      <c r="J83" s="113">
        <f t="shared" si="6"/>
        <v>-0.4802060061</v>
      </c>
      <c r="K83" s="29">
        <f t="shared" si="7"/>
        <v>1.901515152</v>
      </c>
      <c r="L83" s="65">
        <f t="shared" si="8"/>
        <v>246.418</v>
      </c>
      <c r="M83" s="25">
        <f t="shared" si="9"/>
        <v>0.01825498008</v>
      </c>
      <c r="N83" s="65">
        <f t="shared" si="10"/>
        <v>127.451</v>
      </c>
      <c r="O83" s="25">
        <f t="shared" si="11"/>
        <v>0.03446212121</v>
      </c>
      <c r="P83" s="25">
        <f t="shared" si="12"/>
        <v>-0.01620714113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IFERROR(__xludf.DUMMYFUNCTION("""COMPUTED_VALUE"""),46247.64583333333)</f>
        <v>46247.64583</v>
      </c>
      <c r="C84" s="1">
        <f>IFERROR(__xludf.DUMMYFUNCTION("""COMPUTED_VALUE"""),248.0)</f>
        <v>248</v>
      </c>
      <c r="D84" s="1"/>
      <c r="E84" s="112">
        <f>IFERROR(__xludf.DUMMYFUNCTION("""COMPUTED_VALUE"""),46247.64583333333)</f>
        <v>46247.64583</v>
      </c>
      <c r="F84" s="1">
        <f>IFERROR(__xludf.DUMMYFUNCTION("""COMPUTED_VALUE"""),131.8)</f>
        <v>131.8</v>
      </c>
      <c r="G84" s="1"/>
      <c r="H84" s="29">
        <f t="shared" si="4"/>
        <v>1.881638847</v>
      </c>
      <c r="I84" s="1">
        <f t="shared" si="5"/>
        <v>116.2</v>
      </c>
      <c r="J84" s="113">
        <f t="shared" si="6"/>
        <v>-0.7111888531</v>
      </c>
      <c r="K84" s="29">
        <f t="shared" si="7"/>
        <v>1.881638847</v>
      </c>
      <c r="L84" s="65">
        <f t="shared" si="8"/>
        <v>246.403</v>
      </c>
      <c r="M84" s="25">
        <f t="shared" si="9"/>
        <v>0.006439516129</v>
      </c>
      <c r="N84" s="65">
        <f t="shared" si="10"/>
        <v>127.746</v>
      </c>
      <c r="O84" s="25">
        <f t="shared" si="11"/>
        <v>0.03075872534</v>
      </c>
      <c r="P84" s="25">
        <f t="shared" si="12"/>
        <v>-0.02431920921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IFERROR(__xludf.DUMMYFUNCTION("""COMPUTED_VALUE"""),46248.64583333333)</f>
        <v>46248.64583</v>
      </c>
      <c r="C85" s="1">
        <f>IFERROR(__xludf.DUMMYFUNCTION("""COMPUTED_VALUE"""),248.22)</f>
        <v>248.22</v>
      </c>
      <c r="D85" s="1"/>
      <c r="E85" s="112">
        <f>IFERROR(__xludf.DUMMYFUNCTION("""COMPUTED_VALUE"""),46248.64583333333)</f>
        <v>46248.64583</v>
      </c>
      <c r="F85" s="1">
        <f>IFERROR(__xludf.DUMMYFUNCTION("""COMPUTED_VALUE"""),131.25)</f>
        <v>131.25</v>
      </c>
      <c r="G85" s="1"/>
      <c r="H85" s="29">
        <f t="shared" si="4"/>
        <v>1.8912</v>
      </c>
      <c r="I85" s="1">
        <f t="shared" si="5"/>
        <v>116.97</v>
      </c>
      <c r="J85" s="113">
        <f t="shared" si="6"/>
        <v>-0.6476685702</v>
      </c>
      <c r="K85" s="29">
        <f t="shared" si="7"/>
        <v>1.8912</v>
      </c>
      <c r="L85" s="65">
        <f t="shared" si="8"/>
        <v>246.474</v>
      </c>
      <c r="M85" s="25">
        <f t="shared" si="9"/>
        <v>0.007034082669</v>
      </c>
      <c r="N85" s="65">
        <f t="shared" si="10"/>
        <v>128.058</v>
      </c>
      <c r="O85" s="25">
        <f t="shared" si="11"/>
        <v>0.02432</v>
      </c>
      <c r="P85" s="25">
        <f t="shared" si="12"/>
        <v>-0.01728591733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IFERROR(__xludf.DUMMYFUNCTION("""COMPUTED_VALUE"""),46251.64583333333)</f>
        <v>46251.64583</v>
      </c>
      <c r="C86" s="1">
        <f>IFERROR(__xludf.DUMMYFUNCTION("""COMPUTED_VALUE"""),246.55)</f>
        <v>246.55</v>
      </c>
      <c r="D86" s="1"/>
      <c r="E86" s="112">
        <f>IFERROR(__xludf.DUMMYFUNCTION("""COMPUTED_VALUE"""),46251.64583333333)</f>
        <v>46251.64583</v>
      </c>
      <c r="F86" s="1">
        <f>IFERROR(__xludf.DUMMYFUNCTION("""COMPUTED_VALUE"""),131.1)</f>
        <v>131.1</v>
      </c>
      <c r="G86" s="1"/>
      <c r="H86" s="29">
        <f t="shared" si="4"/>
        <v>1.880625477</v>
      </c>
      <c r="I86" s="1">
        <f t="shared" si="5"/>
        <v>115.45</v>
      </c>
      <c r="J86" s="113">
        <f t="shared" si="6"/>
        <v>-0.7730592585</v>
      </c>
      <c r="K86" s="29">
        <f t="shared" si="7"/>
        <v>1.880625477</v>
      </c>
      <c r="L86" s="65">
        <f t="shared" si="8"/>
        <v>246.059</v>
      </c>
      <c r="M86" s="25">
        <f t="shared" si="9"/>
        <v>0.001991482458</v>
      </c>
      <c r="N86" s="65">
        <f t="shared" si="10"/>
        <v>128.172</v>
      </c>
      <c r="O86" s="25">
        <f t="shared" si="11"/>
        <v>0.02233409611</v>
      </c>
      <c r="P86" s="25">
        <f t="shared" si="12"/>
        <v>-0.02034261365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IFERROR(__xludf.DUMMYFUNCTION("""COMPUTED_VALUE"""),46252.64583333333)</f>
        <v>46252.64583</v>
      </c>
      <c r="C87" s="1">
        <f>IFERROR(__xludf.DUMMYFUNCTION("""COMPUTED_VALUE"""),244.0)</f>
        <v>244</v>
      </c>
      <c r="D87" s="1"/>
      <c r="E87" s="112">
        <f>IFERROR(__xludf.DUMMYFUNCTION("""COMPUTED_VALUE"""),46252.64583333333)</f>
        <v>46252.64583</v>
      </c>
      <c r="F87" s="1">
        <f>IFERROR(__xludf.DUMMYFUNCTION("""COMPUTED_VALUE"""),129.1)</f>
        <v>129.1</v>
      </c>
      <c r="G87" s="1"/>
      <c r="H87" s="29">
        <f t="shared" si="4"/>
        <v>1.890007746</v>
      </c>
      <c r="I87" s="1">
        <f t="shared" si="5"/>
        <v>114.9</v>
      </c>
      <c r="J87" s="113">
        <f t="shared" si="6"/>
        <v>-0.8184308892</v>
      </c>
      <c r="K87" s="29">
        <f t="shared" si="7"/>
        <v>1.890007746</v>
      </c>
      <c r="L87" s="65">
        <f t="shared" si="8"/>
        <v>245.874</v>
      </c>
      <c r="M87" s="25">
        <f t="shared" si="9"/>
        <v>-0.007680327869</v>
      </c>
      <c r="N87" s="65">
        <f t="shared" si="10"/>
        <v>128.251</v>
      </c>
      <c r="O87" s="25">
        <f t="shared" si="11"/>
        <v>0.006576297444</v>
      </c>
      <c r="P87" s="25">
        <f t="shared" si="12"/>
        <v>-0.01425662531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IFERROR(__xludf.DUMMYFUNCTION("""COMPUTED_VALUE"""),46253.64583333333)</f>
        <v>46253.64583</v>
      </c>
      <c r="C88" s="1">
        <f>IFERROR(__xludf.DUMMYFUNCTION("""COMPUTED_VALUE"""),245.0)</f>
        <v>245</v>
      </c>
      <c r="D88" s="1"/>
      <c r="E88" s="112">
        <f>IFERROR(__xludf.DUMMYFUNCTION("""COMPUTED_VALUE"""),46253.64583333333)</f>
        <v>46253.64583</v>
      </c>
      <c r="F88" s="1">
        <f>IFERROR(__xludf.DUMMYFUNCTION("""COMPUTED_VALUE"""),129.08)</f>
        <v>129.08</v>
      </c>
      <c r="G88" s="1"/>
      <c r="H88" s="29">
        <f t="shared" si="4"/>
        <v>1.898047722</v>
      </c>
      <c r="I88" s="1">
        <f t="shared" si="5"/>
        <v>115.92</v>
      </c>
      <c r="J88" s="113">
        <f t="shared" si="6"/>
        <v>-0.7342871378</v>
      </c>
      <c r="K88" s="29">
        <f t="shared" si="7"/>
        <v>1.898047722</v>
      </c>
      <c r="L88" s="65">
        <f t="shared" si="8"/>
        <v>245.8365</v>
      </c>
      <c r="M88" s="25">
        <f t="shared" si="9"/>
        <v>-0.003414285714</v>
      </c>
      <c r="N88" s="65">
        <f t="shared" si="10"/>
        <v>128.382</v>
      </c>
      <c r="O88" s="25">
        <f t="shared" si="11"/>
        <v>0.005407499225</v>
      </c>
      <c r="P88" s="25">
        <f t="shared" si="12"/>
        <v>-0.00882178494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IFERROR(__xludf.DUMMYFUNCTION("""COMPUTED_VALUE"""),46254.64583333333)</f>
        <v>46254.64583</v>
      </c>
      <c r="C89" s="1">
        <f>IFERROR(__xludf.DUMMYFUNCTION("""COMPUTED_VALUE"""),244.5)</f>
        <v>244.5</v>
      </c>
      <c r="D89" s="1"/>
      <c r="E89" s="112">
        <f>IFERROR(__xludf.DUMMYFUNCTION("""COMPUTED_VALUE"""),46254.64583333333)</f>
        <v>46254.64583</v>
      </c>
      <c r="F89" s="1">
        <f>IFERROR(__xludf.DUMMYFUNCTION("""COMPUTED_VALUE"""),129.6)</f>
        <v>129.6</v>
      </c>
      <c r="G89" s="1"/>
      <c r="H89" s="29">
        <f t="shared" si="4"/>
        <v>1.886574074</v>
      </c>
      <c r="I89" s="1">
        <f t="shared" si="5"/>
        <v>114.9</v>
      </c>
      <c r="J89" s="113">
        <f t="shared" si="6"/>
        <v>-0.8184308892</v>
      </c>
      <c r="K89" s="29">
        <f t="shared" si="7"/>
        <v>1.886574074</v>
      </c>
      <c r="L89" s="65">
        <f t="shared" si="8"/>
        <v>245.904</v>
      </c>
      <c r="M89" s="25">
        <f t="shared" si="9"/>
        <v>-0.005742331288</v>
      </c>
      <c r="N89" s="65">
        <f t="shared" si="10"/>
        <v>128.601</v>
      </c>
      <c r="O89" s="25">
        <f t="shared" si="11"/>
        <v>0.007708333333</v>
      </c>
      <c r="P89" s="25">
        <f t="shared" si="12"/>
        <v>-0.01345066462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IFERROR(__xludf.DUMMYFUNCTION("""COMPUTED_VALUE"""),46255.64583333333)</f>
        <v>46255.64583</v>
      </c>
      <c r="C90" s="1">
        <f>IFERROR(__xludf.DUMMYFUNCTION("""COMPUTED_VALUE"""),247.0)</f>
        <v>247</v>
      </c>
      <c r="D90" s="25"/>
      <c r="E90" s="112">
        <f>IFERROR(__xludf.DUMMYFUNCTION("""COMPUTED_VALUE"""),46255.64583333333)</f>
        <v>46255.64583</v>
      </c>
      <c r="F90" s="1">
        <f>IFERROR(__xludf.DUMMYFUNCTION("""COMPUTED_VALUE"""),129.96)</f>
        <v>129.96</v>
      </c>
      <c r="G90" s="1"/>
      <c r="H90" s="29">
        <f t="shared" si="4"/>
        <v>1.900584795</v>
      </c>
      <c r="I90" s="1">
        <f t="shared" si="5"/>
        <v>117.04</v>
      </c>
      <c r="J90" s="113">
        <f t="shared" si="6"/>
        <v>-0.641893999</v>
      </c>
      <c r="K90" s="29">
        <f t="shared" si="7"/>
        <v>1.900584795</v>
      </c>
      <c r="L90" s="65">
        <f t="shared" si="8"/>
        <v>245.9315</v>
      </c>
      <c r="M90" s="25">
        <f t="shared" si="9"/>
        <v>0.004325910931</v>
      </c>
      <c r="N90" s="65">
        <f t="shared" si="10"/>
        <v>128.8165</v>
      </c>
      <c r="O90" s="25">
        <f t="shared" si="11"/>
        <v>0.008798861188</v>
      </c>
      <c r="P90" s="25">
        <f t="shared" si="12"/>
        <v>-0.004472950257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IFERROR(__xludf.DUMMYFUNCTION("""COMPUTED_VALUE"""),46258.64583333333)</f>
        <v>46258.64583</v>
      </c>
      <c r="C91" s="1">
        <f>IFERROR(__xludf.DUMMYFUNCTION("""COMPUTED_VALUE"""),241.5)</f>
        <v>241.5</v>
      </c>
      <c r="D91" s="1"/>
      <c r="E91" s="112">
        <f>IFERROR(__xludf.DUMMYFUNCTION("""COMPUTED_VALUE"""),46258.64583333333)</f>
        <v>46258.64583</v>
      </c>
      <c r="F91" s="1">
        <f>IFERROR(__xludf.DUMMYFUNCTION("""COMPUTED_VALUE"""),127.3)</f>
        <v>127.3</v>
      </c>
      <c r="G91" s="1"/>
      <c r="H91" s="29">
        <f t="shared" si="4"/>
        <v>1.89709348</v>
      </c>
      <c r="I91" s="1">
        <f t="shared" si="5"/>
        <v>114.2</v>
      </c>
      <c r="J91" s="113">
        <f t="shared" si="6"/>
        <v>-0.8761766009</v>
      </c>
      <c r="K91" s="29">
        <f t="shared" si="7"/>
        <v>1.89709348</v>
      </c>
      <c r="L91" s="65">
        <f t="shared" si="8"/>
        <v>245.8065</v>
      </c>
      <c r="M91" s="25">
        <f t="shared" si="9"/>
        <v>-0.01783229814</v>
      </c>
      <c r="N91" s="65">
        <f t="shared" si="10"/>
        <v>128.8185</v>
      </c>
      <c r="O91" s="25">
        <f t="shared" si="11"/>
        <v>-0.01192851532</v>
      </c>
      <c r="P91" s="25">
        <f t="shared" si="12"/>
        <v>-0.005903782818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IFERROR(__xludf.DUMMYFUNCTION("""COMPUTED_VALUE"""),46259.64583333333)</f>
        <v>46259.64583</v>
      </c>
      <c r="C92" s="1">
        <f>IFERROR(__xludf.DUMMYFUNCTION("""COMPUTED_VALUE"""),241.0)</f>
        <v>241</v>
      </c>
      <c r="D92" s="1"/>
      <c r="E92" s="112">
        <f>IFERROR(__xludf.DUMMYFUNCTION("""COMPUTED_VALUE"""),46259.64583333333)</f>
        <v>46259.64583</v>
      </c>
      <c r="F92" s="1">
        <f>IFERROR(__xludf.DUMMYFUNCTION("""COMPUTED_VALUE"""),128.81)</f>
        <v>128.81</v>
      </c>
      <c r="G92" s="1"/>
      <c r="H92" s="29">
        <f t="shared" si="4"/>
        <v>1.870972751</v>
      </c>
      <c r="I92" s="1">
        <f t="shared" si="5"/>
        <v>112.19</v>
      </c>
      <c r="J92" s="113">
        <f t="shared" si="6"/>
        <v>-1.041989288</v>
      </c>
      <c r="K92" s="29">
        <f t="shared" si="7"/>
        <v>1.870972751</v>
      </c>
      <c r="L92" s="65">
        <f t="shared" si="8"/>
        <v>245.8965</v>
      </c>
      <c r="M92" s="25">
        <f t="shared" si="9"/>
        <v>-0.02031742739</v>
      </c>
      <c r="N92" s="65">
        <f t="shared" si="10"/>
        <v>129.047</v>
      </c>
      <c r="O92" s="25">
        <f t="shared" si="11"/>
        <v>-0.001839919261</v>
      </c>
      <c r="P92" s="25">
        <f t="shared" si="12"/>
        <v>-0.01847750812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IFERROR(__xludf.DUMMYFUNCTION("""COMPUTED_VALUE"""),46260.64583333333)</f>
        <v>46260.64583</v>
      </c>
      <c r="C93" s="1">
        <f>IFERROR(__xludf.DUMMYFUNCTION("""COMPUTED_VALUE"""),242.5)</f>
        <v>242.5</v>
      </c>
      <c r="D93" s="1"/>
      <c r="E93" s="112">
        <f>IFERROR(__xludf.DUMMYFUNCTION("""COMPUTED_VALUE"""),46260.64583333333)</f>
        <v>46260.64583</v>
      </c>
      <c r="F93" s="1">
        <f>IFERROR(__xludf.DUMMYFUNCTION("""COMPUTED_VALUE"""),129.45)</f>
        <v>129.45</v>
      </c>
      <c r="G93" s="1"/>
      <c r="H93" s="29">
        <f t="shared" si="4"/>
        <v>1.873310158</v>
      </c>
      <c r="I93" s="1">
        <f t="shared" si="5"/>
        <v>113.05</v>
      </c>
      <c r="J93" s="113">
        <f t="shared" si="6"/>
        <v>-0.971044556</v>
      </c>
      <c r="K93" s="29">
        <f t="shared" si="7"/>
        <v>1.873310158</v>
      </c>
      <c r="L93" s="65">
        <f t="shared" si="8"/>
        <v>245.854</v>
      </c>
      <c r="M93" s="25">
        <f t="shared" si="9"/>
        <v>-0.01383092784</v>
      </c>
      <c r="N93" s="65">
        <f t="shared" si="10"/>
        <v>129.2835</v>
      </c>
      <c r="O93" s="25">
        <f t="shared" si="11"/>
        <v>0.001286210892</v>
      </c>
      <c r="P93" s="25">
        <f t="shared" si="12"/>
        <v>-0.01511713873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IFERROR(__xludf.DUMMYFUNCTION("""COMPUTED_VALUE"""),46261.64583333333)</f>
        <v>46261.64583</v>
      </c>
      <c r="C94" s="1">
        <f>IFERROR(__xludf.DUMMYFUNCTION("""COMPUTED_VALUE"""),241.0)</f>
        <v>241</v>
      </c>
      <c r="D94" s="1"/>
      <c r="E94" s="112">
        <f>IFERROR(__xludf.DUMMYFUNCTION("""COMPUTED_VALUE"""),46261.64583333333)</f>
        <v>46261.64583</v>
      </c>
      <c r="F94" s="1">
        <f>IFERROR(__xludf.DUMMYFUNCTION("""COMPUTED_VALUE"""),128.14)</f>
        <v>128.14</v>
      </c>
      <c r="G94" s="1"/>
      <c r="H94" s="29">
        <f t="shared" si="4"/>
        <v>1.880755424</v>
      </c>
      <c r="I94" s="1">
        <f t="shared" si="5"/>
        <v>112.86</v>
      </c>
      <c r="J94" s="113">
        <f t="shared" si="6"/>
        <v>-0.986718392</v>
      </c>
      <c r="K94" s="29">
        <f t="shared" si="7"/>
        <v>1.880755424</v>
      </c>
      <c r="L94" s="65">
        <f t="shared" si="8"/>
        <v>245.8215</v>
      </c>
      <c r="M94" s="25">
        <f t="shared" si="9"/>
        <v>-0.02000622407</v>
      </c>
      <c r="N94" s="65">
        <f t="shared" si="10"/>
        <v>129.4765</v>
      </c>
      <c r="O94" s="25">
        <f t="shared" si="11"/>
        <v>-0.01042999844</v>
      </c>
      <c r="P94" s="25">
        <f t="shared" si="12"/>
        <v>-0.009576225627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IFERROR(__xludf.DUMMYFUNCTION("""COMPUTED_VALUE"""),46262.64583333333)</f>
        <v>46262.64583</v>
      </c>
      <c r="C95" s="1">
        <f>IFERROR(__xludf.DUMMYFUNCTION("""COMPUTED_VALUE"""),241.9)</f>
        <v>241.9</v>
      </c>
      <c r="D95" s="1"/>
      <c r="E95" s="112">
        <f>IFERROR(__xludf.DUMMYFUNCTION("""COMPUTED_VALUE"""),46262.64583333333)</f>
        <v>46262.64583</v>
      </c>
      <c r="F95" s="1">
        <f>IFERROR(__xludf.DUMMYFUNCTION("""COMPUTED_VALUE"""),128.35)</f>
        <v>128.35</v>
      </c>
      <c r="G95" s="1"/>
      <c r="H95" s="29">
        <f t="shared" si="4"/>
        <v>1.8846903</v>
      </c>
      <c r="I95" s="1">
        <f t="shared" si="5"/>
        <v>113.55</v>
      </c>
      <c r="J95" s="113">
        <f t="shared" si="6"/>
        <v>-0.929797619</v>
      </c>
      <c r="K95" s="29">
        <f t="shared" si="7"/>
        <v>1.8846903</v>
      </c>
      <c r="L95" s="65">
        <f t="shared" si="8"/>
        <v>245.7865</v>
      </c>
      <c r="M95" s="25">
        <f t="shared" si="9"/>
        <v>-0.01606655643</v>
      </c>
      <c r="N95" s="65">
        <f t="shared" si="10"/>
        <v>129.645</v>
      </c>
      <c r="O95" s="25">
        <f t="shared" si="11"/>
        <v>-0.01008959875</v>
      </c>
      <c r="P95" s="25">
        <f t="shared" si="12"/>
        <v>-0.005976957675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IFERROR(__xludf.DUMMYFUNCTION("""COMPUTED_VALUE"""),46265.64583333333)</f>
        <v>46265.64583</v>
      </c>
      <c r="C96" s="1">
        <f>IFERROR(__xludf.DUMMYFUNCTION("""COMPUTED_VALUE"""),238.6)</f>
        <v>238.6</v>
      </c>
      <c r="D96" s="1"/>
      <c r="E96" s="112">
        <f>IFERROR(__xludf.DUMMYFUNCTION("""COMPUTED_VALUE"""),46265.64583333333)</f>
        <v>46265.64583</v>
      </c>
      <c r="F96" s="1">
        <f>IFERROR(__xludf.DUMMYFUNCTION("""COMPUTED_VALUE"""),126.9)</f>
        <v>126.9</v>
      </c>
      <c r="G96" s="1"/>
      <c r="H96" s="29">
        <f t="shared" si="4"/>
        <v>1.880220646</v>
      </c>
      <c r="I96" s="1">
        <f t="shared" si="5"/>
        <v>111.7</v>
      </c>
      <c r="J96" s="113">
        <f t="shared" si="6"/>
        <v>-1.082411286</v>
      </c>
      <c r="K96" s="29">
        <f t="shared" si="7"/>
        <v>1.880220646</v>
      </c>
      <c r="L96" s="65">
        <f t="shared" si="8"/>
        <v>245.354</v>
      </c>
      <c r="M96" s="25">
        <f t="shared" si="9"/>
        <v>-0.02830678961</v>
      </c>
      <c r="N96" s="65">
        <f t="shared" si="10"/>
        <v>129.635</v>
      </c>
      <c r="O96" s="25">
        <f t="shared" si="11"/>
        <v>-0.02155240347</v>
      </c>
      <c r="P96" s="25">
        <f t="shared" si="12"/>
        <v>-0.006754386139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IFERROR(__xludf.DUMMYFUNCTION("""COMPUTED_VALUE"""),46266.64583333333)</f>
        <v>46266.64583</v>
      </c>
      <c r="C97" s="1">
        <f>IFERROR(__xludf.DUMMYFUNCTION("""COMPUTED_VALUE"""),237.7)</f>
        <v>237.7</v>
      </c>
      <c r="D97" s="1"/>
      <c r="E97" s="112">
        <f>IFERROR(__xludf.DUMMYFUNCTION("""COMPUTED_VALUE"""),46266.64583333333)</f>
        <v>46266.64583</v>
      </c>
      <c r="F97" s="1">
        <f>IFERROR(__xludf.DUMMYFUNCTION("""COMPUTED_VALUE"""),125.6)</f>
        <v>125.6</v>
      </c>
      <c r="G97" s="1"/>
      <c r="H97" s="29">
        <f t="shared" si="4"/>
        <v>1.892515924</v>
      </c>
      <c r="I97" s="1">
        <f t="shared" si="5"/>
        <v>112.1</v>
      </c>
      <c r="J97" s="113">
        <f t="shared" si="6"/>
        <v>-1.049413736</v>
      </c>
      <c r="K97" s="29">
        <f t="shared" si="7"/>
        <v>1.892515924</v>
      </c>
      <c r="L97" s="65">
        <f t="shared" si="8"/>
        <v>244.989</v>
      </c>
      <c r="M97" s="25">
        <f t="shared" si="9"/>
        <v>-0.03066470341</v>
      </c>
      <c r="N97" s="65">
        <f t="shared" si="10"/>
        <v>129.515</v>
      </c>
      <c r="O97" s="25">
        <f t="shared" si="11"/>
        <v>-0.03117038217</v>
      </c>
      <c r="P97" s="25">
        <f t="shared" si="12"/>
        <v>0.0005056787579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IFERROR(__xludf.DUMMYFUNCTION("""COMPUTED_VALUE"""),46267.64583333333)</f>
        <v>46267.64583</v>
      </c>
      <c r="C98" s="1">
        <f>IFERROR(__xludf.DUMMYFUNCTION("""COMPUTED_VALUE"""),241.2)</f>
        <v>241.2</v>
      </c>
      <c r="D98" s="1"/>
      <c r="E98" s="112">
        <f>IFERROR(__xludf.DUMMYFUNCTION("""COMPUTED_VALUE"""),46267.64583333333)</f>
        <v>46267.64583</v>
      </c>
      <c r="F98" s="1">
        <f>IFERROR(__xludf.DUMMYFUNCTION("""COMPUTED_VALUE"""),126.3)</f>
        <v>126.3</v>
      </c>
      <c r="G98" s="1"/>
      <c r="H98" s="29">
        <f t="shared" si="4"/>
        <v>1.909738717</v>
      </c>
      <c r="I98" s="1">
        <f t="shared" si="5"/>
        <v>114.9</v>
      </c>
      <c r="J98" s="113">
        <f t="shared" si="6"/>
        <v>-0.8184308892</v>
      </c>
      <c r="K98" s="29">
        <f t="shared" si="7"/>
        <v>1.909738717</v>
      </c>
      <c r="L98" s="65">
        <f t="shared" si="8"/>
        <v>244.769</v>
      </c>
      <c r="M98" s="25">
        <f t="shared" si="9"/>
        <v>-0.01479684909</v>
      </c>
      <c r="N98" s="65">
        <f t="shared" si="10"/>
        <v>129.3845</v>
      </c>
      <c r="O98" s="25">
        <f t="shared" si="11"/>
        <v>-0.02442201108</v>
      </c>
      <c r="P98" s="25">
        <f t="shared" si="12"/>
        <v>0.009625161997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IFERROR(__xludf.DUMMYFUNCTION("""COMPUTED_VALUE"""),46268.64583333333)</f>
        <v>46268.64583</v>
      </c>
      <c r="C99" s="1">
        <f>IFERROR(__xludf.DUMMYFUNCTION("""COMPUTED_VALUE"""),240.44)</f>
        <v>240.44</v>
      </c>
      <c r="D99" s="1"/>
      <c r="E99" s="112">
        <f>IFERROR(__xludf.DUMMYFUNCTION("""COMPUTED_VALUE"""),46268.64583333333)</f>
        <v>46268.64583</v>
      </c>
      <c r="F99" s="1">
        <f>IFERROR(__xludf.DUMMYFUNCTION("""COMPUTED_VALUE"""),125.8)</f>
        <v>125.8</v>
      </c>
      <c r="G99" s="1"/>
      <c r="H99" s="29">
        <f t="shared" si="4"/>
        <v>1.911287758</v>
      </c>
      <c r="I99" s="1">
        <f t="shared" si="5"/>
        <v>114.64</v>
      </c>
      <c r="J99" s="113">
        <f t="shared" si="6"/>
        <v>-0.8398792964</v>
      </c>
      <c r="K99" s="29">
        <f t="shared" si="7"/>
        <v>1.911287758</v>
      </c>
      <c r="L99" s="65">
        <f t="shared" si="8"/>
        <v>244.241</v>
      </c>
      <c r="M99" s="25">
        <f t="shared" si="9"/>
        <v>-0.01580851772</v>
      </c>
      <c r="N99" s="65">
        <f t="shared" si="10"/>
        <v>129.0895</v>
      </c>
      <c r="O99" s="25">
        <f t="shared" si="11"/>
        <v>-0.02614864865</v>
      </c>
      <c r="P99" s="25">
        <f t="shared" si="12"/>
        <v>0.01034013093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IFERROR(__xludf.DUMMYFUNCTION("""COMPUTED_VALUE"""),46269.64583333333)</f>
        <v>46269.64583</v>
      </c>
      <c r="C100" s="1">
        <f>IFERROR(__xludf.DUMMYFUNCTION("""COMPUTED_VALUE"""),239.0)</f>
        <v>239</v>
      </c>
      <c r="D100" s="1"/>
      <c r="E100" s="112">
        <f>IFERROR(__xludf.DUMMYFUNCTION("""COMPUTED_VALUE"""),46269.64583333333)</f>
        <v>46269.64583</v>
      </c>
      <c r="F100" s="1">
        <f>IFERROR(__xludf.DUMMYFUNCTION("""COMPUTED_VALUE"""),125.5)</f>
        <v>125.5</v>
      </c>
      <c r="G100" s="1"/>
      <c r="H100" s="29">
        <f t="shared" si="4"/>
        <v>1.90438247</v>
      </c>
      <c r="I100" s="1">
        <f t="shared" si="5"/>
        <v>113.5</v>
      </c>
      <c r="J100" s="113">
        <f t="shared" si="6"/>
        <v>-0.9339223127</v>
      </c>
      <c r="K100" s="29">
        <f t="shared" si="7"/>
        <v>1.90438247</v>
      </c>
      <c r="L100" s="65">
        <f t="shared" si="8"/>
        <v>243.656</v>
      </c>
      <c r="M100" s="25">
        <f t="shared" si="9"/>
        <v>-0.01948117155</v>
      </c>
      <c r="N100" s="65">
        <f t="shared" si="10"/>
        <v>128.767</v>
      </c>
      <c r="O100" s="25">
        <f t="shared" si="11"/>
        <v>-0.02603187251</v>
      </c>
      <c r="P100" s="25">
        <f t="shared" si="12"/>
        <v>0.006550700962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IFERROR(__xludf.DUMMYFUNCTION("""COMPUTED_VALUE"""),46272.64583333333)</f>
        <v>46272.64583</v>
      </c>
      <c r="C101" s="1">
        <f>IFERROR(__xludf.DUMMYFUNCTION("""COMPUTED_VALUE"""),237.0)</f>
        <v>237</v>
      </c>
      <c r="D101" s="1"/>
      <c r="E101" s="112">
        <f>IFERROR(__xludf.DUMMYFUNCTION("""COMPUTED_VALUE"""),46272.64583333333)</f>
        <v>46272.64583</v>
      </c>
      <c r="F101" s="1">
        <f>IFERROR(__xludf.DUMMYFUNCTION("""COMPUTED_VALUE"""),124.0)</f>
        <v>124</v>
      </c>
      <c r="G101" s="1"/>
      <c r="H101" s="29">
        <f t="shared" si="4"/>
        <v>1.911290323</v>
      </c>
      <c r="I101" s="1">
        <f t="shared" si="5"/>
        <v>113</v>
      </c>
      <c r="J101" s="113">
        <f t="shared" si="6"/>
        <v>-0.9751692497</v>
      </c>
      <c r="K101" s="29">
        <f t="shared" si="7"/>
        <v>1.911290323</v>
      </c>
      <c r="L101" s="65">
        <f t="shared" si="8"/>
        <v>243.1155</v>
      </c>
      <c r="M101" s="25">
        <f t="shared" si="9"/>
        <v>-0.02580379747</v>
      </c>
      <c r="N101" s="65">
        <f t="shared" si="10"/>
        <v>128.517</v>
      </c>
      <c r="O101" s="25">
        <f t="shared" si="11"/>
        <v>-0.03642741935</v>
      </c>
      <c r="P101" s="25">
        <f t="shared" si="12"/>
        <v>0.01062362189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IFERROR(__xludf.DUMMYFUNCTION("""COMPUTED_VALUE"""),46273.64583333333)</f>
        <v>46273.64583</v>
      </c>
      <c r="C102" s="1">
        <f>IFERROR(__xludf.DUMMYFUNCTION("""COMPUTED_VALUE"""),236.6)</f>
        <v>236.6</v>
      </c>
      <c r="D102" s="1"/>
      <c r="E102" s="112">
        <f>IFERROR(__xludf.DUMMYFUNCTION("""COMPUTED_VALUE"""),46273.64583333333)</f>
        <v>46273.64583</v>
      </c>
      <c r="F102" s="1">
        <f>IFERROR(__xludf.DUMMYFUNCTION("""COMPUTED_VALUE"""),124.68)</f>
        <v>124.68</v>
      </c>
      <c r="G102" s="1"/>
      <c r="H102" s="29">
        <f t="shared" si="4"/>
        <v>1.897658004</v>
      </c>
      <c r="I102" s="1">
        <f t="shared" si="5"/>
        <v>111.92</v>
      </c>
      <c r="J102" s="113">
        <f t="shared" si="6"/>
        <v>-1.064262633</v>
      </c>
      <c r="K102" s="29">
        <f t="shared" si="7"/>
        <v>1.897658004</v>
      </c>
      <c r="L102" s="65">
        <f t="shared" si="8"/>
        <v>242.6355</v>
      </c>
      <c r="M102" s="25">
        <f t="shared" si="9"/>
        <v>-0.02550929839</v>
      </c>
      <c r="N102" s="65">
        <f t="shared" si="10"/>
        <v>128.236</v>
      </c>
      <c r="O102" s="25">
        <f t="shared" si="11"/>
        <v>-0.0285210138</v>
      </c>
      <c r="P102" s="25">
        <f t="shared" si="12"/>
        <v>0.003011715401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IFERROR(__xludf.DUMMYFUNCTION("""COMPUTED_VALUE"""),46274.64583333333)</f>
        <v>46274.64583</v>
      </c>
      <c r="C103" s="1">
        <f>IFERROR(__xludf.DUMMYFUNCTION("""COMPUTED_VALUE"""),234.1)</f>
        <v>234.1</v>
      </c>
      <c r="D103" s="1"/>
      <c r="E103" s="112">
        <f>IFERROR(__xludf.DUMMYFUNCTION("""COMPUTED_VALUE"""),46274.64583333333)</f>
        <v>46274.64583</v>
      </c>
      <c r="F103" s="1">
        <f>IFERROR(__xludf.DUMMYFUNCTION("""COMPUTED_VALUE"""),124.08)</f>
        <v>124.08</v>
      </c>
      <c r="G103" s="1"/>
      <c r="H103" s="29">
        <f t="shared" si="4"/>
        <v>1.886686009</v>
      </c>
      <c r="I103" s="1">
        <f t="shared" si="5"/>
        <v>110.02</v>
      </c>
      <c r="J103" s="113">
        <f t="shared" si="6"/>
        <v>-1.221000994</v>
      </c>
      <c r="K103" s="29">
        <f t="shared" si="7"/>
        <v>1.886686009</v>
      </c>
      <c r="L103" s="65">
        <f t="shared" si="8"/>
        <v>241.7905</v>
      </c>
      <c r="M103" s="25">
        <f t="shared" si="9"/>
        <v>-0.03285134558</v>
      </c>
      <c r="N103" s="65">
        <f t="shared" si="10"/>
        <v>127.84</v>
      </c>
      <c r="O103" s="25">
        <f t="shared" si="11"/>
        <v>-0.0303030303</v>
      </c>
      <c r="P103" s="25">
        <f t="shared" si="12"/>
        <v>-0.002548315276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IFERROR(__xludf.DUMMYFUNCTION("""COMPUTED_VALUE"""),46275.64583333333)</f>
        <v>46275.64583</v>
      </c>
      <c r="C104" s="1">
        <f>IFERROR(__xludf.DUMMYFUNCTION("""COMPUTED_VALUE"""),237.62)</f>
        <v>237.62</v>
      </c>
      <c r="D104" s="1"/>
      <c r="E104" s="112">
        <f>IFERROR(__xludf.DUMMYFUNCTION("""COMPUTED_VALUE"""),46275.64583333333)</f>
        <v>46275.64583</v>
      </c>
      <c r="F104" s="1">
        <f>IFERROR(__xludf.DUMMYFUNCTION("""COMPUTED_VALUE"""),124.6)</f>
        <v>124.6</v>
      </c>
      <c r="G104" s="1"/>
      <c r="H104" s="29">
        <f t="shared" si="4"/>
        <v>1.9070626</v>
      </c>
      <c r="I104" s="1">
        <f t="shared" si="5"/>
        <v>113.02</v>
      </c>
      <c r="J104" s="113">
        <f t="shared" si="6"/>
        <v>-0.9735193722</v>
      </c>
      <c r="K104" s="29">
        <f t="shared" si="7"/>
        <v>1.9070626</v>
      </c>
      <c r="L104" s="65">
        <f t="shared" si="8"/>
        <v>241.2715</v>
      </c>
      <c r="M104" s="25">
        <f t="shared" si="9"/>
        <v>-0.01536697248</v>
      </c>
      <c r="N104" s="65">
        <f t="shared" si="10"/>
        <v>127.48</v>
      </c>
      <c r="O104" s="25">
        <f t="shared" si="11"/>
        <v>-0.02311396469</v>
      </c>
      <c r="P104" s="25">
        <f t="shared" si="12"/>
        <v>0.00774699221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IFERROR(__xludf.DUMMYFUNCTION("""COMPUTED_VALUE"""),46276.64583333333)</f>
        <v>46276.64583</v>
      </c>
      <c r="C105" s="1">
        <f>IFERROR(__xludf.DUMMYFUNCTION("""COMPUTED_VALUE"""),238.13)</f>
        <v>238.13</v>
      </c>
      <c r="D105" s="1"/>
      <c r="E105" s="112">
        <f>IFERROR(__xludf.DUMMYFUNCTION("""COMPUTED_VALUE"""),46276.64583333333)</f>
        <v>46276.64583</v>
      </c>
      <c r="F105" s="1">
        <f>IFERROR(__xludf.DUMMYFUNCTION("""COMPUTED_VALUE"""),124.0)</f>
        <v>124</v>
      </c>
      <c r="G105" s="1"/>
      <c r="H105" s="29">
        <f t="shared" si="4"/>
        <v>1.920403226</v>
      </c>
      <c r="I105" s="1">
        <f t="shared" si="5"/>
        <v>114.13</v>
      </c>
      <c r="J105" s="113">
        <f t="shared" si="6"/>
        <v>-0.8819511721</v>
      </c>
      <c r="K105" s="29">
        <f t="shared" si="7"/>
        <v>1.920403226</v>
      </c>
      <c r="L105" s="65">
        <f t="shared" si="8"/>
        <v>240.767</v>
      </c>
      <c r="M105" s="25">
        <f t="shared" si="9"/>
        <v>-0.01107378323</v>
      </c>
      <c r="N105" s="65">
        <f t="shared" si="10"/>
        <v>127.1175</v>
      </c>
      <c r="O105" s="25">
        <f t="shared" si="11"/>
        <v>-0.02514112903</v>
      </c>
      <c r="P105" s="25">
        <f t="shared" si="12"/>
        <v>0.0140673458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IFERROR(__xludf.DUMMYFUNCTION("""COMPUTED_VALUE"""),46280.64583333333)</f>
        <v>46280.64583</v>
      </c>
      <c r="C106" s="1">
        <f>IFERROR(__xludf.DUMMYFUNCTION("""COMPUTED_VALUE"""),232.7)</f>
        <v>232.7</v>
      </c>
      <c r="D106" s="1"/>
      <c r="E106" s="112">
        <f>IFERROR(__xludf.DUMMYFUNCTION("""COMPUTED_VALUE"""),46280.64583333333)</f>
        <v>46280.64583</v>
      </c>
      <c r="F106" s="1">
        <f>IFERROR(__xludf.DUMMYFUNCTION("""COMPUTED_VALUE"""),122.37)</f>
        <v>122.37</v>
      </c>
      <c r="G106" s="1"/>
      <c r="H106" s="29">
        <f t="shared" si="4"/>
        <v>1.901609872</v>
      </c>
      <c r="I106" s="1">
        <f t="shared" si="5"/>
        <v>110.33</v>
      </c>
      <c r="J106" s="113">
        <f t="shared" si="6"/>
        <v>-1.195427893</v>
      </c>
      <c r="K106" s="29">
        <f t="shared" si="7"/>
        <v>1.901609872</v>
      </c>
      <c r="L106" s="65">
        <f t="shared" si="8"/>
        <v>240.0745</v>
      </c>
      <c r="M106" s="25">
        <f t="shared" si="9"/>
        <v>-0.03169101848</v>
      </c>
      <c r="N106" s="65">
        <f t="shared" si="10"/>
        <v>126.681</v>
      </c>
      <c r="O106" s="25">
        <f t="shared" si="11"/>
        <v>-0.03522922285</v>
      </c>
      <c r="P106" s="25">
        <f t="shared" si="12"/>
        <v>0.00353820437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IFERROR(__xludf.DUMMYFUNCTION("""COMPUTED_VALUE"""),46281.64583333333)</f>
        <v>46281.64583</v>
      </c>
      <c r="C107" s="1">
        <f>IFERROR(__xludf.DUMMYFUNCTION("""COMPUTED_VALUE"""),234.98)</f>
        <v>234.98</v>
      </c>
      <c r="D107" s="1"/>
      <c r="E107" s="112">
        <f>IFERROR(__xludf.DUMMYFUNCTION("""COMPUTED_VALUE"""),46281.64583333333)</f>
        <v>46281.64583</v>
      </c>
      <c r="F107" s="1">
        <f>IFERROR(__xludf.DUMMYFUNCTION("""COMPUTED_VALUE"""),123.2)</f>
        <v>123.2</v>
      </c>
      <c r="G107" s="1"/>
      <c r="H107" s="29">
        <f t="shared" si="4"/>
        <v>1.907305195</v>
      </c>
      <c r="I107" s="1">
        <f t="shared" si="5"/>
        <v>111.78</v>
      </c>
      <c r="J107" s="113">
        <f t="shared" si="6"/>
        <v>-1.075811776</v>
      </c>
      <c r="K107" s="29">
        <f t="shared" si="7"/>
        <v>1.907305195</v>
      </c>
      <c r="L107" s="65">
        <f t="shared" si="8"/>
        <v>239.6235</v>
      </c>
      <c r="M107" s="25">
        <f t="shared" si="9"/>
        <v>-0.01976125628</v>
      </c>
      <c r="N107" s="65">
        <f t="shared" si="10"/>
        <v>126.386</v>
      </c>
      <c r="O107" s="25">
        <f t="shared" si="11"/>
        <v>-0.02586038961</v>
      </c>
      <c r="P107" s="25">
        <f t="shared" si="12"/>
        <v>0.006099133333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IFERROR(__xludf.DUMMYFUNCTION("""COMPUTED_VALUE"""),46282.64583333333)</f>
        <v>46282.64583</v>
      </c>
      <c r="C108" s="1">
        <f>IFERROR(__xludf.DUMMYFUNCTION("""COMPUTED_VALUE"""),232.3)</f>
        <v>232.3</v>
      </c>
      <c r="D108" s="1"/>
      <c r="E108" s="112">
        <f>IFERROR(__xludf.DUMMYFUNCTION("""COMPUTED_VALUE"""),46282.64583333333)</f>
        <v>46282.64583</v>
      </c>
      <c r="F108" s="1">
        <f>IFERROR(__xludf.DUMMYFUNCTION("""COMPUTED_VALUE"""),123.9)</f>
        <v>123.9</v>
      </c>
      <c r="G108" s="1"/>
      <c r="H108" s="29">
        <f t="shared" si="4"/>
        <v>1.874899112</v>
      </c>
      <c r="I108" s="1">
        <f t="shared" si="5"/>
        <v>108.4</v>
      </c>
      <c r="J108" s="113">
        <f t="shared" si="6"/>
        <v>-1.35464107</v>
      </c>
      <c r="K108" s="29">
        <f t="shared" si="7"/>
        <v>1.874899112</v>
      </c>
      <c r="L108" s="65">
        <f t="shared" si="8"/>
        <v>238.9885</v>
      </c>
      <c r="M108" s="25">
        <f t="shared" si="9"/>
        <v>-0.02879250969</v>
      </c>
      <c r="N108" s="65">
        <f t="shared" si="10"/>
        <v>126.127</v>
      </c>
      <c r="O108" s="25">
        <f t="shared" si="11"/>
        <v>-0.01797417272</v>
      </c>
      <c r="P108" s="25">
        <f t="shared" si="12"/>
        <v>-0.01081833697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IFERROR(__xludf.DUMMYFUNCTION("""COMPUTED_VALUE"""),46283.64583333333)</f>
        <v>46283.64583</v>
      </c>
      <c r="C109" s="1">
        <f>IFERROR(__xludf.DUMMYFUNCTION("""COMPUTED_VALUE"""),234.94)</f>
        <v>234.94</v>
      </c>
      <c r="D109" s="1"/>
      <c r="E109" s="112">
        <f>IFERROR(__xludf.DUMMYFUNCTION("""COMPUTED_VALUE"""),46283.64583333333)</f>
        <v>46283.64583</v>
      </c>
      <c r="F109" s="1">
        <f>IFERROR(__xludf.DUMMYFUNCTION("""COMPUTED_VALUE"""),123.78)</f>
        <v>123.78</v>
      </c>
      <c r="G109" s="1"/>
      <c r="H109" s="29">
        <f t="shared" si="4"/>
        <v>1.898044918</v>
      </c>
      <c r="I109" s="1">
        <f t="shared" si="5"/>
        <v>111.16</v>
      </c>
      <c r="J109" s="113">
        <f t="shared" si="6"/>
        <v>-1.126957978</v>
      </c>
      <c r="K109" s="29">
        <f t="shared" si="7"/>
        <v>1.898044918</v>
      </c>
      <c r="L109" s="65">
        <f t="shared" si="8"/>
        <v>238.5105</v>
      </c>
      <c r="M109" s="25">
        <f t="shared" si="9"/>
        <v>-0.01519749723</v>
      </c>
      <c r="N109" s="65">
        <f t="shared" si="10"/>
        <v>125.836</v>
      </c>
      <c r="O109" s="25">
        <f t="shared" si="11"/>
        <v>-0.01661011472</v>
      </c>
      <c r="P109" s="25">
        <f t="shared" si="12"/>
        <v>0.001412617486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IFERROR(__xludf.DUMMYFUNCTION("""COMPUTED_VALUE"""),46286.64583333333)</f>
        <v>46286.64583</v>
      </c>
      <c r="C110" s="1">
        <f>IFERROR(__xludf.DUMMYFUNCTION("""COMPUTED_VALUE"""),233.64)</f>
        <v>233.64</v>
      </c>
      <c r="D110" s="1"/>
      <c r="E110" s="112">
        <f>IFERROR(__xludf.DUMMYFUNCTION("""COMPUTED_VALUE"""),46286.64583333333)</f>
        <v>46286.64583</v>
      </c>
      <c r="F110" s="1">
        <f>IFERROR(__xludf.DUMMYFUNCTION("""COMPUTED_VALUE"""),123.7)</f>
        <v>123.7</v>
      </c>
      <c r="G110" s="1"/>
      <c r="H110" s="29">
        <f t="shared" si="4"/>
        <v>1.888763137</v>
      </c>
      <c r="I110" s="1">
        <f t="shared" si="5"/>
        <v>109.94</v>
      </c>
      <c r="J110" s="113">
        <f t="shared" si="6"/>
        <v>-1.227600504</v>
      </c>
      <c r="K110" s="29">
        <f t="shared" si="7"/>
        <v>1.888763137</v>
      </c>
      <c r="L110" s="65">
        <f t="shared" si="8"/>
        <v>237.8425</v>
      </c>
      <c r="M110" s="25">
        <f t="shared" si="9"/>
        <v>-0.01798707413</v>
      </c>
      <c r="N110" s="65">
        <f t="shared" si="10"/>
        <v>125.523</v>
      </c>
      <c r="O110" s="25">
        <f t="shared" si="11"/>
        <v>-0.01473726758</v>
      </c>
      <c r="P110" s="25">
        <f t="shared" si="12"/>
        <v>-0.003249806548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IFERROR(__xludf.DUMMYFUNCTION("""COMPUTED_VALUE"""),46287.64583333333)</f>
        <v>46287.64583</v>
      </c>
      <c r="C111" s="1">
        <f>IFERROR(__xludf.DUMMYFUNCTION("""COMPUTED_VALUE"""),234.35)</f>
        <v>234.35</v>
      </c>
      <c r="D111" s="1"/>
      <c r="E111" s="112">
        <f>IFERROR(__xludf.DUMMYFUNCTION("""COMPUTED_VALUE"""),46287.64583333333)</f>
        <v>46287.64583</v>
      </c>
      <c r="F111" s="1">
        <f>IFERROR(__xludf.DUMMYFUNCTION("""COMPUTED_VALUE"""),122.9)</f>
        <v>122.9</v>
      </c>
      <c r="G111" s="1"/>
      <c r="H111" s="29">
        <f t="shared" si="4"/>
        <v>1.906834825</v>
      </c>
      <c r="I111" s="1">
        <f t="shared" si="5"/>
        <v>111.45</v>
      </c>
      <c r="J111" s="113">
        <f t="shared" si="6"/>
        <v>-1.103034754</v>
      </c>
      <c r="K111" s="29">
        <f t="shared" si="7"/>
        <v>1.906834825</v>
      </c>
      <c r="L111" s="65">
        <f t="shared" si="8"/>
        <v>237.485</v>
      </c>
      <c r="M111" s="25">
        <f t="shared" si="9"/>
        <v>-0.01337742693</v>
      </c>
      <c r="N111" s="65">
        <f t="shared" si="10"/>
        <v>125.303</v>
      </c>
      <c r="O111" s="25">
        <f t="shared" si="11"/>
        <v>-0.01955248169</v>
      </c>
      <c r="P111" s="25">
        <f t="shared" si="12"/>
        <v>0.006175054767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IFERROR(__xludf.DUMMYFUNCTION("""COMPUTED_VALUE"""),46288.64583333333)</f>
        <v>46288.64583</v>
      </c>
      <c r="C112" s="1">
        <f>IFERROR(__xludf.DUMMYFUNCTION("""COMPUTED_VALUE"""),236.87)</f>
        <v>236.87</v>
      </c>
      <c r="D112" s="1"/>
      <c r="E112" s="112">
        <f>IFERROR(__xludf.DUMMYFUNCTION("""COMPUTED_VALUE"""),46288.64583333333)</f>
        <v>46288.64583</v>
      </c>
      <c r="F112" s="1">
        <f>IFERROR(__xludf.DUMMYFUNCTION("""COMPUTED_VALUE"""),126.0)</f>
        <v>126</v>
      </c>
      <c r="G112" s="1"/>
      <c r="H112" s="29">
        <f t="shared" si="4"/>
        <v>1.879920635</v>
      </c>
      <c r="I112" s="1">
        <f t="shared" si="5"/>
        <v>110.87</v>
      </c>
      <c r="J112" s="113">
        <f t="shared" si="6"/>
        <v>-1.150881201</v>
      </c>
      <c r="K112" s="29">
        <f t="shared" si="7"/>
        <v>1.879920635</v>
      </c>
      <c r="L112" s="65">
        <f t="shared" si="8"/>
        <v>237.2785</v>
      </c>
      <c r="M112" s="25">
        <f t="shared" si="9"/>
        <v>-0.001724574661</v>
      </c>
      <c r="N112" s="65">
        <f t="shared" si="10"/>
        <v>125.1625</v>
      </c>
      <c r="O112" s="25">
        <f t="shared" si="11"/>
        <v>0.006646825397</v>
      </c>
      <c r="P112" s="25">
        <f t="shared" si="12"/>
        <v>-0.008371400058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IFERROR(__xludf.DUMMYFUNCTION("""COMPUTED_VALUE"""),46289.64583333333)</f>
        <v>46289.64583</v>
      </c>
      <c r="C113" s="1">
        <f>IFERROR(__xludf.DUMMYFUNCTION("""COMPUTED_VALUE"""),234.3)</f>
        <v>234.3</v>
      </c>
      <c r="D113" s="1"/>
      <c r="E113" s="112">
        <f>IFERROR(__xludf.DUMMYFUNCTION("""COMPUTED_VALUE"""),46289.64583333333)</f>
        <v>46289.64583</v>
      </c>
      <c r="F113" s="1">
        <f>IFERROR(__xludf.DUMMYFUNCTION("""COMPUTED_VALUE"""),125.9)</f>
        <v>125.9</v>
      </c>
      <c r="G113" s="1"/>
      <c r="H113" s="29">
        <f t="shared" si="4"/>
        <v>1.861000794</v>
      </c>
      <c r="I113" s="1">
        <f t="shared" si="5"/>
        <v>108.4</v>
      </c>
      <c r="J113" s="113">
        <f t="shared" si="6"/>
        <v>-1.35464107</v>
      </c>
      <c r="K113" s="29">
        <f t="shared" si="7"/>
        <v>1.861000794</v>
      </c>
      <c r="L113" s="65">
        <f t="shared" si="8"/>
        <v>236.8685</v>
      </c>
      <c r="M113" s="25">
        <f t="shared" si="9"/>
        <v>-0.01096244131</v>
      </c>
      <c r="N113" s="65">
        <f t="shared" si="10"/>
        <v>124.985</v>
      </c>
      <c r="O113" s="25">
        <f t="shared" si="11"/>
        <v>0.007267672756</v>
      </c>
      <c r="P113" s="25">
        <f t="shared" si="12"/>
        <v>-0.01823011407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IFERROR(__xludf.DUMMYFUNCTION("""COMPUTED_VALUE"""),46290.64583333333)</f>
        <v>46290.64583</v>
      </c>
      <c r="C114" s="1">
        <f>IFERROR(__xludf.DUMMYFUNCTION("""COMPUTED_VALUE"""),235.26)</f>
        <v>235.26</v>
      </c>
      <c r="D114" s="1"/>
      <c r="E114" s="112">
        <f>IFERROR(__xludf.DUMMYFUNCTION("""COMPUTED_VALUE"""),46290.64583333333)</f>
        <v>46290.64583</v>
      </c>
      <c r="F114" s="1">
        <f>IFERROR(__xludf.DUMMYFUNCTION("""COMPUTED_VALUE"""),124.99)</f>
        <v>124.99</v>
      </c>
      <c r="G114" s="1"/>
      <c r="H114" s="29">
        <f t="shared" si="4"/>
        <v>1.882230578</v>
      </c>
      <c r="I114" s="1">
        <f t="shared" si="5"/>
        <v>110.27</v>
      </c>
      <c r="J114" s="113">
        <f t="shared" si="6"/>
        <v>-1.200377525</v>
      </c>
      <c r="K114" s="29">
        <f t="shared" si="7"/>
        <v>1.882230578</v>
      </c>
      <c r="L114" s="65">
        <f t="shared" si="8"/>
        <v>236.5815</v>
      </c>
      <c r="M114" s="25">
        <f t="shared" si="9"/>
        <v>-0.005617189492</v>
      </c>
      <c r="N114" s="65">
        <f t="shared" si="10"/>
        <v>124.8275</v>
      </c>
      <c r="O114" s="25">
        <f t="shared" si="11"/>
        <v>0.001300104008</v>
      </c>
      <c r="P114" s="25">
        <f t="shared" si="12"/>
        <v>-0.006917293501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IFERROR(__xludf.DUMMYFUNCTION("""COMPUTED_VALUE"""),46293.64583333333)</f>
        <v>46293.64583</v>
      </c>
      <c r="C115" s="1">
        <f>IFERROR(__xludf.DUMMYFUNCTION("""COMPUTED_VALUE"""),227.5)</f>
        <v>227.5</v>
      </c>
      <c r="D115" s="1"/>
      <c r="E115" s="112">
        <f>IFERROR(__xludf.DUMMYFUNCTION("""COMPUTED_VALUE"""),46293.64583333333)</f>
        <v>46293.64583</v>
      </c>
      <c r="F115" s="1">
        <f>IFERROR(__xludf.DUMMYFUNCTION("""COMPUTED_VALUE"""),120.65)</f>
        <v>120.65</v>
      </c>
      <c r="G115" s="1"/>
      <c r="H115" s="29">
        <f t="shared" si="4"/>
        <v>1.885619561</v>
      </c>
      <c r="I115" s="1">
        <f t="shared" si="5"/>
        <v>106.85</v>
      </c>
      <c r="J115" s="113">
        <f t="shared" si="6"/>
        <v>-1.482506574</v>
      </c>
      <c r="K115" s="29">
        <f t="shared" si="7"/>
        <v>1.885619561</v>
      </c>
      <c r="L115" s="65">
        <f t="shared" si="8"/>
        <v>235.8615</v>
      </c>
      <c r="M115" s="25">
        <f t="shared" si="9"/>
        <v>-0.03675384615</v>
      </c>
      <c r="N115" s="65">
        <f t="shared" si="10"/>
        <v>124.4425</v>
      </c>
      <c r="O115" s="25">
        <f t="shared" si="11"/>
        <v>-0.03143389971</v>
      </c>
      <c r="P115" s="25">
        <f t="shared" si="12"/>
        <v>-0.005319946444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IFERROR(__xludf.DUMMYFUNCTION("""COMPUTED_VALUE"""),46294.64583333333)</f>
        <v>46294.64583</v>
      </c>
      <c r="C116" s="1">
        <f>IFERROR(__xludf.DUMMYFUNCTION("""COMPUTED_VALUE"""),227.68)</f>
        <v>227.68</v>
      </c>
      <c r="D116" s="1"/>
      <c r="E116" s="112">
        <f>IFERROR(__xludf.DUMMYFUNCTION("""COMPUTED_VALUE"""),46294.64583333333)</f>
        <v>46294.64583</v>
      </c>
      <c r="F116" s="1">
        <f>IFERROR(__xludf.DUMMYFUNCTION("""COMPUTED_VALUE"""),119.51)</f>
        <v>119.51</v>
      </c>
      <c r="G116" s="1"/>
      <c r="H116" s="29">
        <f t="shared" si="4"/>
        <v>1.905112543</v>
      </c>
      <c r="I116" s="1">
        <f t="shared" si="5"/>
        <v>108.17</v>
      </c>
      <c r="J116" s="113">
        <f t="shared" si="6"/>
        <v>-1.373614661</v>
      </c>
      <c r="K116" s="29">
        <f t="shared" si="7"/>
        <v>1.905112543</v>
      </c>
      <c r="L116" s="65">
        <f t="shared" si="8"/>
        <v>235.3155</v>
      </c>
      <c r="M116" s="25">
        <f t="shared" si="9"/>
        <v>-0.0335361033</v>
      </c>
      <c r="N116" s="65">
        <f t="shared" si="10"/>
        <v>124.073</v>
      </c>
      <c r="O116" s="25">
        <f t="shared" si="11"/>
        <v>-0.03818090536</v>
      </c>
      <c r="P116" s="25">
        <f t="shared" si="12"/>
        <v>0.004644802061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IFERROR(__xludf.DUMMYFUNCTION("""COMPUTED_VALUE"""),46295.64583333333)</f>
        <v>46295.64583</v>
      </c>
      <c r="C117" s="1">
        <f>IFERROR(__xludf.DUMMYFUNCTION("""COMPUTED_VALUE"""),230.55)</f>
        <v>230.55</v>
      </c>
      <c r="D117" s="1"/>
      <c r="E117" s="112">
        <f>IFERROR(__xludf.DUMMYFUNCTION("""COMPUTED_VALUE"""),46295.64583333333)</f>
        <v>46295.64583</v>
      </c>
      <c r="F117" s="1">
        <f>IFERROR(__xludf.DUMMYFUNCTION("""COMPUTED_VALUE"""),119.44)</f>
        <v>119.44</v>
      </c>
      <c r="G117" s="1"/>
      <c r="H117" s="29">
        <f t="shared" si="4"/>
        <v>1.93025787</v>
      </c>
      <c r="I117" s="1">
        <f t="shared" si="5"/>
        <v>111.11</v>
      </c>
      <c r="J117" s="113">
        <f t="shared" si="6"/>
        <v>-1.131082671</v>
      </c>
      <c r="K117" s="218">
        <f t="shared" si="7"/>
        <v>1.93025787</v>
      </c>
      <c r="L117" s="65">
        <f t="shared" si="8"/>
        <v>234.958</v>
      </c>
      <c r="M117" s="25">
        <f t="shared" si="9"/>
        <v>-0.01911949686</v>
      </c>
      <c r="N117" s="65">
        <f t="shared" si="10"/>
        <v>123.765</v>
      </c>
      <c r="O117" s="25">
        <f t="shared" si="11"/>
        <v>-0.0362106497</v>
      </c>
      <c r="P117" s="25">
        <f t="shared" si="12"/>
        <v>0.01709115284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IFERROR(__xludf.DUMMYFUNCTION("""COMPUTED_VALUE"""),46296.64583333333)</f>
        <v>46296.64583</v>
      </c>
      <c r="C118" s="1">
        <f>IFERROR(__xludf.DUMMYFUNCTION("""COMPUTED_VALUE"""),230.82)</f>
        <v>230.82</v>
      </c>
      <c r="D118" s="1"/>
      <c r="E118" s="112">
        <f>IFERROR(__xludf.DUMMYFUNCTION("""COMPUTED_VALUE"""),46296.64583333333)</f>
        <v>46296.64583</v>
      </c>
      <c r="F118" s="1">
        <f>IFERROR(__xludf.DUMMYFUNCTION("""COMPUTED_VALUE"""),118.36)</f>
        <v>118.36</v>
      </c>
      <c r="G118" s="1"/>
      <c r="H118" s="29">
        <f t="shared" si="4"/>
        <v>1.950152078</v>
      </c>
      <c r="I118" s="1">
        <f t="shared" si="5"/>
        <v>112.46</v>
      </c>
      <c r="J118" s="113">
        <f t="shared" si="6"/>
        <v>-1.019715942</v>
      </c>
      <c r="K118" s="29">
        <f t="shared" si="7"/>
        <v>1.950152078</v>
      </c>
      <c r="L118" s="65">
        <f t="shared" si="8"/>
        <v>234.439</v>
      </c>
      <c r="M118" s="25">
        <f t="shared" si="9"/>
        <v>-0.01567888398</v>
      </c>
      <c r="N118" s="65">
        <f t="shared" si="10"/>
        <v>123.368</v>
      </c>
      <c r="O118" s="25">
        <f t="shared" si="11"/>
        <v>-0.04231159175</v>
      </c>
      <c r="P118" s="25">
        <f t="shared" si="12"/>
        <v>0.02663270778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IFERROR(__xludf.DUMMYFUNCTION("""COMPUTED_VALUE"""),46300.64583333333)</f>
        <v>46300.64583</v>
      </c>
      <c r="C119" s="1">
        <f>IFERROR(__xludf.DUMMYFUNCTION("""COMPUTED_VALUE"""),232.8)</f>
        <v>232.8</v>
      </c>
      <c r="D119" s="1"/>
      <c r="E119" s="112">
        <f>IFERROR(__xludf.DUMMYFUNCTION("""COMPUTED_VALUE"""),46300.64583333333)</f>
        <v>46300.64583</v>
      </c>
      <c r="F119" s="1">
        <f>IFERROR(__xludf.DUMMYFUNCTION("""COMPUTED_VALUE"""),118.5)</f>
        <v>118.5</v>
      </c>
      <c r="G119" s="1"/>
      <c r="H119" s="29">
        <f t="shared" si="4"/>
        <v>1.964556962</v>
      </c>
      <c r="I119" s="1"/>
      <c r="J119" s="113"/>
      <c r="K119" s="29"/>
      <c r="L119" s="65"/>
      <c r="M119" s="25"/>
      <c r="N119" s="65"/>
      <c r="O119" s="2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219"/>
      <c r="B120" s="220">
        <f>IFERROR(__xludf.DUMMYFUNCTION("""COMPUTED_VALUE"""),46301.64583333333)</f>
        <v>46301.64583</v>
      </c>
      <c r="C120" s="219">
        <f>IFERROR(__xludf.DUMMYFUNCTION("""COMPUTED_VALUE"""),232.73)</f>
        <v>232.73</v>
      </c>
      <c r="D120" s="219"/>
      <c r="E120" s="112">
        <f>IFERROR(__xludf.DUMMYFUNCTION("""COMPUTED_VALUE"""),46301.64583333333)</f>
        <v>46301.64583</v>
      </c>
      <c r="F120" s="1">
        <f>IFERROR(__xludf.DUMMYFUNCTION("""COMPUTED_VALUE"""),117.82)</f>
        <v>117.82</v>
      </c>
      <c r="G120" s="221"/>
      <c r="H120" s="29">
        <f t="shared" si="4"/>
        <v>1.975301307</v>
      </c>
      <c r="I120" s="222"/>
      <c r="J120" s="223"/>
      <c r="K120" s="224"/>
      <c r="L120" s="225"/>
      <c r="M120" s="226"/>
      <c r="N120" s="225"/>
      <c r="O120" s="226"/>
      <c r="P120" s="226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</row>
    <row r="121">
      <c r="A121" s="219"/>
      <c r="B121" s="220">
        <f>IFERROR(__xludf.DUMMYFUNCTION("""COMPUTED_VALUE"""),46302.64583333333)</f>
        <v>46302.64583</v>
      </c>
      <c r="C121" s="219">
        <f>IFERROR(__xludf.DUMMYFUNCTION("""COMPUTED_VALUE"""),234.55)</f>
        <v>234.55</v>
      </c>
      <c r="D121" s="219"/>
      <c r="E121" s="220">
        <f>IFERROR(__xludf.DUMMYFUNCTION("""COMPUTED_VALUE"""),46302.64583333333)</f>
        <v>46302.64583</v>
      </c>
      <c r="F121" s="219">
        <f>IFERROR(__xludf.DUMMYFUNCTION("""COMPUTED_VALUE"""),119.15)</f>
        <v>119.15</v>
      </c>
      <c r="G121" s="221"/>
      <c r="H121" s="29">
        <f t="shared" si="4"/>
        <v>1.968527067</v>
      </c>
      <c r="I121" s="222"/>
      <c r="J121" s="223"/>
      <c r="K121" s="224"/>
      <c r="L121" s="225"/>
      <c r="M121" s="226"/>
      <c r="N121" s="225"/>
      <c r="O121" s="226"/>
      <c r="P121" s="226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</row>
    <row r="122">
      <c r="A122" s="219"/>
      <c r="B122" s="220">
        <f>IFERROR(__xludf.DUMMYFUNCTION("""COMPUTED_VALUE"""),46303.64583333333)</f>
        <v>46303.64583</v>
      </c>
      <c r="C122" s="219">
        <f>IFERROR(__xludf.DUMMYFUNCTION("""COMPUTED_VALUE"""),234.0)</f>
        <v>234</v>
      </c>
      <c r="D122" s="219"/>
      <c r="E122" s="220">
        <f>IFERROR(__xludf.DUMMYFUNCTION("""COMPUTED_VALUE"""),46303.64583333333)</f>
        <v>46303.64583</v>
      </c>
      <c r="F122" s="219">
        <f>IFERROR(__xludf.DUMMYFUNCTION("""COMPUTED_VALUE"""),117.35)</f>
        <v>117.35</v>
      </c>
      <c r="G122" s="221"/>
      <c r="H122" s="29">
        <f t="shared" si="4"/>
        <v>1.994034938</v>
      </c>
      <c r="I122" s="222"/>
      <c r="J122" s="223"/>
      <c r="K122" s="224"/>
      <c r="L122" s="225"/>
      <c r="M122" s="226"/>
      <c r="N122" s="225"/>
      <c r="O122" s="226"/>
      <c r="P122" s="226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</row>
    <row r="123">
      <c r="A123" s="219"/>
      <c r="B123" s="220">
        <f>IFERROR(__xludf.DUMMYFUNCTION("""COMPUTED_VALUE"""),46304.64583333333)</f>
        <v>46304.64583</v>
      </c>
      <c r="C123" s="219">
        <f>IFERROR(__xludf.DUMMYFUNCTION("""COMPUTED_VALUE"""),235.8)</f>
        <v>235.8</v>
      </c>
      <c r="D123" s="219"/>
      <c r="E123" s="220">
        <f>IFERROR(__xludf.DUMMYFUNCTION("""COMPUTED_VALUE"""),46304.64583333333)</f>
        <v>46304.64583</v>
      </c>
      <c r="F123" s="219">
        <f>IFERROR(__xludf.DUMMYFUNCTION("""COMPUTED_VALUE"""),119.59)</f>
        <v>119.59</v>
      </c>
      <c r="G123" s="221"/>
      <c r="H123" s="228"/>
      <c r="I123" s="222"/>
      <c r="J123" s="223"/>
      <c r="K123" s="224"/>
      <c r="L123" s="225"/>
      <c r="M123" s="226"/>
      <c r="N123" s="225"/>
      <c r="O123" s="226"/>
      <c r="P123" s="226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</row>
    <row r="124">
      <c r="A124" s="219"/>
      <c r="B124" s="220">
        <f>IFERROR(__xludf.DUMMYFUNCTION("""COMPUTED_VALUE"""),46307.64583333333)</f>
        <v>46307.64583</v>
      </c>
      <c r="C124" s="219">
        <f>IFERROR(__xludf.DUMMYFUNCTION("""COMPUTED_VALUE"""),235.4)</f>
        <v>235.4</v>
      </c>
      <c r="D124" s="219"/>
      <c r="E124" s="220">
        <f>IFERROR(__xludf.DUMMYFUNCTION("""COMPUTED_VALUE"""),46307.64583333333)</f>
        <v>46307.64583</v>
      </c>
      <c r="F124" s="219">
        <f>IFERROR(__xludf.DUMMYFUNCTION("""COMPUTED_VALUE"""),118.38)</f>
        <v>118.38</v>
      </c>
      <c r="G124" s="221"/>
      <c r="H124" s="228"/>
      <c r="I124" s="222"/>
      <c r="J124" s="223"/>
      <c r="K124" s="224"/>
      <c r="L124" s="225"/>
      <c r="M124" s="226"/>
      <c r="N124" s="225"/>
      <c r="O124" s="226"/>
      <c r="P124" s="226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</row>
    <row r="125">
      <c r="A125" s="219"/>
      <c r="B125" s="220">
        <f>IFERROR(__xludf.DUMMYFUNCTION("""COMPUTED_VALUE"""),46308.64583333333)</f>
        <v>46308.64583</v>
      </c>
      <c r="C125" s="219">
        <f>IFERROR(__xludf.DUMMYFUNCTION("""COMPUTED_VALUE"""),238.43)</f>
        <v>238.43</v>
      </c>
      <c r="D125" s="219"/>
      <c r="E125" s="220">
        <f>IFERROR(__xludf.DUMMYFUNCTION("""COMPUTED_VALUE"""),46308.64583333333)</f>
        <v>46308.64583</v>
      </c>
      <c r="F125" s="219">
        <f>IFERROR(__xludf.DUMMYFUNCTION("""COMPUTED_VALUE"""),120.44)</f>
        <v>120.44</v>
      </c>
      <c r="G125" s="221"/>
      <c r="H125" s="228"/>
      <c r="I125" s="222"/>
      <c r="J125" s="223"/>
      <c r="K125" s="224"/>
      <c r="L125" s="225"/>
      <c r="M125" s="226"/>
      <c r="N125" s="225"/>
      <c r="O125" s="226"/>
      <c r="P125" s="226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  <c r="AC125" s="227"/>
    </row>
    <row r="126">
      <c r="B126" s="166">
        <f>IFERROR(__xludf.DUMMYFUNCTION("""COMPUTED_VALUE"""),46309.64583333333)</f>
        <v>46309.64583</v>
      </c>
      <c r="C126" s="230">
        <f>IFERROR(__xludf.DUMMYFUNCTION("""COMPUTED_VALUE"""),229.0)</f>
        <v>229</v>
      </c>
      <c r="E126" s="166">
        <f>IFERROR(__xludf.DUMMYFUNCTION("""COMPUTED_VALUE"""),46309.64583333333)</f>
        <v>46309.64583</v>
      </c>
      <c r="F126" s="230">
        <f>IFERROR(__xludf.DUMMYFUNCTION("""COMPUTED_VALUE"""),124.76)</f>
        <v>124.76</v>
      </c>
    </row>
    <row r="127">
      <c r="B127" s="166">
        <f>IFERROR(__xludf.DUMMYFUNCTION("""COMPUTED_VALUE"""),46310.64583333333)</f>
        <v>46310.64583</v>
      </c>
      <c r="C127" s="230">
        <f>IFERROR(__xludf.DUMMYFUNCTION("""COMPUTED_VALUE"""),228.0)</f>
        <v>228</v>
      </c>
      <c r="E127" s="166">
        <f>IFERROR(__xludf.DUMMYFUNCTION("""COMPUTED_VALUE"""),46310.64583333333)</f>
        <v>46310.64583</v>
      </c>
      <c r="F127" s="230">
        <f>IFERROR(__xludf.DUMMYFUNCTION("""COMPUTED_VALUE"""),117.12)</f>
        <v>117.12</v>
      </c>
    </row>
    <row r="128">
      <c r="A128" s="219"/>
      <c r="B128" s="220">
        <f>IFERROR(__xludf.DUMMYFUNCTION("""COMPUTED_VALUE"""),46311.64583333333)</f>
        <v>46311.64583</v>
      </c>
      <c r="C128" s="219">
        <f>IFERROR(__xludf.DUMMYFUNCTION("""COMPUTED_VALUE"""),230.4)</f>
        <v>230.4</v>
      </c>
      <c r="D128" s="219"/>
      <c r="E128" s="220">
        <f>IFERROR(__xludf.DUMMYFUNCTION("""COMPUTED_VALUE"""),46311.64583333333)</f>
        <v>46311.64583</v>
      </c>
      <c r="F128" s="219">
        <f>IFERROR(__xludf.DUMMYFUNCTION("""COMPUTED_VALUE"""),118.29)</f>
        <v>118.29</v>
      </c>
      <c r="G128" s="221"/>
      <c r="H128" s="228"/>
      <c r="I128" s="222"/>
      <c r="J128" s="223"/>
      <c r="K128" s="224"/>
      <c r="L128" s="225"/>
      <c r="M128" s="226"/>
      <c r="N128" s="225"/>
      <c r="O128" s="226"/>
      <c r="P128" s="226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</row>
    <row r="129">
      <c r="A129" s="219"/>
      <c r="B129" s="220"/>
      <c r="C129" s="219"/>
      <c r="D129" s="219"/>
      <c r="E129" s="220"/>
      <c r="F129" s="219"/>
      <c r="G129" s="221"/>
      <c r="H129" s="228"/>
      <c r="I129" s="222"/>
      <c r="J129" s="223"/>
      <c r="K129" s="224"/>
      <c r="L129" s="225"/>
      <c r="M129" s="226"/>
      <c r="N129" s="225"/>
      <c r="O129" s="226"/>
      <c r="P129" s="226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  <c r="AC129" s="227"/>
    </row>
    <row r="130">
      <c r="A130" s="219" t="s">
        <v>9</v>
      </c>
      <c r="B130" s="220">
        <f>IFERROR(__xludf.DUMMYFUNCTION("GOOGLEFINANCE(B9,""TRADETIME"")"),46311.64583333333)</f>
        <v>46311.64583</v>
      </c>
      <c r="C130" s="219">
        <f>IFERROR(__xludf.DUMMYFUNCTION("GOOGLEFINANCE(B9,""PRICE"")"),230.4)</f>
        <v>230.4</v>
      </c>
      <c r="D130" s="219"/>
      <c r="E130" s="220">
        <f>IFERROR(__xludf.DUMMYFUNCTION("GOOGLEFINANCE(E9,""TRADETIME"")"),46311.64583333333)</f>
        <v>46311.64583</v>
      </c>
      <c r="F130" s="219">
        <f>IFERROR(__xludf.DUMMYFUNCTION("GOOGLEFINANCE(E9,""PRICE"")"),118.29)</f>
        <v>118.29</v>
      </c>
      <c r="G130" s="221"/>
      <c r="H130" s="228">
        <f>C130/F130</f>
        <v>1.947755516</v>
      </c>
      <c r="I130" s="222">
        <f>C130-F130</f>
        <v>112.11</v>
      </c>
      <c r="J130" s="223">
        <f>((I130-$I$131)/$I$132)</f>
        <v>-1.048588797</v>
      </c>
      <c r="K130" s="224">
        <f>C130/F130</f>
        <v>1.947755516</v>
      </c>
      <c r="L130" s="225">
        <f>AVERAGE(C73:C109)</f>
        <v>242.1254054</v>
      </c>
      <c r="M130" s="226">
        <f>(C130-L130)/C130</f>
        <v>-0.05089151652</v>
      </c>
      <c r="N130" s="225">
        <f>AVERAGE(F73:F109)</f>
        <v>127.3402703</v>
      </c>
      <c r="O130" s="226">
        <f>(F130-N130)/F130</f>
        <v>-0.07650917466</v>
      </c>
      <c r="P130" s="226">
        <f>M130-O130</f>
        <v>0.02561765814</v>
      </c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  <c r="AC130" s="227"/>
    </row>
    <row r="131">
      <c r="A131" s="193"/>
      <c r="B131" s="193"/>
      <c r="C131" s="193"/>
      <c r="D131" s="193"/>
      <c r="E131" s="193"/>
      <c r="F131" s="193"/>
      <c r="G131" s="195"/>
      <c r="H131" s="96" t="s">
        <v>138</v>
      </c>
      <c r="I131" s="177">
        <f>AVERAGE(I11:I118)</f>
        <v>124.8211111</v>
      </c>
      <c r="J131" s="1"/>
      <c r="K131" s="195"/>
      <c r="L131" s="195"/>
      <c r="M131" s="195"/>
      <c r="N131" s="193"/>
      <c r="O131" s="193"/>
      <c r="P131" s="19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93"/>
      <c r="B132" s="110" t="s">
        <v>169</v>
      </c>
      <c r="C132" s="193"/>
      <c r="D132" s="193"/>
      <c r="E132" s="193"/>
      <c r="F132" s="193"/>
      <c r="G132" s="195"/>
      <c r="H132" s="96" t="s">
        <v>139</v>
      </c>
      <c r="I132" s="189">
        <f>_xlfn.STDEV.P(I11:I117)</f>
        <v>12.12211225</v>
      </c>
      <c r="J132" s="1"/>
      <c r="K132" s="195"/>
      <c r="L132" s="195"/>
      <c r="M132" s="195"/>
      <c r="N132" s="193"/>
      <c r="O132" s="193"/>
      <c r="P132" s="19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93"/>
      <c r="B133" s="217">
        <f>B130*B134*B135</f>
        <v>270923128.1</v>
      </c>
      <c r="C133" s="193"/>
      <c r="D133" s="193"/>
      <c r="E133" s="194">
        <f>E130*E134*E135</f>
        <v>312603609.4</v>
      </c>
      <c r="F133" s="195">
        <f>B133/E133</f>
        <v>0.8666666667</v>
      </c>
      <c r="G133" s="195"/>
      <c r="H133" s="195"/>
      <c r="I133" s="195"/>
      <c r="J133" s="195"/>
      <c r="K133" s="195"/>
      <c r="L133" s="195"/>
      <c r="M133" s="195"/>
      <c r="N133" s="193"/>
      <c r="O133" s="193"/>
      <c r="P133" s="19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93"/>
      <c r="B134" s="110">
        <v>2925.0</v>
      </c>
      <c r="C134" s="193"/>
      <c r="D134" s="193"/>
      <c r="E134" s="110">
        <v>6750.0</v>
      </c>
      <c r="F134" s="195"/>
      <c r="G134" s="195"/>
      <c r="H134" s="195"/>
      <c r="I134" s="195"/>
      <c r="J134" s="195"/>
      <c r="K134" s="195"/>
      <c r="L134" s="195"/>
      <c r="M134" s="195"/>
      <c r="N134" s="193"/>
      <c r="O134" s="193"/>
      <c r="P134" s="19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93"/>
      <c r="B135" s="110">
        <v>2.0</v>
      </c>
      <c r="C135" s="193"/>
      <c r="D135" s="193"/>
      <c r="E135" s="110">
        <v>1.0</v>
      </c>
      <c r="F135" s="195"/>
      <c r="G135" s="195"/>
      <c r="H135" s="195"/>
      <c r="I135" s="195"/>
      <c r="J135" s="195"/>
      <c r="K135" s="195"/>
      <c r="L135" s="195"/>
      <c r="M135" s="195"/>
      <c r="N135" s="193"/>
      <c r="O135" s="193"/>
      <c r="P135" s="19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93"/>
      <c r="B136" s="193"/>
      <c r="C136" s="193"/>
      <c r="D136" s="193"/>
      <c r="E136" s="193"/>
      <c r="F136" s="193"/>
      <c r="G136" s="195"/>
      <c r="H136" s="195"/>
      <c r="I136" s="195"/>
      <c r="J136" s="195"/>
      <c r="K136" s="195"/>
      <c r="L136" s="195"/>
      <c r="M136" s="195"/>
      <c r="N136" s="193"/>
      <c r="O136" s="193"/>
      <c r="P136" s="19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>
        <f>C130*B134</f>
        <v>673920</v>
      </c>
      <c r="C137" s="1"/>
      <c r="D137" s="1"/>
      <c r="E137" s="1">
        <f>F130*E134</f>
        <v>798457.5</v>
      </c>
      <c r="F137" s="1">
        <f>E137-B137</f>
        <v>124537.5</v>
      </c>
      <c r="G137" s="1"/>
      <c r="H137" s="1"/>
      <c r="I137" s="1"/>
      <c r="J137" s="1"/>
      <c r="K137" s="1"/>
      <c r="L137" s="1">
        <f>F130-C130</f>
        <v>-112.11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7">
        <v>354.8</v>
      </c>
      <c r="C138" s="1"/>
      <c r="D138" s="1"/>
      <c r="E138" s="7">
        <v>412.25</v>
      </c>
      <c r="F138" s="1"/>
      <c r="G138" s="7">
        <v>-21500.0</v>
      </c>
      <c r="H138" s="1"/>
      <c r="I138" s="1"/>
      <c r="J138" s="1">
        <f>E134</f>
        <v>6750</v>
      </c>
      <c r="K138" s="1">
        <f>B134</f>
        <v>2925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>
        <f>B138*B134</f>
        <v>1037790</v>
      </c>
      <c r="C139" s="1"/>
      <c r="D139" s="1"/>
      <c r="E139" s="1">
        <f>E138*E134</f>
        <v>2782687.5</v>
      </c>
      <c r="F139" s="1">
        <f>E139-B139</f>
        <v>1744897.5</v>
      </c>
      <c r="G139" s="1">
        <f>F139-F137</f>
        <v>1620360</v>
      </c>
      <c r="H139" s="231">
        <f>G138+G139</f>
        <v>1598860</v>
      </c>
      <c r="I139" s="1"/>
      <c r="J139" s="7">
        <v>407.4</v>
      </c>
      <c r="K139" s="7">
        <v>353.25</v>
      </c>
      <c r="L139" s="1">
        <f>J139-K139</f>
        <v>54.15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>
        <f>J139*J138</f>
        <v>2749950</v>
      </c>
      <c r="K140" s="1">
        <f>K138*K139</f>
        <v>1033256.25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 t="str">
        <f>J140-#REF!</f>
        <v>#REF!</v>
      </c>
      <c r="K142" s="1" t="str">
        <f>#REF!-K140</f>
        <v>#REF!</v>
      </c>
      <c r="L142" s="1" t="str">
        <f>J142+K142</f>
        <v>#REF!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7.0"/>
    <col customWidth="1" min="5" max="5" width="16.25"/>
    <col customWidth="1" min="6" max="6" width="6.13"/>
    <col customWidth="1" min="7" max="7" width="15.38"/>
    <col customWidth="1" min="8" max="11" width="10.75"/>
    <col customWidth="1" min="12" max="12" width="16.88"/>
    <col customWidth="1" min="13" max="13" width="17.25"/>
    <col customWidth="1" min="14" max="14" width="16.88"/>
    <col customWidth="1" min="15" max="15" width="23.13"/>
    <col customWidth="1" min="16" max="16" width="16.0"/>
  </cols>
  <sheetData>
    <row r="1">
      <c r="A1" s="9"/>
      <c r="B1" s="204" t="s">
        <v>0</v>
      </c>
      <c r="C1" s="205">
        <f>AVERAGE(C98:C118)</f>
        <v>1372.704762</v>
      </c>
      <c r="D1" s="9"/>
      <c r="E1" s="204" t="s">
        <v>0</v>
      </c>
      <c r="F1" s="205">
        <f>AVERAGE(F98:F118)</f>
        <v>1848.842857</v>
      </c>
      <c r="G1" s="193">
        <f>STDEV(F74:F93)</f>
        <v>25.49926521</v>
      </c>
      <c r="H1" s="9"/>
      <c r="I1" s="9"/>
      <c r="J1" s="9"/>
      <c r="K1" s="9"/>
      <c r="L1" s="9"/>
      <c r="M1" s="206"/>
      <c r="N1" s="9"/>
      <c r="O1" s="9"/>
      <c r="P1" s="193" t="s">
        <v>1</v>
      </c>
      <c r="Q1" s="193" t="s">
        <v>2</v>
      </c>
      <c r="R1" s="193" t="s">
        <v>3</v>
      </c>
      <c r="S1" s="9"/>
      <c r="T1" s="7" t="s">
        <v>5</v>
      </c>
      <c r="U1" s="7" t="s">
        <v>163</v>
      </c>
      <c r="V1" s="7" t="s">
        <v>164</v>
      </c>
      <c r="W1" s="7" t="s">
        <v>11</v>
      </c>
      <c r="X1" s="13" t="s">
        <v>12</v>
      </c>
      <c r="Y1" s="14" t="s">
        <v>14</v>
      </c>
      <c r="Z1" s="1"/>
      <c r="AA1" s="9"/>
      <c r="AB1" s="9"/>
      <c r="AC1" s="9"/>
    </row>
    <row r="2">
      <c r="A2" s="9"/>
      <c r="B2" s="207" t="s">
        <v>20</v>
      </c>
      <c r="C2" s="208">
        <f>AVERAGE(C88:C118)</f>
        <v>1387.251613</v>
      </c>
      <c r="D2" s="9"/>
      <c r="E2" s="207" t="s">
        <v>20</v>
      </c>
      <c r="F2" s="208">
        <f>AVERAGE(F88:F118)</f>
        <v>1872.722581</v>
      </c>
      <c r="G2" s="206"/>
      <c r="H2" s="209"/>
      <c r="I2" s="209"/>
      <c r="J2" s="209"/>
      <c r="K2" s="209"/>
      <c r="L2" s="206"/>
      <c r="M2" s="193" t="s">
        <v>23</v>
      </c>
      <c r="N2" s="210">
        <f>CORREL(C88:C118,F88:F118)</f>
        <v>0.8167781868</v>
      </c>
      <c r="O2" s="193" t="s">
        <v>25</v>
      </c>
      <c r="P2" s="29">
        <f>AVERAGE(K88:K116)</f>
        <v>0.7404994986</v>
      </c>
      <c r="Q2" s="29">
        <f>MAX(K88:K116)</f>
        <v>0.7589941762</v>
      </c>
      <c r="R2" s="29">
        <f>MIN(K88:K116)</f>
        <v>0.7099959694</v>
      </c>
      <c r="S2" s="40">
        <f t="shared" ref="S2:S5" si="1">Q2-R2</f>
        <v>0.04899820687</v>
      </c>
      <c r="T2" s="1">
        <f>MATCH(MAX(K11:K116), K11:K116, 0)</f>
        <v>40</v>
      </c>
      <c r="U2" s="1">
        <f t="array" ref="U2">INDEX(C11:C116, MATCH(MAX(K11:K116), K11:K116, 0))</f>
        <v>1465.4</v>
      </c>
      <c r="V2" s="1">
        <f t="array" ref="V2">INDEX(F11:F116, MATCH(MAX(K11:K116), K11:K116, 0))</f>
        <v>1862.5</v>
      </c>
      <c r="W2" s="54">
        <f t="shared" ref="W2:W3" si="2">U2/V2</f>
        <v>0.7867919463</v>
      </c>
      <c r="X2" s="7" t="s">
        <v>2</v>
      </c>
      <c r="Y2" s="14">
        <v>2711.0</v>
      </c>
      <c r="Z2" s="1"/>
      <c r="AA2" s="9"/>
      <c r="AB2" s="9"/>
      <c r="AC2" s="9"/>
    </row>
    <row r="3">
      <c r="A3" s="193">
        <f>STDEV(C75:C93)</f>
        <v>20.67065185</v>
      </c>
      <c r="B3" s="211" t="s">
        <v>61</v>
      </c>
      <c r="C3" s="212">
        <f>max(C98:C118)</f>
        <v>1399.7</v>
      </c>
      <c r="D3" s="213">
        <f>C1+A3*2</f>
        <v>1414.046066</v>
      </c>
      <c r="E3" s="211" t="s">
        <v>61</v>
      </c>
      <c r="F3" s="212">
        <f>max(F98:F118)</f>
        <v>1899</v>
      </c>
      <c r="G3" s="213">
        <f>F1+G1*2</f>
        <v>1899.841388</v>
      </c>
      <c r="H3" s="209"/>
      <c r="I3" s="209"/>
      <c r="J3" s="209"/>
      <c r="K3" s="209"/>
      <c r="L3" s="206"/>
      <c r="M3" s="193" t="s">
        <v>64</v>
      </c>
      <c r="N3" s="210">
        <f>CORREL(C58:C118,F58:F118)</f>
        <v>0.8341926085</v>
      </c>
      <c r="O3" s="193" t="s">
        <v>67</v>
      </c>
      <c r="P3" s="29">
        <f>AVERAGE((K58:K116))</f>
        <v>0.741511057</v>
      </c>
      <c r="Q3" s="29">
        <f>MAX(K58:K116)</f>
        <v>0.7632126287</v>
      </c>
      <c r="R3" s="29">
        <f>MIN(K58:K116)</f>
        <v>0.7099959694</v>
      </c>
      <c r="S3" s="40">
        <f t="shared" si="1"/>
        <v>0.05321665929</v>
      </c>
      <c r="T3" s="1">
        <f>MATCH(Min(K11:K116), K11:K116, 0)</f>
        <v>6</v>
      </c>
      <c r="U3" s="1">
        <f t="array" ref="U3">INDEX(C11:C116, MATCH(Min(K11:K116), K11:K116, 0))</f>
        <v>1304.9</v>
      </c>
      <c r="V3" s="1">
        <f t="array" ref="V3">INDEX(F11:F116, MATCH(MIN(K11:K116), K11:K116, 0))</f>
        <v>1872.7</v>
      </c>
      <c r="W3" s="54">
        <f t="shared" si="2"/>
        <v>0.6968014097</v>
      </c>
      <c r="X3" s="7" t="s">
        <v>3</v>
      </c>
      <c r="Y3" s="9"/>
      <c r="Z3" s="1"/>
      <c r="AA3" s="9"/>
      <c r="AB3" s="9"/>
      <c r="AC3" s="9"/>
    </row>
    <row r="4">
      <c r="A4" s="9"/>
      <c r="B4" s="211" t="s">
        <v>73</v>
      </c>
      <c r="C4" s="212">
        <f>MIN(C98:C118)</f>
        <v>1335.5</v>
      </c>
      <c r="D4" s="213">
        <f>C1-A3*2</f>
        <v>1331.363458</v>
      </c>
      <c r="E4" s="211" t="s">
        <v>73</v>
      </c>
      <c r="F4" s="212">
        <f>MIN(F98:F118)</f>
        <v>1779.7</v>
      </c>
      <c r="G4" s="213">
        <f>F1-G1*2</f>
        <v>1797.844327</v>
      </c>
      <c r="H4" s="209"/>
      <c r="I4" s="209"/>
      <c r="J4" s="209"/>
      <c r="K4" s="209"/>
      <c r="L4" s="206"/>
      <c r="M4" s="193" t="s">
        <v>77</v>
      </c>
      <c r="N4" s="210">
        <f>CORREL(C28:C118,F28:F118)</f>
        <v>0.7144355818</v>
      </c>
      <c r="O4" s="193" t="s">
        <v>79</v>
      </c>
      <c r="P4" s="29">
        <f>AVERAGE(K28:K116)</f>
        <v>0.750315884</v>
      </c>
      <c r="Q4" s="29">
        <f>MAX(K28:K116)</f>
        <v>0.7867919463</v>
      </c>
      <c r="R4" s="29">
        <f>MIN(K28:K116)</f>
        <v>0.7099959694</v>
      </c>
      <c r="S4" s="40">
        <f t="shared" si="1"/>
        <v>0.07679597694</v>
      </c>
      <c r="T4" s="1"/>
      <c r="U4" s="1"/>
      <c r="V4" s="1"/>
      <c r="W4" s="54"/>
      <c r="X4" s="1"/>
      <c r="Y4" s="9"/>
      <c r="Z4" s="1"/>
      <c r="AA4" s="9"/>
      <c r="AB4" s="9"/>
      <c r="AC4" s="9"/>
    </row>
    <row r="5">
      <c r="A5" s="9"/>
      <c r="B5" s="211" t="s">
        <v>81</v>
      </c>
      <c r="C5" s="212">
        <f>max(C108:C118)</f>
        <v>1399.7</v>
      </c>
      <c r="D5" s="213">
        <f>C1+A3</f>
        <v>1393.375414</v>
      </c>
      <c r="E5" s="211" t="s">
        <v>81</v>
      </c>
      <c r="F5" s="212">
        <f>max(F108:F118)</f>
        <v>1868.9</v>
      </c>
      <c r="G5" s="213">
        <f>F1+G1</f>
        <v>1874.342122</v>
      </c>
      <c r="H5" s="9"/>
      <c r="I5" s="9"/>
      <c r="J5" s="9"/>
      <c r="K5" s="9"/>
      <c r="L5" s="9"/>
      <c r="M5" s="193" t="s">
        <v>82</v>
      </c>
      <c r="N5" s="210">
        <f>CORREL(C11:C118,F11:F118)</f>
        <v>0.6784489759</v>
      </c>
      <c r="O5" s="193" t="s">
        <v>83</v>
      </c>
      <c r="P5" s="29">
        <f>AVERAGE(K11:K116)</f>
        <v>0.7489566603</v>
      </c>
      <c r="Q5" s="29">
        <f>MAX(K11:K116)</f>
        <v>0.7867919463</v>
      </c>
      <c r="R5" s="29">
        <f>MIN(K11:K116)</f>
        <v>0.6968014097</v>
      </c>
      <c r="S5" s="40">
        <f t="shared" si="1"/>
        <v>0.08999053658</v>
      </c>
      <c r="T5" s="96" t="s">
        <v>163</v>
      </c>
      <c r="U5" s="96">
        <v>2.0</v>
      </c>
      <c r="V5" s="99">
        <f>U2*U7*U5</f>
        <v>1905020</v>
      </c>
      <c r="W5" s="101">
        <f>V2*U6*U8</f>
        <v>2607500</v>
      </c>
      <c r="X5" s="99"/>
      <c r="Y5" s="9"/>
      <c r="Z5" s="1"/>
      <c r="AA5" s="9"/>
      <c r="AB5" s="9"/>
      <c r="AC5" s="9"/>
    </row>
    <row r="6">
      <c r="A6" s="9"/>
      <c r="B6" s="211" t="s">
        <v>87</v>
      </c>
      <c r="C6" s="212">
        <f>MIN(C108:C118)</f>
        <v>1335.5</v>
      </c>
      <c r="D6" s="213">
        <f>C1-A3</f>
        <v>1352.03411</v>
      </c>
      <c r="E6" s="211" t="s">
        <v>87</v>
      </c>
      <c r="F6" s="212">
        <f>MIN(F108:F118)</f>
        <v>1779.7</v>
      </c>
      <c r="G6" s="213">
        <f>F1-G1</f>
        <v>1823.343592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6" t="s">
        <v>164</v>
      </c>
      <c r="U6" s="96">
        <v>4.0</v>
      </c>
      <c r="V6" s="99">
        <f>U3*U5*U7</f>
        <v>1696370</v>
      </c>
      <c r="W6" s="99">
        <f>V3*U6*U8</f>
        <v>2621780</v>
      </c>
      <c r="X6" s="99"/>
      <c r="Y6" s="9"/>
      <c r="Z6" s="1"/>
      <c r="AA6" s="9"/>
      <c r="AB6" s="9"/>
      <c r="AC6" s="9"/>
    </row>
    <row r="7">
      <c r="A7" s="9"/>
      <c r="B7" s="214" t="s">
        <v>88</v>
      </c>
      <c r="C7" s="193">
        <f>max(C88:C118)</f>
        <v>1437.9</v>
      </c>
      <c r="D7" s="9"/>
      <c r="E7" s="214" t="s">
        <v>88</v>
      </c>
      <c r="F7" s="193">
        <f>max(F88:F118)</f>
        <v>1984.8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7" t="s">
        <v>163</v>
      </c>
      <c r="U7" s="7">
        <v>650.0</v>
      </c>
      <c r="V7" s="1"/>
      <c r="W7" s="1"/>
      <c r="X7" s="1"/>
      <c r="Y7" s="9"/>
      <c r="Z7" s="1"/>
      <c r="AA7" s="9"/>
      <c r="AB7" s="9"/>
      <c r="AC7" s="9"/>
    </row>
    <row r="8">
      <c r="A8" s="9"/>
      <c r="B8" s="211" t="s">
        <v>90</v>
      </c>
      <c r="C8" s="215">
        <f>AVERAGE(C98:C118)</f>
        <v>1372.704762</v>
      </c>
      <c r="D8" s="9"/>
      <c r="E8" s="211" t="s">
        <v>90</v>
      </c>
      <c r="F8" s="215">
        <f>AVERAGE(F98:F118)</f>
        <v>1848.842857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7" t="s">
        <v>164</v>
      </c>
      <c r="U8" s="7">
        <v>350.0</v>
      </c>
      <c r="V8" s="1"/>
      <c r="W8" s="1"/>
      <c r="X8" s="1"/>
      <c r="Y8" s="9"/>
      <c r="Z8" s="1"/>
      <c r="AA8" s="9"/>
      <c r="AB8" s="9"/>
      <c r="AC8" s="9"/>
    </row>
    <row r="9">
      <c r="A9" s="9"/>
      <c r="B9" s="216" t="s">
        <v>111</v>
      </c>
      <c r="C9" s="9"/>
      <c r="D9" s="9"/>
      <c r="E9" s="216" t="s">
        <v>114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"/>
      <c r="U9" s="1"/>
      <c r="V9" s="1"/>
      <c r="W9" s="1"/>
      <c r="X9" s="1"/>
      <c r="Y9" s="9"/>
      <c r="Z9" s="1"/>
      <c r="AA9" s="9"/>
      <c r="AB9" s="9"/>
      <c r="AC9" s="9"/>
    </row>
    <row r="10">
      <c r="A10" s="9"/>
      <c r="B10" s="193" t="str">
        <f>IFERROR(__xludf.DUMMYFUNCTION("GOOGLEFINANCE(B9,""price"",TODAY()-166,TODAY())"),"Date")</f>
        <v>Date</v>
      </c>
      <c r="C10" s="193" t="str">
        <f>IFERROR(__xludf.DUMMYFUNCTION("""COMPUTED_VALUE"""),"Close")</f>
        <v>Close</v>
      </c>
      <c r="D10" s="9"/>
      <c r="E10" s="193" t="str">
        <f>IFERROR(__xludf.DUMMYFUNCTION("GOOGLEFINANCE(E9,""price"",TODAY()-166,TODAY())"),"Date")</f>
        <v>Date</v>
      </c>
      <c r="F10" s="193" t="str">
        <f>IFERROR(__xludf.DUMMYFUNCTION("""COMPUTED_VALUE"""),"Close")</f>
        <v>Close</v>
      </c>
      <c r="G10" s="9"/>
      <c r="H10" s="7" t="s">
        <v>92</v>
      </c>
      <c r="I10" s="7" t="s">
        <v>93</v>
      </c>
      <c r="J10" s="7" t="s">
        <v>94</v>
      </c>
      <c r="K10" s="193" t="s">
        <v>92</v>
      </c>
      <c r="L10" s="110" t="s">
        <v>165</v>
      </c>
      <c r="M10" s="110" t="s">
        <v>166</v>
      </c>
      <c r="N10" s="110" t="s">
        <v>167</v>
      </c>
      <c r="O10" s="110" t="s">
        <v>168</v>
      </c>
      <c r="P10" s="214" t="s">
        <v>99</v>
      </c>
      <c r="Q10" s="9"/>
      <c r="R10" s="9"/>
      <c r="S10" s="9"/>
      <c r="T10" s="1"/>
      <c r="U10" s="1"/>
      <c r="V10" s="1"/>
      <c r="W10" s="1"/>
      <c r="X10" s="1"/>
      <c r="Y10" s="110" t="s">
        <v>1</v>
      </c>
      <c r="Z10" s="111" t="s">
        <v>163</v>
      </c>
      <c r="AA10" s="111" t="s">
        <v>164</v>
      </c>
      <c r="AB10" s="9"/>
      <c r="AC10" s="9"/>
    </row>
    <row r="11">
      <c r="A11" s="9"/>
      <c r="B11" s="217">
        <f>IFERROR(__xludf.DUMMYFUNCTION("""COMPUTED_VALUE"""),46146.64583333333)</f>
        <v>46146.64583</v>
      </c>
      <c r="C11" s="193">
        <f>IFERROR(__xludf.DUMMYFUNCTION("""COMPUTED_VALUE"""),1335.0)</f>
        <v>1335</v>
      </c>
      <c r="D11" s="9"/>
      <c r="E11" s="217">
        <f>IFERROR(__xludf.DUMMYFUNCTION("""COMPUTED_VALUE"""),46146.64583333333)</f>
        <v>46146.64583</v>
      </c>
      <c r="F11" s="193">
        <f>IFERROR(__xludf.DUMMYFUNCTION("""COMPUTED_VALUE"""),1823.5)</f>
        <v>1823.5</v>
      </c>
      <c r="G11" s="9"/>
      <c r="H11" s="29">
        <f t="shared" ref="H11:H122" si="3">C11/F11</f>
        <v>0.7321085824</v>
      </c>
      <c r="I11" s="1">
        <f t="shared" ref="I11:I118" si="4">C11-F11</f>
        <v>-488.5</v>
      </c>
      <c r="J11" s="113">
        <f t="shared" ref="J11:J118" si="5">((I11-$I$129)/$I$130)</f>
        <v>-0.3793833342</v>
      </c>
      <c r="K11" s="199">
        <f t="shared" ref="K11:K116" si="6">C11/F11</f>
        <v>0.7321085824</v>
      </c>
      <c r="L11" s="9"/>
      <c r="M11" s="9"/>
      <c r="N11" s="9"/>
      <c r="O11" s="9"/>
      <c r="P11" s="9"/>
      <c r="Q11" s="9"/>
      <c r="R11" s="9"/>
      <c r="S11" s="9"/>
      <c r="T11" s="1"/>
      <c r="U11" s="1"/>
      <c r="V11" s="1">
        <f>V5-V6</f>
        <v>208650</v>
      </c>
      <c r="W11" s="54">
        <f>W6-W5</f>
        <v>14280</v>
      </c>
      <c r="X11" s="101">
        <f>V11+W11</f>
        <v>222930</v>
      </c>
      <c r="Y11" s="110" t="s">
        <v>101</v>
      </c>
      <c r="Z11" s="115">
        <f>AVERAGE(C88,C118)</f>
        <v>1386.2</v>
      </c>
      <c r="AA11" s="115">
        <f>AVERAGE(F88,F118)</f>
        <v>1853.25</v>
      </c>
      <c r="AB11" s="9"/>
      <c r="AC11" s="9"/>
    </row>
    <row r="12">
      <c r="A12" s="9"/>
      <c r="B12" s="217">
        <f>IFERROR(__xludf.DUMMYFUNCTION("""COMPUTED_VALUE"""),46147.64583333333)</f>
        <v>46147.64583</v>
      </c>
      <c r="C12" s="193">
        <f>IFERROR(__xludf.DUMMYFUNCTION("""COMPUTED_VALUE"""),1333.7)</f>
        <v>1333.7</v>
      </c>
      <c r="D12" s="9"/>
      <c r="E12" s="217">
        <f>IFERROR(__xludf.DUMMYFUNCTION("""COMPUTED_VALUE"""),46147.64583333333)</f>
        <v>46147.64583</v>
      </c>
      <c r="F12" s="193">
        <f>IFERROR(__xludf.DUMMYFUNCTION("""COMPUTED_VALUE"""),1820.8)</f>
        <v>1820.8</v>
      </c>
      <c r="G12" s="9"/>
      <c r="H12" s="29">
        <f t="shared" si="3"/>
        <v>0.7324802285</v>
      </c>
      <c r="I12" s="1">
        <f t="shared" si="4"/>
        <v>-487.1</v>
      </c>
      <c r="J12" s="113">
        <f t="shared" si="5"/>
        <v>-0.3461122013</v>
      </c>
      <c r="K12" s="199">
        <f t="shared" si="6"/>
        <v>0.7324802285</v>
      </c>
      <c r="L12" s="9"/>
      <c r="M12" s="9"/>
      <c r="N12" s="9"/>
      <c r="O12" s="9"/>
      <c r="P12" s="9"/>
      <c r="Q12" s="9"/>
      <c r="R12" s="9"/>
      <c r="S12" s="9"/>
      <c r="T12" s="7" t="s">
        <v>103</v>
      </c>
      <c r="U12" s="116">
        <f>S2/2</f>
        <v>0.02449910343</v>
      </c>
      <c r="V12" s="1"/>
      <c r="W12" s="1"/>
      <c r="X12" s="1"/>
      <c r="Y12" s="110" t="s">
        <v>104</v>
      </c>
      <c r="Z12" s="115">
        <f>AVERAGE(C58,C118)</f>
        <v>1389.8</v>
      </c>
      <c r="AA12" s="115">
        <f>AVERAGE(F58,F118)</f>
        <v>1869.8</v>
      </c>
      <c r="AB12" s="9"/>
      <c r="AC12" s="9"/>
    </row>
    <row r="13">
      <c r="A13" s="9"/>
      <c r="B13" s="217">
        <f>IFERROR(__xludf.DUMMYFUNCTION("""COMPUTED_VALUE"""),46148.64583333333)</f>
        <v>46148.64583</v>
      </c>
      <c r="C13" s="193">
        <f>IFERROR(__xludf.DUMMYFUNCTION("""COMPUTED_VALUE"""),1364.4)</f>
        <v>1364.4</v>
      </c>
      <c r="D13" s="9"/>
      <c r="E13" s="217">
        <f>IFERROR(__xludf.DUMMYFUNCTION("""COMPUTED_VALUE"""),46148.64583333333)</f>
        <v>46148.64583</v>
      </c>
      <c r="F13" s="193">
        <f>IFERROR(__xludf.DUMMYFUNCTION("""COMPUTED_VALUE"""),1850.2)</f>
        <v>1850.2</v>
      </c>
      <c r="G13" s="9"/>
      <c r="H13" s="29">
        <f t="shared" si="3"/>
        <v>0.7374337909</v>
      </c>
      <c r="I13" s="1">
        <f t="shared" si="4"/>
        <v>-485.8</v>
      </c>
      <c r="J13" s="113">
        <f t="shared" si="5"/>
        <v>-0.315217578</v>
      </c>
      <c r="K13" s="199">
        <f t="shared" si="6"/>
        <v>0.7374337909</v>
      </c>
      <c r="L13" s="9"/>
      <c r="M13" s="9"/>
      <c r="N13" s="9"/>
      <c r="O13" s="209"/>
      <c r="P13" s="9"/>
      <c r="Q13" s="9"/>
      <c r="R13" s="9"/>
      <c r="S13" s="9"/>
      <c r="T13" s="117"/>
      <c r="U13" s="118">
        <f>(X11*U12)/S2</f>
        <v>111465</v>
      </c>
      <c r="V13" s="117"/>
      <c r="W13" s="117"/>
      <c r="X13" s="119">
        <f>X11/(R2/U12)</f>
        <v>7692.41709</v>
      </c>
      <c r="Y13" s="110" t="s">
        <v>105</v>
      </c>
      <c r="Z13" s="115">
        <f>AVERAGE(C28,C118)</f>
        <v>1379.2</v>
      </c>
      <c r="AA13" s="115">
        <f>AVERAGE(F28,F118)</f>
        <v>1824.2</v>
      </c>
      <c r="AB13" s="9"/>
      <c r="AC13" s="9"/>
    </row>
    <row r="14">
      <c r="A14" s="9"/>
      <c r="B14" s="217">
        <f>IFERROR(__xludf.DUMMYFUNCTION("""COMPUTED_VALUE"""),46149.64583333333)</f>
        <v>46149.64583</v>
      </c>
      <c r="C14" s="193">
        <f>IFERROR(__xludf.DUMMYFUNCTION("""COMPUTED_VALUE"""),1362.3)</f>
        <v>1362.3</v>
      </c>
      <c r="D14" s="9"/>
      <c r="E14" s="217">
        <f>IFERROR(__xludf.DUMMYFUNCTION("""COMPUTED_VALUE"""),46149.64583333333)</f>
        <v>46149.64583</v>
      </c>
      <c r="F14" s="193">
        <f>IFERROR(__xludf.DUMMYFUNCTION("""COMPUTED_VALUE"""),1834.4)</f>
        <v>1834.4</v>
      </c>
      <c r="G14" s="9"/>
      <c r="H14" s="29">
        <f t="shared" si="3"/>
        <v>0.7426406454</v>
      </c>
      <c r="I14" s="1">
        <f t="shared" si="4"/>
        <v>-472.1</v>
      </c>
      <c r="J14" s="113">
        <f t="shared" si="5"/>
        <v>0.01036422194</v>
      </c>
      <c r="K14" s="199">
        <f t="shared" si="6"/>
        <v>0.7426406454</v>
      </c>
      <c r="L14" s="9"/>
      <c r="M14" s="9"/>
      <c r="N14" s="9"/>
      <c r="O14" s="9"/>
      <c r="P14" s="9"/>
      <c r="Q14" s="9"/>
      <c r="R14" s="9"/>
      <c r="S14" s="1"/>
      <c r="T14" s="1"/>
      <c r="U14" s="1"/>
      <c r="V14" s="1"/>
      <c r="W14" s="1"/>
      <c r="X14" s="1"/>
      <c r="Y14" s="1"/>
      <c r="Z14" s="1"/>
      <c r="AA14" s="9"/>
      <c r="AB14" s="9"/>
      <c r="AC14" s="9"/>
    </row>
    <row r="15">
      <c r="A15" s="9"/>
      <c r="B15" s="217">
        <f>IFERROR(__xludf.DUMMYFUNCTION("""COMPUTED_VALUE"""),46150.64583333333)</f>
        <v>46150.64583</v>
      </c>
      <c r="C15" s="193">
        <f>IFERROR(__xludf.DUMMYFUNCTION("""COMPUTED_VALUE"""),1347.0)</f>
        <v>1347</v>
      </c>
      <c r="D15" s="9"/>
      <c r="E15" s="217">
        <f>IFERROR(__xludf.DUMMYFUNCTION("""COMPUTED_VALUE"""),46150.64583333333)</f>
        <v>46150.64583</v>
      </c>
      <c r="F15" s="193">
        <f>IFERROR(__xludf.DUMMYFUNCTION("""COMPUTED_VALUE"""),1847.9)</f>
        <v>1847.9</v>
      </c>
      <c r="G15" s="9"/>
      <c r="H15" s="29">
        <f t="shared" si="3"/>
        <v>0.7289355485</v>
      </c>
      <c r="I15" s="1">
        <f t="shared" si="4"/>
        <v>-500.9</v>
      </c>
      <c r="J15" s="113">
        <f t="shared" si="5"/>
        <v>-0.6740705108</v>
      </c>
      <c r="K15" s="199">
        <f t="shared" si="6"/>
        <v>0.7289355485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217">
        <f>IFERROR(__xludf.DUMMYFUNCTION("""COMPUTED_VALUE"""),46153.64583333333)</f>
        <v>46153.64583</v>
      </c>
      <c r="C16" s="193">
        <f>IFERROR(__xludf.DUMMYFUNCTION("""COMPUTED_VALUE"""),1304.9)</f>
        <v>1304.9</v>
      </c>
      <c r="D16" s="9"/>
      <c r="E16" s="217">
        <f>IFERROR(__xludf.DUMMYFUNCTION("""COMPUTED_VALUE"""),46153.64583333333)</f>
        <v>46153.64583</v>
      </c>
      <c r="F16" s="193">
        <f>IFERROR(__xludf.DUMMYFUNCTION("""COMPUTED_VALUE"""),1872.7)</f>
        <v>1872.7</v>
      </c>
      <c r="G16" s="9"/>
      <c r="H16" s="29">
        <f t="shared" si="3"/>
        <v>0.6968014097</v>
      </c>
      <c r="I16" s="1">
        <f t="shared" si="4"/>
        <v>-567.8</v>
      </c>
      <c r="J16" s="113">
        <f t="shared" si="5"/>
        <v>-2.263955359</v>
      </c>
      <c r="K16" s="199">
        <f t="shared" si="6"/>
        <v>0.6968014097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217">
        <f>IFERROR(__xludf.DUMMYFUNCTION("""COMPUTED_VALUE"""),46154.64583333333)</f>
        <v>46154.64583</v>
      </c>
      <c r="C17" s="193">
        <f>IFERROR(__xludf.DUMMYFUNCTION("""COMPUTED_VALUE"""),1292.3)</f>
        <v>1292.3</v>
      </c>
      <c r="D17" s="9"/>
      <c r="E17" s="217">
        <f>IFERROR(__xludf.DUMMYFUNCTION("""COMPUTED_VALUE"""),46154.64583333333)</f>
        <v>46154.64583</v>
      </c>
      <c r="F17" s="193">
        <f>IFERROR(__xludf.DUMMYFUNCTION("""COMPUTED_VALUE"""),1845.7)</f>
        <v>1845.7</v>
      </c>
      <c r="G17" s="9"/>
      <c r="H17" s="29">
        <f t="shared" si="3"/>
        <v>0.700167958</v>
      </c>
      <c r="I17" s="1">
        <f t="shared" si="4"/>
        <v>-553.4</v>
      </c>
      <c r="J17" s="113">
        <f t="shared" si="5"/>
        <v>-1.921737992</v>
      </c>
      <c r="K17" s="199">
        <f t="shared" si="6"/>
        <v>0.700167958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217">
        <f>IFERROR(__xludf.DUMMYFUNCTION("""COMPUTED_VALUE"""),46155.64583333333)</f>
        <v>46155.64583</v>
      </c>
      <c r="C18" s="193">
        <f>IFERROR(__xludf.DUMMYFUNCTION("""COMPUTED_VALUE"""),1327.6)</f>
        <v>1327.6</v>
      </c>
      <c r="D18" s="9"/>
      <c r="E18" s="217">
        <f>IFERROR(__xludf.DUMMYFUNCTION("""COMPUTED_VALUE"""),46155.64583333333)</f>
        <v>46155.64583</v>
      </c>
      <c r="F18" s="193">
        <f>IFERROR(__xludf.DUMMYFUNCTION("""COMPUTED_VALUE"""),1824.8)</f>
        <v>1824.8</v>
      </c>
      <c r="G18" s="9"/>
      <c r="H18" s="29">
        <f t="shared" si="3"/>
        <v>0.7275317843</v>
      </c>
      <c r="I18" s="1">
        <f t="shared" si="4"/>
        <v>-497.2</v>
      </c>
      <c r="J18" s="113">
        <f t="shared" si="5"/>
        <v>-0.5861396597</v>
      </c>
      <c r="K18" s="199">
        <f t="shared" si="6"/>
        <v>0.7275317843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217">
        <f>IFERROR(__xludf.DUMMYFUNCTION("""COMPUTED_VALUE"""),46156.64583333333)</f>
        <v>46156.64583</v>
      </c>
      <c r="C19" s="193">
        <f>IFERROR(__xludf.DUMMYFUNCTION("""COMPUTED_VALUE"""),1436.7)</f>
        <v>1436.7</v>
      </c>
      <c r="D19" s="9"/>
      <c r="E19" s="217">
        <f>IFERROR(__xludf.DUMMYFUNCTION("""COMPUTED_VALUE"""),46156.64583333333)</f>
        <v>46156.64583</v>
      </c>
      <c r="F19" s="193">
        <f>IFERROR(__xludf.DUMMYFUNCTION("""COMPUTED_VALUE"""),1863.2)</f>
        <v>1863.2</v>
      </c>
      <c r="G19" s="9"/>
      <c r="H19" s="29">
        <f t="shared" si="3"/>
        <v>0.7710927437</v>
      </c>
      <c r="I19" s="1">
        <f t="shared" si="4"/>
        <v>-426.5</v>
      </c>
      <c r="J19" s="113">
        <f t="shared" si="5"/>
        <v>1.094052549</v>
      </c>
      <c r="K19" s="199">
        <f t="shared" si="6"/>
        <v>0.7710927437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217">
        <f>IFERROR(__xludf.DUMMYFUNCTION("""COMPUTED_VALUE"""),46157.64583333333)</f>
        <v>46157.64583</v>
      </c>
      <c r="C20" s="193">
        <f>IFERROR(__xludf.DUMMYFUNCTION("""COMPUTED_VALUE"""),1432.1)</f>
        <v>1432.1</v>
      </c>
      <c r="D20" s="9"/>
      <c r="E20" s="217">
        <f>IFERROR(__xludf.DUMMYFUNCTION("""COMPUTED_VALUE"""),46157.64583333333)</f>
        <v>46157.64583</v>
      </c>
      <c r="F20" s="193">
        <f>IFERROR(__xludf.DUMMYFUNCTION("""COMPUTED_VALUE"""),1878.2)</f>
        <v>1878.2</v>
      </c>
      <c r="G20" s="9"/>
      <c r="H20" s="29">
        <f t="shared" si="3"/>
        <v>0.7624853583</v>
      </c>
      <c r="I20" s="1">
        <f t="shared" si="4"/>
        <v>-446.1</v>
      </c>
      <c r="J20" s="113">
        <f t="shared" si="5"/>
        <v>0.6282566889</v>
      </c>
      <c r="K20" s="199">
        <f t="shared" si="6"/>
        <v>0.7624853583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217">
        <f>IFERROR(__xludf.DUMMYFUNCTION("""COMPUTED_VALUE"""),46160.64583333333)</f>
        <v>46160.64583</v>
      </c>
      <c r="C21" s="193">
        <f>IFERROR(__xludf.DUMMYFUNCTION("""COMPUTED_VALUE"""),1426.2)</f>
        <v>1426.2</v>
      </c>
      <c r="D21" s="9"/>
      <c r="E21" s="217">
        <f>IFERROR(__xludf.DUMMYFUNCTION("""COMPUTED_VALUE"""),46160.64583333333)</f>
        <v>46160.64583</v>
      </c>
      <c r="F21" s="193">
        <f>IFERROR(__xludf.DUMMYFUNCTION("""COMPUTED_VALUE"""),1905.8)</f>
        <v>1905.8</v>
      </c>
      <c r="G21" s="9"/>
      <c r="H21" s="29">
        <f t="shared" si="3"/>
        <v>0.7483471508</v>
      </c>
      <c r="I21" s="1">
        <f t="shared" si="4"/>
        <v>-479.6</v>
      </c>
      <c r="J21" s="113">
        <f t="shared" si="5"/>
        <v>-0.1678739897</v>
      </c>
      <c r="K21" s="199">
        <f t="shared" si="6"/>
        <v>0.7483471508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217">
        <f>IFERROR(__xludf.DUMMYFUNCTION("""COMPUTED_VALUE"""),46161.64583333333)</f>
        <v>46161.64583</v>
      </c>
      <c r="C22" s="193">
        <f>IFERROR(__xludf.DUMMYFUNCTION("""COMPUTED_VALUE"""),1409.8)</f>
        <v>1409.8</v>
      </c>
      <c r="D22" s="9"/>
      <c r="E22" s="217">
        <f>IFERROR(__xludf.DUMMYFUNCTION("""COMPUTED_VALUE"""),46161.64583333333)</f>
        <v>46161.64583</v>
      </c>
      <c r="F22" s="193">
        <f>IFERROR(__xludf.DUMMYFUNCTION("""COMPUTED_VALUE"""),1882.3)</f>
        <v>1882.3</v>
      </c>
      <c r="G22" s="9"/>
      <c r="H22" s="29">
        <f t="shared" si="3"/>
        <v>0.748977315</v>
      </c>
      <c r="I22" s="1">
        <f t="shared" si="4"/>
        <v>-472.5</v>
      </c>
      <c r="J22" s="113">
        <f t="shared" si="5"/>
        <v>0.000858183982</v>
      </c>
      <c r="K22" s="199">
        <f t="shared" si="6"/>
        <v>0.748977315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217">
        <f>IFERROR(__xludf.DUMMYFUNCTION("""COMPUTED_VALUE"""),46162.64583333333)</f>
        <v>46162.64583</v>
      </c>
      <c r="C23" s="193">
        <f>IFERROR(__xludf.DUMMYFUNCTION("""COMPUTED_VALUE"""),1399.5)</f>
        <v>1399.5</v>
      </c>
      <c r="D23" s="9"/>
      <c r="E23" s="217">
        <f>IFERROR(__xludf.DUMMYFUNCTION("""COMPUTED_VALUE"""),46162.64583333333)</f>
        <v>46162.64583</v>
      </c>
      <c r="F23" s="193">
        <f>IFERROR(__xludf.DUMMYFUNCTION("""COMPUTED_VALUE"""),1880.3)</f>
        <v>1880.3</v>
      </c>
      <c r="G23" s="9"/>
      <c r="H23" s="29">
        <f t="shared" si="3"/>
        <v>0.744296123</v>
      </c>
      <c r="I23" s="1">
        <f t="shared" si="4"/>
        <v>-480.8</v>
      </c>
      <c r="J23" s="113">
        <f t="shared" si="5"/>
        <v>-0.1963921036</v>
      </c>
      <c r="K23" s="199">
        <f t="shared" si="6"/>
        <v>0.744296123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217">
        <f>IFERROR(__xludf.DUMMYFUNCTION("""COMPUTED_VALUE"""),46163.64583333333)</f>
        <v>46163.64583</v>
      </c>
      <c r="C24" s="193">
        <f>IFERROR(__xludf.DUMMYFUNCTION("""COMPUTED_VALUE"""),1401.9)</f>
        <v>1401.9</v>
      </c>
      <c r="D24" s="9"/>
      <c r="E24" s="217">
        <f>IFERROR(__xludf.DUMMYFUNCTION("""COMPUTED_VALUE"""),46163.64583333333)</f>
        <v>46163.64583</v>
      </c>
      <c r="F24" s="193">
        <f>IFERROR(__xludf.DUMMYFUNCTION("""COMPUTED_VALUE"""),1891.3)</f>
        <v>1891.3</v>
      </c>
      <c r="G24" s="9"/>
      <c r="H24" s="29">
        <f t="shared" si="3"/>
        <v>0.7412361867</v>
      </c>
      <c r="I24" s="1">
        <f t="shared" si="4"/>
        <v>-489.4</v>
      </c>
      <c r="J24" s="113">
        <f t="shared" si="5"/>
        <v>-0.4007719196</v>
      </c>
      <c r="K24" s="199">
        <f t="shared" si="6"/>
        <v>0.7412361867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217">
        <f>IFERROR(__xludf.DUMMYFUNCTION("""COMPUTED_VALUE"""),46164.64583333333)</f>
        <v>46164.64583</v>
      </c>
      <c r="C25" s="193">
        <f>IFERROR(__xludf.DUMMYFUNCTION("""COMPUTED_VALUE"""),1399.2)</f>
        <v>1399.2</v>
      </c>
      <c r="D25" s="9"/>
      <c r="E25" s="217">
        <f>IFERROR(__xludf.DUMMYFUNCTION("""COMPUTED_VALUE"""),46164.64583333333)</f>
        <v>46164.64583</v>
      </c>
      <c r="F25" s="193">
        <f>IFERROR(__xludf.DUMMYFUNCTION("""COMPUTED_VALUE"""),1844.6)</f>
        <v>1844.6</v>
      </c>
      <c r="G25" s="9"/>
      <c r="H25" s="29">
        <f t="shared" si="3"/>
        <v>0.7585384365</v>
      </c>
      <c r="I25" s="1">
        <f t="shared" si="4"/>
        <v>-445.4</v>
      </c>
      <c r="J25" s="113">
        <f t="shared" si="5"/>
        <v>0.6448922554</v>
      </c>
      <c r="K25" s="199">
        <f t="shared" si="6"/>
        <v>0.7585384365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217">
        <f>IFERROR(__xludf.DUMMYFUNCTION("""COMPUTED_VALUE"""),46167.64583333333)</f>
        <v>46167.64583</v>
      </c>
      <c r="C26" s="193">
        <f>IFERROR(__xludf.DUMMYFUNCTION("""COMPUTED_VALUE"""),1413.9)</f>
        <v>1413.9</v>
      </c>
      <c r="D26" s="9"/>
      <c r="E26" s="217">
        <f>IFERROR(__xludf.DUMMYFUNCTION("""COMPUTED_VALUE"""),46167.64583333333)</f>
        <v>46167.64583</v>
      </c>
      <c r="F26" s="193">
        <f>IFERROR(__xludf.DUMMYFUNCTION("""COMPUTED_VALUE"""),1840.6)</f>
        <v>1840.6</v>
      </c>
      <c r="G26" s="9"/>
      <c r="H26" s="29">
        <f t="shared" si="3"/>
        <v>0.7681734217</v>
      </c>
      <c r="I26" s="1">
        <f t="shared" si="4"/>
        <v>-426.7</v>
      </c>
      <c r="J26" s="113">
        <f t="shared" si="5"/>
        <v>1.08929953</v>
      </c>
      <c r="K26" s="199">
        <f t="shared" si="6"/>
        <v>0.7681734217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217">
        <f>IFERROR(__xludf.DUMMYFUNCTION("""COMPUTED_VALUE"""),46168.64583333333)</f>
        <v>46168.64583</v>
      </c>
      <c r="C27" s="193">
        <f>IFERROR(__xludf.DUMMYFUNCTION("""COMPUTED_VALUE"""),1417.5)</f>
        <v>1417.5</v>
      </c>
      <c r="D27" s="9"/>
      <c r="E27" s="217">
        <f>IFERROR(__xludf.DUMMYFUNCTION("""COMPUTED_VALUE"""),46168.64583333333)</f>
        <v>46168.64583</v>
      </c>
      <c r="F27" s="193">
        <f>IFERROR(__xludf.DUMMYFUNCTION("""COMPUTED_VALUE"""),1840.8)</f>
        <v>1840.8</v>
      </c>
      <c r="G27" s="9"/>
      <c r="H27" s="29">
        <f t="shared" si="3"/>
        <v>0.7700456323</v>
      </c>
      <c r="I27" s="1">
        <f t="shared" si="4"/>
        <v>-423.3</v>
      </c>
      <c r="J27" s="113">
        <f t="shared" si="5"/>
        <v>1.170100852</v>
      </c>
      <c r="K27" s="199">
        <f t="shared" si="6"/>
        <v>0.7700456323</v>
      </c>
      <c r="L27" s="9"/>
      <c r="M27" s="9"/>
      <c r="N27" s="9"/>
      <c r="O27" s="9"/>
      <c r="P27" s="9"/>
      <c r="Q27" s="9"/>
      <c r="R27" s="212" t="s">
        <v>112</v>
      </c>
      <c r="S27" s="229">
        <f>AVERAGE(K88:K118)</f>
        <v>0.740609078</v>
      </c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217">
        <f>IFERROR(__xludf.DUMMYFUNCTION("""COMPUTED_VALUE"""),46169.64583333333)</f>
        <v>46169.64583</v>
      </c>
      <c r="C28" s="193">
        <f>IFERROR(__xludf.DUMMYFUNCTION("""COMPUTED_VALUE"""),1418.2)</f>
        <v>1418.2</v>
      </c>
      <c r="D28" s="9"/>
      <c r="E28" s="217">
        <f>IFERROR(__xludf.DUMMYFUNCTION("""COMPUTED_VALUE"""),46169.64583333333)</f>
        <v>46169.64583</v>
      </c>
      <c r="F28" s="193">
        <f>IFERROR(__xludf.DUMMYFUNCTION("""COMPUTED_VALUE"""),1844.3)</f>
        <v>1844.3</v>
      </c>
      <c r="G28" s="9"/>
      <c r="H28" s="29">
        <f t="shared" si="3"/>
        <v>0.7689638345</v>
      </c>
      <c r="I28" s="1">
        <f t="shared" si="4"/>
        <v>-426.1</v>
      </c>
      <c r="J28" s="113">
        <f t="shared" si="5"/>
        <v>1.103558587</v>
      </c>
      <c r="K28" s="199">
        <f t="shared" si="6"/>
        <v>0.7689638345</v>
      </c>
      <c r="L28" s="9"/>
      <c r="M28" s="9"/>
      <c r="N28" s="9"/>
      <c r="O28" s="9"/>
      <c r="P28" s="9"/>
      <c r="Q28" s="9"/>
      <c r="R28" s="212" t="s">
        <v>113</v>
      </c>
      <c r="S28" s="229">
        <f>MAX(K88:K118)</f>
        <v>0.7589941762</v>
      </c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217">
        <f>IFERROR(__xludf.DUMMYFUNCTION("""COMPUTED_VALUE"""),46171.64583333333)</f>
        <v>46171.64583</v>
      </c>
      <c r="C29" s="193">
        <f>IFERROR(__xludf.DUMMYFUNCTION("""COMPUTED_VALUE"""),1401.0)</f>
        <v>1401</v>
      </c>
      <c r="D29" s="9"/>
      <c r="E29" s="217">
        <f>IFERROR(__xludf.DUMMYFUNCTION("""COMPUTED_VALUE"""),46171.64583333333)</f>
        <v>46171.64583</v>
      </c>
      <c r="F29" s="193">
        <f>IFERROR(__xludf.DUMMYFUNCTION("""COMPUTED_VALUE"""),1799.2)</f>
        <v>1799.2</v>
      </c>
      <c r="G29" s="9"/>
      <c r="H29" s="29">
        <f t="shared" si="3"/>
        <v>0.7786794131</v>
      </c>
      <c r="I29" s="1">
        <f t="shared" si="4"/>
        <v>-398.2</v>
      </c>
      <c r="J29" s="113">
        <f t="shared" si="5"/>
        <v>1.766604734</v>
      </c>
      <c r="K29" s="199">
        <f t="shared" si="6"/>
        <v>0.7786794131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217">
        <f>IFERROR(__xludf.DUMMYFUNCTION("""COMPUTED_VALUE"""),46174.64583333333)</f>
        <v>46174.64583</v>
      </c>
      <c r="C30" s="193">
        <f>IFERROR(__xludf.DUMMYFUNCTION("""COMPUTED_VALUE"""),1390.3)</f>
        <v>1390.3</v>
      </c>
      <c r="D30" s="9"/>
      <c r="E30" s="217">
        <f>IFERROR(__xludf.DUMMYFUNCTION("""COMPUTED_VALUE"""),46174.64583333333)</f>
        <v>46174.64583</v>
      </c>
      <c r="F30" s="193">
        <f>IFERROR(__xludf.DUMMYFUNCTION("""COMPUTED_VALUE"""),1796.5)</f>
        <v>1796.5</v>
      </c>
      <c r="G30" s="9"/>
      <c r="H30" s="29">
        <f t="shared" si="3"/>
        <v>0.7738936822</v>
      </c>
      <c r="I30" s="1">
        <f t="shared" si="4"/>
        <v>-406.2</v>
      </c>
      <c r="J30" s="113">
        <f t="shared" si="5"/>
        <v>1.576483975</v>
      </c>
      <c r="K30" s="199">
        <f t="shared" si="6"/>
        <v>0.7738936822</v>
      </c>
      <c r="L30" s="193">
        <f t="shared" ref="L30:L118" si="7">AVERAGE(C11:C30)</f>
        <v>1380.675</v>
      </c>
      <c r="M30" s="210">
        <f t="shared" ref="M30:M118" si="8">(C30-L30)/C30</f>
        <v>0.006922966266</v>
      </c>
      <c r="N30" s="213">
        <f t="shared" ref="N30:N118" si="9">AVERAGE(F11:F30)</f>
        <v>1849.355</v>
      </c>
      <c r="O30" s="210">
        <f t="shared" ref="O30:O118" si="10">(F30-N30)/F30</f>
        <v>-0.02942109658</v>
      </c>
      <c r="P30" s="210">
        <f t="shared" ref="P30:P118" si="11">M30-O30</f>
        <v>0.03634406284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217">
        <f>IFERROR(__xludf.DUMMYFUNCTION("""COMPUTED_VALUE"""),46175.64583333333)</f>
        <v>46175.64583</v>
      </c>
      <c r="C31" s="193">
        <f>IFERROR(__xludf.DUMMYFUNCTION("""COMPUTED_VALUE"""),1379.3)</f>
        <v>1379.3</v>
      </c>
      <c r="D31" s="9"/>
      <c r="E31" s="217">
        <f>IFERROR(__xludf.DUMMYFUNCTION("""COMPUTED_VALUE"""),46175.64583333333)</f>
        <v>46175.64583</v>
      </c>
      <c r="F31" s="193">
        <f>IFERROR(__xludf.DUMMYFUNCTION("""COMPUTED_VALUE"""),1789.9)</f>
        <v>1789.9</v>
      </c>
      <c r="G31" s="9"/>
      <c r="H31" s="29">
        <f t="shared" si="3"/>
        <v>0.7706017096</v>
      </c>
      <c r="I31" s="1">
        <f t="shared" si="4"/>
        <v>-410.6</v>
      </c>
      <c r="J31" s="113">
        <f t="shared" si="5"/>
        <v>1.471917557</v>
      </c>
      <c r="K31" s="199">
        <f t="shared" si="6"/>
        <v>0.7706017096</v>
      </c>
      <c r="L31" s="213">
        <f t="shared" si="7"/>
        <v>1382.89</v>
      </c>
      <c r="M31" s="210">
        <f t="shared" si="8"/>
        <v>-0.002602769521</v>
      </c>
      <c r="N31" s="213">
        <f t="shared" si="9"/>
        <v>1847.675</v>
      </c>
      <c r="O31" s="210">
        <f t="shared" si="10"/>
        <v>-0.03227833957</v>
      </c>
      <c r="P31" s="210">
        <f t="shared" si="11"/>
        <v>0.02967557005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217">
        <f>IFERROR(__xludf.DUMMYFUNCTION("""COMPUTED_VALUE"""),46176.64583333333)</f>
        <v>46176.64583</v>
      </c>
      <c r="C32" s="193">
        <f>IFERROR(__xludf.DUMMYFUNCTION("""COMPUTED_VALUE"""),1375.2)</f>
        <v>1375.2</v>
      </c>
      <c r="D32" s="9"/>
      <c r="E32" s="217">
        <f>IFERROR(__xludf.DUMMYFUNCTION("""COMPUTED_VALUE"""),46176.64583333333)</f>
        <v>46176.64583</v>
      </c>
      <c r="F32" s="193">
        <f>IFERROR(__xludf.DUMMYFUNCTION("""COMPUTED_VALUE"""),1788.5)</f>
        <v>1788.5</v>
      </c>
      <c r="G32" s="9"/>
      <c r="H32" s="29">
        <f t="shared" si="3"/>
        <v>0.7689124965</v>
      </c>
      <c r="I32" s="1">
        <f t="shared" si="4"/>
        <v>-413.3</v>
      </c>
      <c r="J32" s="113">
        <f t="shared" si="5"/>
        <v>1.407751801</v>
      </c>
      <c r="K32" s="199">
        <f t="shared" si="6"/>
        <v>0.7689124965</v>
      </c>
      <c r="L32" s="213">
        <f t="shared" si="7"/>
        <v>1384.965</v>
      </c>
      <c r="M32" s="210">
        <f t="shared" si="8"/>
        <v>-0.00710078534</v>
      </c>
      <c r="N32" s="213">
        <f t="shared" si="9"/>
        <v>1846.06</v>
      </c>
      <c r="O32" s="210">
        <f t="shared" si="10"/>
        <v>-0.03218339391</v>
      </c>
      <c r="P32" s="210">
        <f t="shared" si="11"/>
        <v>0.02508260857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217">
        <f>IFERROR(__xludf.DUMMYFUNCTION("""COMPUTED_VALUE"""),46177.64583333333)</f>
        <v>46177.64583</v>
      </c>
      <c r="C33" s="193">
        <f>IFERROR(__xludf.DUMMYFUNCTION("""COMPUTED_VALUE"""),1398.7)</f>
        <v>1398.7</v>
      </c>
      <c r="D33" s="9"/>
      <c r="E33" s="217">
        <f>IFERROR(__xludf.DUMMYFUNCTION("""COMPUTED_VALUE"""),46177.64583333333)</f>
        <v>46177.64583</v>
      </c>
      <c r="F33" s="193">
        <f>IFERROR(__xludf.DUMMYFUNCTION("""COMPUTED_VALUE"""),1780.1)</f>
        <v>1780.1</v>
      </c>
      <c r="G33" s="9"/>
      <c r="H33" s="29">
        <f t="shared" si="3"/>
        <v>0.785742374</v>
      </c>
      <c r="I33" s="1">
        <f t="shared" si="4"/>
        <v>-381.4</v>
      </c>
      <c r="J33" s="113">
        <f t="shared" si="5"/>
        <v>2.165858328</v>
      </c>
      <c r="K33" s="199">
        <f t="shared" si="6"/>
        <v>0.785742374</v>
      </c>
      <c r="L33" s="213">
        <f t="shared" si="7"/>
        <v>1386.68</v>
      </c>
      <c r="M33" s="210">
        <f t="shared" si="8"/>
        <v>0.008593694145</v>
      </c>
      <c r="N33" s="213">
        <f t="shared" si="9"/>
        <v>1842.555</v>
      </c>
      <c r="O33" s="210">
        <f t="shared" si="10"/>
        <v>-0.03508510758</v>
      </c>
      <c r="P33" s="210">
        <f t="shared" si="11"/>
        <v>0.04367880172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217">
        <f>IFERROR(__xludf.DUMMYFUNCTION("""COMPUTED_VALUE"""),46178.64583333333)</f>
        <v>46178.64583</v>
      </c>
      <c r="C34" s="193">
        <f>IFERROR(__xludf.DUMMYFUNCTION("""COMPUTED_VALUE"""),1401.3)</f>
        <v>1401.3</v>
      </c>
      <c r="D34" s="9"/>
      <c r="E34" s="217">
        <f>IFERROR(__xludf.DUMMYFUNCTION("""COMPUTED_VALUE"""),46178.64583333333)</f>
        <v>46178.64583</v>
      </c>
      <c r="F34" s="193">
        <f>IFERROR(__xludf.DUMMYFUNCTION("""COMPUTED_VALUE"""),1782.2)</f>
        <v>1782.2</v>
      </c>
      <c r="G34" s="9"/>
      <c r="H34" s="29">
        <f t="shared" si="3"/>
        <v>0.78627539</v>
      </c>
      <c r="I34" s="1">
        <f t="shared" si="4"/>
        <v>-380.9</v>
      </c>
      <c r="J34" s="113">
        <f t="shared" si="5"/>
        <v>2.177740875</v>
      </c>
      <c r="K34" s="199">
        <f t="shared" si="6"/>
        <v>0.78627539</v>
      </c>
      <c r="L34" s="213">
        <f t="shared" si="7"/>
        <v>1388.63</v>
      </c>
      <c r="M34" s="210">
        <f t="shared" si="8"/>
        <v>0.009041604225</v>
      </c>
      <c r="N34" s="213">
        <f t="shared" si="9"/>
        <v>1839.945</v>
      </c>
      <c r="O34" s="210">
        <f t="shared" si="10"/>
        <v>-0.0324009651</v>
      </c>
      <c r="P34" s="210">
        <f t="shared" si="11"/>
        <v>0.04144256932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217">
        <f>IFERROR(__xludf.DUMMYFUNCTION("""COMPUTED_VALUE"""),46181.64583333333)</f>
        <v>46181.64583</v>
      </c>
      <c r="C35" s="193">
        <f>IFERROR(__xludf.DUMMYFUNCTION("""COMPUTED_VALUE"""),1387.9)</f>
        <v>1387.9</v>
      </c>
      <c r="D35" s="9"/>
      <c r="E35" s="217">
        <f>IFERROR(__xludf.DUMMYFUNCTION("""COMPUTED_VALUE"""),46181.64583333333)</f>
        <v>46181.64583</v>
      </c>
      <c r="F35" s="193">
        <f>IFERROR(__xludf.DUMMYFUNCTION("""COMPUTED_VALUE"""),1788.8)</f>
        <v>1788.8</v>
      </c>
      <c r="G35" s="9"/>
      <c r="H35" s="29">
        <f t="shared" si="3"/>
        <v>0.7758832737</v>
      </c>
      <c r="I35" s="1">
        <f t="shared" si="4"/>
        <v>-400.9</v>
      </c>
      <c r="J35" s="113">
        <f t="shared" si="5"/>
        <v>1.702438978</v>
      </c>
      <c r="K35" s="199">
        <f t="shared" si="6"/>
        <v>0.7758832737</v>
      </c>
      <c r="L35" s="213">
        <f t="shared" si="7"/>
        <v>1390.675</v>
      </c>
      <c r="M35" s="210">
        <f t="shared" si="8"/>
        <v>-0.00199942359</v>
      </c>
      <c r="N35" s="213">
        <f t="shared" si="9"/>
        <v>1836.99</v>
      </c>
      <c r="O35" s="210">
        <f t="shared" si="10"/>
        <v>-0.02693984794</v>
      </c>
      <c r="P35" s="210">
        <f t="shared" si="11"/>
        <v>0.02494042435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217">
        <f>IFERROR(__xludf.DUMMYFUNCTION("""COMPUTED_VALUE"""),46182.64583333333)</f>
        <v>46182.64583</v>
      </c>
      <c r="C36" s="193">
        <f>IFERROR(__xludf.DUMMYFUNCTION("""COMPUTED_VALUE"""),1376.5)</f>
        <v>1376.5</v>
      </c>
      <c r="D36" s="9"/>
      <c r="E36" s="217">
        <f>IFERROR(__xludf.DUMMYFUNCTION("""COMPUTED_VALUE"""),46182.64583333333)</f>
        <v>46182.64583</v>
      </c>
      <c r="F36" s="193">
        <f>IFERROR(__xludf.DUMMYFUNCTION("""COMPUTED_VALUE"""),1779.0)</f>
        <v>1779</v>
      </c>
      <c r="G36" s="9"/>
      <c r="H36" s="29">
        <f t="shared" si="3"/>
        <v>0.7737492974</v>
      </c>
      <c r="I36" s="1">
        <f t="shared" si="4"/>
        <v>-402.5</v>
      </c>
      <c r="J36" s="113">
        <f t="shared" si="5"/>
        <v>1.664414826</v>
      </c>
      <c r="K36" s="199">
        <f t="shared" si="6"/>
        <v>0.7737492974</v>
      </c>
      <c r="L36" s="213">
        <f t="shared" si="7"/>
        <v>1394.255</v>
      </c>
      <c r="M36" s="210">
        <f t="shared" si="8"/>
        <v>-0.01289865601</v>
      </c>
      <c r="N36" s="213">
        <f t="shared" si="9"/>
        <v>1832.305</v>
      </c>
      <c r="O36" s="210">
        <f t="shared" si="10"/>
        <v>-0.02996346262</v>
      </c>
      <c r="P36" s="210">
        <f t="shared" si="11"/>
        <v>0.01706480661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217">
        <f>IFERROR(__xludf.DUMMYFUNCTION("""COMPUTED_VALUE"""),46183.64583333333)</f>
        <v>46183.64583</v>
      </c>
      <c r="C37" s="193">
        <f>IFERROR(__xludf.DUMMYFUNCTION("""COMPUTED_VALUE"""),1377.0)</f>
        <v>1377</v>
      </c>
      <c r="D37" s="9"/>
      <c r="E37" s="217">
        <f>IFERROR(__xludf.DUMMYFUNCTION("""COMPUTED_VALUE"""),46183.64583333333)</f>
        <v>46183.64583</v>
      </c>
      <c r="F37" s="193">
        <f>IFERROR(__xludf.DUMMYFUNCTION("""COMPUTED_VALUE"""),1786.4)</f>
        <v>1786.4</v>
      </c>
      <c r="G37" s="9"/>
      <c r="H37" s="29">
        <f t="shared" si="3"/>
        <v>0.7708240036</v>
      </c>
      <c r="I37" s="1">
        <f t="shared" si="4"/>
        <v>-409.4</v>
      </c>
      <c r="J37" s="113">
        <f t="shared" si="5"/>
        <v>1.500435671</v>
      </c>
      <c r="K37" s="199">
        <f t="shared" si="6"/>
        <v>0.7708240036</v>
      </c>
      <c r="L37" s="213">
        <f t="shared" si="7"/>
        <v>1398.49</v>
      </c>
      <c r="M37" s="210">
        <f t="shared" si="8"/>
        <v>-0.0156063907</v>
      </c>
      <c r="N37" s="213">
        <f t="shared" si="9"/>
        <v>1829.34</v>
      </c>
      <c r="O37" s="210">
        <f t="shared" si="10"/>
        <v>-0.02403716973</v>
      </c>
      <c r="P37" s="210">
        <f t="shared" si="11"/>
        <v>0.008430779022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217">
        <f>IFERROR(__xludf.DUMMYFUNCTION("""COMPUTED_VALUE"""),46184.64583333333)</f>
        <v>46184.64583</v>
      </c>
      <c r="C38" s="193">
        <f>IFERROR(__xludf.DUMMYFUNCTION("""COMPUTED_VALUE"""),1383.3)</f>
        <v>1383.3</v>
      </c>
      <c r="D38" s="9"/>
      <c r="E38" s="217">
        <f>IFERROR(__xludf.DUMMYFUNCTION("""COMPUTED_VALUE"""),46184.64583333333)</f>
        <v>46184.64583</v>
      </c>
      <c r="F38" s="193">
        <f>IFERROR(__xludf.DUMMYFUNCTION("""COMPUTED_VALUE"""),1794.2)</f>
        <v>1794.2</v>
      </c>
      <c r="G38" s="9"/>
      <c r="H38" s="29">
        <f t="shared" si="3"/>
        <v>0.7709842827</v>
      </c>
      <c r="I38" s="1">
        <f t="shared" si="4"/>
        <v>-410.9</v>
      </c>
      <c r="J38" s="113">
        <f t="shared" si="5"/>
        <v>1.464788029</v>
      </c>
      <c r="K38" s="199">
        <f t="shared" si="6"/>
        <v>0.7709842827</v>
      </c>
      <c r="L38" s="213">
        <f t="shared" si="7"/>
        <v>1401.275</v>
      </c>
      <c r="M38" s="210">
        <f t="shared" si="8"/>
        <v>-0.01299428902</v>
      </c>
      <c r="N38" s="213">
        <f t="shared" si="9"/>
        <v>1827.81</v>
      </c>
      <c r="O38" s="210">
        <f t="shared" si="10"/>
        <v>-0.01873258277</v>
      </c>
      <c r="P38" s="210">
        <f t="shared" si="11"/>
        <v>0.005738293748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217">
        <f>IFERROR(__xludf.DUMMYFUNCTION("""COMPUTED_VALUE"""),46185.64583333333)</f>
        <v>46185.64583</v>
      </c>
      <c r="C39" s="193">
        <f>IFERROR(__xludf.DUMMYFUNCTION("""COMPUTED_VALUE"""),1389.4)</f>
        <v>1389.4</v>
      </c>
      <c r="D39" s="9"/>
      <c r="E39" s="217">
        <f>IFERROR(__xludf.DUMMYFUNCTION("""COMPUTED_VALUE"""),46185.64583333333)</f>
        <v>46185.64583</v>
      </c>
      <c r="F39" s="193">
        <f>IFERROR(__xludf.DUMMYFUNCTION("""COMPUTED_VALUE"""),1807.7)</f>
        <v>1807.7</v>
      </c>
      <c r="G39" s="9"/>
      <c r="H39" s="29">
        <f t="shared" si="3"/>
        <v>0.7686009847</v>
      </c>
      <c r="I39" s="1">
        <f t="shared" si="4"/>
        <v>-418.3</v>
      </c>
      <c r="J39" s="113">
        <f t="shared" si="5"/>
        <v>1.288926327</v>
      </c>
      <c r="K39" s="199">
        <f t="shared" si="6"/>
        <v>0.7686009847</v>
      </c>
      <c r="L39" s="213">
        <f t="shared" si="7"/>
        <v>1398.91</v>
      </c>
      <c r="M39" s="210">
        <f t="shared" si="8"/>
        <v>-0.006844681157</v>
      </c>
      <c r="N39" s="213">
        <f t="shared" si="9"/>
        <v>1825.035</v>
      </c>
      <c r="O39" s="210">
        <f t="shared" si="10"/>
        <v>-0.009589533662</v>
      </c>
      <c r="P39" s="210">
        <f t="shared" si="11"/>
        <v>0.002744852504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217">
        <f>IFERROR(__xludf.DUMMYFUNCTION("""COMPUTED_VALUE"""),46188.64583333333)</f>
        <v>46188.64583</v>
      </c>
      <c r="C40" s="193">
        <f>IFERROR(__xludf.DUMMYFUNCTION("""COMPUTED_VALUE"""),1381.3)</f>
        <v>1381.3</v>
      </c>
      <c r="D40" s="9"/>
      <c r="E40" s="217">
        <f>IFERROR(__xludf.DUMMYFUNCTION("""COMPUTED_VALUE"""),46188.64583333333)</f>
        <v>46188.64583</v>
      </c>
      <c r="F40" s="193">
        <f>IFERROR(__xludf.DUMMYFUNCTION("""COMPUTED_VALUE"""),1806.0)</f>
        <v>1806</v>
      </c>
      <c r="G40" s="9"/>
      <c r="H40" s="29">
        <f t="shared" si="3"/>
        <v>0.7648394241</v>
      </c>
      <c r="I40" s="1">
        <f t="shared" si="4"/>
        <v>-424.7</v>
      </c>
      <c r="J40" s="113">
        <f t="shared" si="5"/>
        <v>1.136829719</v>
      </c>
      <c r="K40" s="199">
        <f t="shared" si="6"/>
        <v>0.7648394241</v>
      </c>
      <c r="L40" s="213">
        <f t="shared" si="7"/>
        <v>1396.37</v>
      </c>
      <c r="M40" s="210">
        <f t="shared" si="8"/>
        <v>-0.01091001231</v>
      </c>
      <c r="N40" s="213">
        <f t="shared" si="9"/>
        <v>1821.425</v>
      </c>
      <c r="O40" s="210">
        <f t="shared" si="10"/>
        <v>-0.008540974529</v>
      </c>
      <c r="P40" s="210">
        <f t="shared" si="11"/>
        <v>-0.002369037778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217">
        <f>IFERROR(__xludf.DUMMYFUNCTION("""COMPUTED_VALUE"""),46189.64583333333)</f>
        <v>46189.64583</v>
      </c>
      <c r="C41" s="193">
        <f>IFERROR(__xludf.DUMMYFUNCTION("""COMPUTED_VALUE"""),1373.2)</f>
        <v>1373.2</v>
      </c>
      <c r="D41" s="9"/>
      <c r="E41" s="217">
        <f>IFERROR(__xludf.DUMMYFUNCTION("""COMPUTED_VALUE"""),46189.64583333333)</f>
        <v>46189.64583</v>
      </c>
      <c r="F41" s="193">
        <f>IFERROR(__xludf.DUMMYFUNCTION("""COMPUTED_VALUE"""),1800.7)</f>
        <v>1800.7</v>
      </c>
      <c r="G41" s="9"/>
      <c r="H41" s="29">
        <f t="shared" si="3"/>
        <v>0.7625923252</v>
      </c>
      <c r="I41" s="1">
        <f t="shared" si="4"/>
        <v>-427.5</v>
      </c>
      <c r="J41" s="113">
        <f t="shared" si="5"/>
        <v>1.070287454</v>
      </c>
      <c r="K41" s="199">
        <f t="shared" si="6"/>
        <v>0.7625923252</v>
      </c>
      <c r="L41" s="213">
        <f t="shared" si="7"/>
        <v>1393.72</v>
      </c>
      <c r="M41" s="210">
        <f t="shared" si="8"/>
        <v>-0.01494319837</v>
      </c>
      <c r="N41" s="213">
        <f t="shared" si="9"/>
        <v>1816.17</v>
      </c>
      <c r="O41" s="210">
        <f t="shared" si="10"/>
        <v>-0.00859110346</v>
      </c>
      <c r="P41" s="210">
        <f t="shared" si="11"/>
        <v>-0.006352094909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217">
        <f>IFERROR(__xludf.DUMMYFUNCTION("""COMPUTED_VALUE"""),46190.64583333333)</f>
        <v>46190.64583</v>
      </c>
      <c r="C42" s="193">
        <f>IFERROR(__xludf.DUMMYFUNCTION("""COMPUTED_VALUE"""),1350.8)</f>
        <v>1350.8</v>
      </c>
      <c r="D42" s="9"/>
      <c r="E42" s="217">
        <f>IFERROR(__xludf.DUMMYFUNCTION("""COMPUTED_VALUE"""),46190.64583333333)</f>
        <v>46190.64583</v>
      </c>
      <c r="F42" s="193">
        <f>IFERROR(__xludf.DUMMYFUNCTION("""COMPUTED_VALUE"""),1820.4)</f>
        <v>1820.4</v>
      </c>
      <c r="G42" s="9"/>
      <c r="H42" s="29">
        <f t="shared" si="3"/>
        <v>0.7420347176</v>
      </c>
      <c r="I42" s="1">
        <f t="shared" si="4"/>
        <v>-469.6</v>
      </c>
      <c r="J42" s="113">
        <f t="shared" si="5"/>
        <v>0.06977695915</v>
      </c>
      <c r="K42" s="199">
        <f t="shared" si="6"/>
        <v>0.7420347176</v>
      </c>
      <c r="L42" s="213">
        <f t="shared" si="7"/>
        <v>1390.77</v>
      </c>
      <c r="M42" s="210">
        <f t="shared" si="8"/>
        <v>-0.02958987267</v>
      </c>
      <c r="N42" s="213">
        <f t="shared" si="9"/>
        <v>1813.075</v>
      </c>
      <c r="O42" s="210">
        <f t="shared" si="10"/>
        <v>0.004023840914</v>
      </c>
      <c r="P42" s="210">
        <f t="shared" si="11"/>
        <v>-0.03361371358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217">
        <f>IFERROR(__xludf.DUMMYFUNCTION("""COMPUTED_VALUE"""),46191.64583333333)</f>
        <v>46191.64583</v>
      </c>
      <c r="C43" s="193">
        <f>IFERROR(__xludf.DUMMYFUNCTION("""COMPUTED_VALUE"""),1355.5)</f>
        <v>1355.5</v>
      </c>
      <c r="D43" s="9"/>
      <c r="E43" s="217">
        <f>IFERROR(__xludf.DUMMYFUNCTION("""COMPUTED_VALUE"""),46191.64583333333)</f>
        <v>46191.64583</v>
      </c>
      <c r="F43" s="193">
        <f>IFERROR(__xludf.DUMMYFUNCTION("""COMPUTED_VALUE"""),1824.8)</f>
        <v>1824.8</v>
      </c>
      <c r="G43" s="9"/>
      <c r="H43" s="29">
        <f t="shared" si="3"/>
        <v>0.7428211311</v>
      </c>
      <c r="I43" s="1">
        <f t="shared" si="4"/>
        <v>-469.3</v>
      </c>
      <c r="J43" s="113">
        <f t="shared" si="5"/>
        <v>0.07690648761</v>
      </c>
      <c r="K43" s="199">
        <f t="shared" si="6"/>
        <v>0.7428211311</v>
      </c>
      <c r="L43" s="213">
        <f t="shared" si="7"/>
        <v>1388.57</v>
      </c>
      <c r="M43" s="210">
        <f t="shared" si="8"/>
        <v>-0.02439690151</v>
      </c>
      <c r="N43" s="213">
        <f t="shared" si="9"/>
        <v>1810.3</v>
      </c>
      <c r="O43" s="210">
        <f t="shared" si="10"/>
        <v>0.007946076282</v>
      </c>
      <c r="P43" s="210">
        <f t="shared" si="11"/>
        <v>-0.03234297779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217">
        <f>IFERROR(__xludf.DUMMYFUNCTION("""COMPUTED_VALUE"""),46192.64583333333)</f>
        <v>46192.64583</v>
      </c>
      <c r="C44" s="193">
        <f>IFERROR(__xludf.DUMMYFUNCTION("""COMPUTED_VALUE"""),1351.8)</f>
        <v>1351.8</v>
      </c>
      <c r="D44" s="9"/>
      <c r="E44" s="217">
        <f>IFERROR(__xludf.DUMMYFUNCTION("""COMPUTED_VALUE"""),46192.64583333333)</f>
        <v>46192.64583</v>
      </c>
      <c r="F44" s="193">
        <f>IFERROR(__xludf.DUMMYFUNCTION("""COMPUTED_VALUE"""),1838.3)</f>
        <v>1838.3</v>
      </c>
      <c r="G44" s="9"/>
      <c r="H44" s="29">
        <f t="shared" si="3"/>
        <v>0.7353533156</v>
      </c>
      <c r="I44" s="1">
        <f t="shared" si="4"/>
        <v>-486.5</v>
      </c>
      <c r="J44" s="113">
        <f t="shared" si="5"/>
        <v>-0.3318531444</v>
      </c>
      <c r="K44" s="199">
        <f t="shared" si="6"/>
        <v>0.7353533156</v>
      </c>
      <c r="L44" s="213">
        <f t="shared" si="7"/>
        <v>1386.065</v>
      </c>
      <c r="M44" s="210">
        <f t="shared" si="8"/>
        <v>-0.02534768457</v>
      </c>
      <c r="N44" s="213">
        <f t="shared" si="9"/>
        <v>1807.65</v>
      </c>
      <c r="O44" s="210">
        <f t="shared" si="10"/>
        <v>0.01667301311</v>
      </c>
      <c r="P44" s="210">
        <f t="shared" si="11"/>
        <v>-0.04202069768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217">
        <f>IFERROR(__xludf.DUMMYFUNCTION("""COMPUTED_VALUE"""),46195.64583333333)</f>
        <v>46195.64583</v>
      </c>
      <c r="C45" s="193">
        <f>IFERROR(__xludf.DUMMYFUNCTION("""COMPUTED_VALUE"""),1415.7)</f>
        <v>1415.7</v>
      </c>
      <c r="D45" s="9"/>
      <c r="E45" s="217">
        <f>IFERROR(__xludf.DUMMYFUNCTION("""COMPUTED_VALUE"""),46195.64583333333)</f>
        <v>46195.64583</v>
      </c>
      <c r="F45" s="193">
        <f>IFERROR(__xludf.DUMMYFUNCTION("""COMPUTED_VALUE"""),1862.9)</f>
        <v>1862.9</v>
      </c>
      <c r="G45" s="9"/>
      <c r="H45" s="29">
        <f t="shared" si="3"/>
        <v>0.7599441731</v>
      </c>
      <c r="I45" s="1">
        <f t="shared" si="4"/>
        <v>-447.2</v>
      </c>
      <c r="J45" s="113">
        <f t="shared" si="5"/>
        <v>0.6021150846</v>
      </c>
      <c r="K45" s="199">
        <f t="shared" si="6"/>
        <v>0.7599441731</v>
      </c>
      <c r="L45" s="213">
        <f t="shared" si="7"/>
        <v>1386.89</v>
      </c>
      <c r="M45" s="210">
        <f t="shared" si="8"/>
        <v>0.02035035671</v>
      </c>
      <c r="N45" s="213">
        <f t="shared" si="9"/>
        <v>1808.565</v>
      </c>
      <c r="O45" s="210">
        <f t="shared" si="10"/>
        <v>0.02916689033</v>
      </c>
      <c r="P45" s="210">
        <f t="shared" si="11"/>
        <v>-0.008816533618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217">
        <f>IFERROR(__xludf.DUMMYFUNCTION("""COMPUTED_VALUE"""),46196.64583333333)</f>
        <v>46196.64583</v>
      </c>
      <c r="C46" s="193">
        <f>IFERROR(__xludf.DUMMYFUNCTION("""COMPUTED_VALUE"""),1433.1)</f>
        <v>1433.1</v>
      </c>
      <c r="D46" s="9"/>
      <c r="E46" s="217">
        <f>IFERROR(__xludf.DUMMYFUNCTION("""COMPUTED_VALUE"""),46196.64583333333)</f>
        <v>46196.64583</v>
      </c>
      <c r="F46" s="193">
        <f>IFERROR(__xludf.DUMMYFUNCTION("""COMPUTED_VALUE"""),1868.0)</f>
        <v>1868</v>
      </c>
      <c r="G46" s="9"/>
      <c r="H46" s="29">
        <f t="shared" si="3"/>
        <v>0.7671841542</v>
      </c>
      <c r="I46" s="1">
        <f t="shared" si="4"/>
        <v>-434.9</v>
      </c>
      <c r="J46" s="113">
        <f t="shared" si="5"/>
        <v>0.8944257517</v>
      </c>
      <c r="K46" s="199">
        <f t="shared" si="6"/>
        <v>0.7671841542</v>
      </c>
      <c r="L46" s="213">
        <f t="shared" si="7"/>
        <v>1387.85</v>
      </c>
      <c r="M46" s="210">
        <f t="shared" si="8"/>
        <v>0.03157490754</v>
      </c>
      <c r="N46" s="213">
        <f t="shared" si="9"/>
        <v>1809.935</v>
      </c>
      <c r="O46" s="210">
        <f t="shared" si="10"/>
        <v>0.03108404711</v>
      </c>
      <c r="P46" s="210">
        <f t="shared" si="11"/>
        <v>0.0004908604339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217">
        <f>IFERROR(__xludf.DUMMYFUNCTION("""COMPUTED_VALUE"""),46197.64583333333)</f>
        <v>46197.64583</v>
      </c>
      <c r="C47" s="193">
        <f>IFERROR(__xludf.DUMMYFUNCTION("""COMPUTED_VALUE"""),1437.9)</f>
        <v>1437.9</v>
      </c>
      <c r="D47" s="9"/>
      <c r="E47" s="217">
        <f>IFERROR(__xludf.DUMMYFUNCTION("""COMPUTED_VALUE"""),46197.64583333333)</f>
        <v>46197.64583</v>
      </c>
      <c r="F47" s="193">
        <f>IFERROR(__xludf.DUMMYFUNCTION("""COMPUTED_VALUE"""),1874.4)</f>
        <v>1874.4</v>
      </c>
      <c r="G47" s="9"/>
      <c r="H47" s="29">
        <f t="shared" si="3"/>
        <v>0.7671254802</v>
      </c>
      <c r="I47" s="1">
        <f t="shared" si="4"/>
        <v>-436.5</v>
      </c>
      <c r="J47" s="113">
        <f t="shared" si="5"/>
        <v>0.8564015998</v>
      </c>
      <c r="K47" s="199">
        <f t="shared" si="6"/>
        <v>0.7671254802</v>
      </c>
      <c r="L47" s="213">
        <f t="shared" si="7"/>
        <v>1388.87</v>
      </c>
      <c r="M47" s="210">
        <f t="shared" si="8"/>
        <v>0.03409833785</v>
      </c>
      <c r="N47" s="213">
        <f t="shared" si="9"/>
        <v>1811.615</v>
      </c>
      <c r="O47" s="210">
        <f t="shared" si="10"/>
        <v>0.03349605207</v>
      </c>
      <c r="P47" s="210">
        <f t="shared" si="11"/>
        <v>0.0006022857838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217">
        <f>IFERROR(__xludf.DUMMYFUNCTION("""COMPUTED_VALUE"""),46198.64583333333)</f>
        <v>46198.64583</v>
      </c>
      <c r="C48" s="193">
        <f>IFERROR(__xludf.DUMMYFUNCTION("""COMPUTED_VALUE"""),1440.1)</f>
        <v>1440.1</v>
      </c>
      <c r="D48" s="9"/>
      <c r="E48" s="217">
        <f>IFERROR(__xludf.DUMMYFUNCTION("""COMPUTED_VALUE"""),46198.64583333333)</f>
        <v>46198.64583</v>
      </c>
      <c r="F48" s="193">
        <f>IFERROR(__xludf.DUMMYFUNCTION("""COMPUTED_VALUE"""),1862.8)</f>
        <v>1862.8</v>
      </c>
      <c r="G48" s="9"/>
      <c r="H48" s="29">
        <f t="shared" si="3"/>
        <v>0.7730835302</v>
      </c>
      <c r="I48" s="1">
        <f t="shared" si="4"/>
        <v>-422.7</v>
      </c>
      <c r="J48" s="113">
        <f t="shared" si="5"/>
        <v>1.184359909</v>
      </c>
      <c r="K48" s="199">
        <f t="shared" si="6"/>
        <v>0.7730835302</v>
      </c>
      <c r="L48" s="213">
        <f t="shared" si="7"/>
        <v>1389.965</v>
      </c>
      <c r="M48" s="210">
        <f t="shared" si="8"/>
        <v>0.03481355461</v>
      </c>
      <c r="N48" s="213">
        <f t="shared" si="9"/>
        <v>1812.54</v>
      </c>
      <c r="O48" s="210">
        <f t="shared" si="10"/>
        <v>0.02698088898</v>
      </c>
      <c r="P48" s="210">
        <f t="shared" si="11"/>
        <v>0.00783266563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217">
        <f>IFERROR(__xludf.DUMMYFUNCTION("""COMPUTED_VALUE"""),46202.64583333333)</f>
        <v>46202.64583</v>
      </c>
      <c r="C49" s="193">
        <f>IFERROR(__xludf.DUMMYFUNCTION("""COMPUTED_VALUE"""),1454.1)</f>
        <v>1454.1</v>
      </c>
      <c r="D49" s="9"/>
      <c r="E49" s="217">
        <f>IFERROR(__xludf.DUMMYFUNCTION("""COMPUTED_VALUE"""),46202.64583333333)</f>
        <v>46202.64583</v>
      </c>
      <c r="F49" s="193">
        <f>IFERROR(__xludf.DUMMYFUNCTION("""COMPUTED_VALUE"""),1874.8)</f>
        <v>1874.8</v>
      </c>
      <c r="G49" s="9"/>
      <c r="H49" s="29">
        <f t="shared" si="3"/>
        <v>0.775602731</v>
      </c>
      <c r="I49" s="1">
        <f t="shared" si="4"/>
        <v>-420.7</v>
      </c>
      <c r="J49" s="113">
        <f t="shared" si="5"/>
        <v>1.231890099</v>
      </c>
      <c r="K49" s="199">
        <f t="shared" si="6"/>
        <v>0.775602731</v>
      </c>
      <c r="L49" s="213">
        <f t="shared" si="7"/>
        <v>1392.62</v>
      </c>
      <c r="M49" s="210">
        <f t="shared" si="8"/>
        <v>0.04228044839</v>
      </c>
      <c r="N49" s="213">
        <f t="shared" si="9"/>
        <v>1816.32</v>
      </c>
      <c r="O49" s="210">
        <f t="shared" si="10"/>
        <v>0.03119266055</v>
      </c>
      <c r="P49" s="210">
        <f t="shared" si="11"/>
        <v>0.01108778784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217">
        <f>IFERROR(__xludf.DUMMYFUNCTION("""COMPUTED_VALUE"""),46203.64583333333)</f>
        <v>46203.64583</v>
      </c>
      <c r="C50" s="193">
        <f>IFERROR(__xludf.DUMMYFUNCTION("""COMPUTED_VALUE"""),1465.4)</f>
        <v>1465.4</v>
      </c>
      <c r="D50" s="9"/>
      <c r="E50" s="217">
        <f>IFERROR(__xludf.DUMMYFUNCTION("""COMPUTED_VALUE"""),46203.64583333333)</f>
        <v>46203.64583</v>
      </c>
      <c r="F50" s="193">
        <f>IFERROR(__xludf.DUMMYFUNCTION("""COMPUTED_VALUE"""),1862.5)</f>
        <v>1862.5</v>
      </c>
      <c r="G50" s="9"/>
      <c r="H50" s="29">
        <f t="shared" si="3"/>
        <v>0.7867919463</v>
      </c>
      <c r="I50" s="1">
        <f t="shared" si="4"/>
        <v>-397.1</v>
      </c>
      <c r="J50" s="113">
        <f t="shared" si="5"/>
        <v>1.792746338</v>
      </c>
      <c r="K50" s="199">
        <f t="shared" si="6"/>
        <v>0.7867919463</v>
      </c>
      <c r="L50" s="213">
        <f t="shared" si="7"/>
        <v>1396.375</v>
      </c>
      <c r="M50" s="210">
        <f t="shared" si="8"/>
        <v>0.04710318002</v>
      </c>
      <c r="N50" s="213">
        <f t="shared" si="9"/>
        <v>1819.62</v>
      </c>
      <c r="O50" s="210">
        <f t="shared" si="10"/>
        <v>0.02302281879</v>
      </c>
      <c r="P50" s="210">
        <f t="shared" si="11"/>
        <v>0.02408036123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217">
        <f>IFERROR(__xludf.DUMMYFUNCTION("""COMPUTED_VALUE"""),46204.64583333333)</f>
        <v>46204.64583</v>
      </c>
      <c r="C51" s="193">
        <f>IFERROR(__xludf.DUMMYFUNCTION("""COMPUTED_VALUE"""),1456.7)</f>
        <v>1456.7</v>
      </c>
      <c r="D51" s="9"/>
      <c r="E51" s="217">
        <f>IFERROR(__xludf.DUMMYFUNCTION("""COMPUTED_VALUE"""),46204.64583333333)</f>
        <v>46204.64583</v>
      </c>
      <c r="F51" s="193">
        <f>IFERROR(__xludf.DUMMYFUNCTION("""COMPUTED_VALUE"""),1866.2)</f>
        <v>1866.2</v>
      </c>
      <c r="G51" s="9"/>
      <c r="H51" s="29">
        <f t="shared" si="3"/>
        <v>0.7805701425</v>
      </c>
      <c r="I51" s="1">
        <f t="shared" si="4"/>
        <v>-409.5</v>
      </c>
      <c r="J51" s="113">
        <f t="shared" si="5"/>
        <v>1.498059162</v>
      </c>
      <c r="K51" s="199">
        <f t="shared" si="6"/>
        <v>0.7805701425</v>
      </c>
      <c r="L51" s="213">
        <f t="shared" si="7"/>
        <v>1400.245</v>
      </c>
      <c r="M51" s="210">
        <f t="shared" si="8"/>
        <v>0.03875540605</v>
      </c>
      <c r="N51" s="213">
        <f t="shared" si="9"/>
        <v>1823.435</v>
      </c>
      <c r="O51" s="210">
        <f t="shared" si="10"/>
        <v>0.02291555032</v>
      </c>
      <c r="P51" s="210">
        <f t="shared" si="11"/>
        <v>0.01583985574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217">
        <f>IFERROR(__xludf.DUMMYFUNCTION("""COMPUTED_VALUE"""),46205.64583333333)</f>
        <v>46205.64583</v>
      </c>
      <c r="C52" s="193">
        <f>IFERROR(__xludf.DUMMYFUNCTION("""COMPUTED_VALUE"""),1456.0)</f>
        <v>1456</v>
      </c>
      <c r="D52" s="9"/>
      <c r="E52" s="217">
        <f>IFERROR(__xludf.DUMMYFUNCTION("""COMPUTED_VALUE"""),46205.64583333333)</f>
        <v>46205.64583</v>
      </c>
      <c r="F52" s="193">
        <f>IFERROR(__xludf.DUMMYFUNCTION("""COMPUTED_VALUE"""),1871.0)</f>
        <v>1871</v>
      </c>
      <c r="G52" s="9"/>
      <c r="H52" s="29">
        <f t="shared" si="3"/>
        <v>0.7781934794</v>
      </c>
      <c r="I52" s="1">
        <f t="shared" si="4"/>
        <v>-415</v>
      </c>
      <c r="J52" s="113">
        <f t="shared" si="5"/>
        <v>1.36735114</v>
      </c>
      <c r="K52" s="199">
        <f t="shared" si="6"/>
        <v>0.7781934794</v>
      </c>
      <c r="L52" s="213">
        <f t="shared" si="7"/>
        <v>1404.285</v>
      </c>
      <c r="M52" s="210">
        <f t="shared" si="8"/>
        <v>0.03551854396</v>
      </c>
      <c r="N52" s="213">
        <f t="shared" si="9"/>
        <v>1827.56</v>
      </c>
      <c r="O52" s="210">
        <f t="shared" si="10"/>
        <v>0.02321753073</v>
      </c>
      <c r="P52" s="210">
        <f t="shared" si="11"/>
        <v>0.01230101322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217">
        <f>IFERROR(__xludf.DUMMYFUNCTION("""COMPUTED_VALUE"""),46206.64583333333)</f>
        <v>46206.64583</v>
      </c>
      <c r="C53" s="193">
        <f>IFERROR(__xludf.DUMMYFUNCTION("""COMPUTED_VALUE"""),1458.2)</f>
        <v>1458.2</v>
      </c>
      <c r="D53" s="9"/>
      <c r="E53" s="217">
        <f>IFERROR(__xludf.DUMMYFUNCTION("""COMPUTED_VALUE"""),46206.64583333333)</f>
        <v>46206.64583</v>
      </c>
      <c r="F53" s="193">
        <f>IFERROR(__xludf.DUMMYFUNCTION("""COMPUTED_VALUE"""),1904.8)</f>
        <v>1904.8</v>
      </c>
      <c r="G53" s="9"/>
      <c r="H53" s="29">
        <f t="shared" si="3"/>
        <v>0.7655396892</v>
      </c>
      <c r="I53" s="1">
        <f t="shared" si="4"/>
        <v>-446.6</v>
      </c>
      <c r="J53" s="113">
        <f t="shared" si="5"/>
        <v>0.6163741415</v>
      </c>
      <c r="K53" s="199">
        <f t="shared" si="6"/>
        <v>0.7655396892</v>
      </c>
      <c r="L53" s="213">
        <f t="shared" si="7"/>
        <v>1407.26</v>
      </c>
      <c r="M53" s="210">
        <f t="shared" si="8"/>
        <v>0.03493347963</v>
      </c>
      <c r="N53" s="213">
        <f t="shared" si="9"/>
        <v>1833.795</v>
      </c>
      <c r="O53" s="210">
        <f t="shared" si="10"/>
        <v>0.03727687946</v>
      </c>
      <c r="P53" s="210">
        <f t="shared" si="11"/>
        <v>-0.00234339983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217">
        <f>IFERROR(__xludf.DUMMYFUNCTION("""COMPUTED_VALUE"""),46209.64583333333)</f>
        <v>46209.64583</v>
      </c>
      <c r="C54" s="193">
        <f>IFERROR(__xludf.DUMMYFUNCTION("""COMPUTED_VALUE"""),1472.3)</f>
        <v>1472.3</v>
      </c>
      <c r="D54" s="9"/>
      <c r="E54" s="217">
        <f>IFERROR(__xludf.DUMMYFUNCTION("""COMPUTED_VALUE"""),46209.64583333333)</f>
        <v>46209.64583</v>
      </c>
      <c r="F54" s="193">
        <f>IFERROR(__xludf.DUMMYFUNCTION("""COMPUTED_VALUE"""),1912.8)</f>
        <v>1912.8</v>
      </c>
      <c r="G54" s="9"/>
      <c r="H54" s="29">
        <f t="shared" si="3"/>
        <v>0.7697093266</v>
      </c>
      <c r="I54" s="1">
        <f t="shared" si="4"/>
        <v>-440.5</v>
      </c>
      <c r="J54" s="113">
        <f t="shared" si="5"/>
        <v>0.7613412203</v>
      </c>
      <c r="K54" s="199">
        <f t="shared" si="6"/>
        <v>0.7697093266</v>
      </c>
      <c r="L54" s="213">
        <f t="shared" si="7"/>
        <v>1410.81</v>
      </c>
      <c r="M54" s="210">
        <f t="shared" si="8"/>
        <v>0.04176458602</v>
      </c>
      <c r="N54" s="213">
        <f t="shared" si="9"/>
        <v>1840.325</v>
      </c>
      <c r="O54" s="210">
        <f t="shared" si="10"/>
        <v>0.03788948139</v>
      </c>
      <c r="P54" s="210">
        <f t="shared" si="11"/>
        <v>0.003875104633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217">
        <f>IFERROR(__xludf.DUMMYFUNCTION("""COMPUTED_VALUE"""),46210.64583333333)</f>
        <v>46210.64583</v>
      </c>
      <c r="C55" s="193">
        <f>IFERROR(__xludf.DUMMYFUNCTION("""COMPUTED_VALUE"""),1451.8)</f>
        <v>1451.8</v>
      </c>
      <c r="D55" s="9"/>
      <c r="E55" s="217">
        <f>IFERROR(__xludf.DUMMYFUNCTION("""COMPUTED_VALUE"""),46210.64583333333)</f>
        <v>46210.64583</v>
      </c>
      <c r="F55" s="193">
        <f>IFERROR(__xludf.DUMMYFUNCTION("""COMPUTED_VALUE"""),1903.4)</f>
        <v>1903.4</v>
      </c>
      <c r="G55" s="9"/>
      <c r="H55" s="29">
        <f t="shared" si="3"/>
        <v>0.7627403594</v>
      </c>
      <c r="I55" s="1">
        <f t="shared" si="4"/>
        <v>-451.6</v>
      </c>
      <c r="J55" s="113">
        <f t="shared" si="5"/>
        <v>0.4975486671</v>
      </c>
      <c r="K55" s="199">
        <f t="shared" si="6"/>
        <v>0.7627403594</v>
      </c>
      <c r="L55" s="213">
        <f t="shared" si="7"/>
        <v>1414.005</v>
      </c>
      <c r="M55" s="210">
        <f t="shared" si="8"/>
        <v>0.02603320017</v>
      </c>
      <c r="N55" s="213">
        <f t="shared" si="9"/>
        <v>1846.055</v>
      </c>
      <c r="O55" s="210">
        <f t="shared" si="10"/>
        <v>0.03012766628</v>
      </c>
      <c r="P55" s="210">
        <f t="shared" si="11"/>
        <v>-0.004094466116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217">
        <f>IFERROR(__xludf.DUMMYFUNCTION("""COMPUTED_VALUE"""),46211.64583333333)</f>
        <v>46211.64583</v>
      </c>
      <c r="C56" s="193">
        <f>IFERROR(__xludf.DUMMYFUNCTION("""COMPUTED_VALUE"""),1431.8)</f>
        <v>1431.8</v>
      </c>
      <c r="D56" s="9"/>
      <c r="E56" s="217">
        <f>IFERROR(__xludf.DUMMYFUNCTION("""COMPUTED_VALUE"""),46211.64583333333)</f>
        <v>46211.64583</v>
      </c>
      <c r="F56" s="193">
        <f>IFERROR(__xludf.DUMMYFUNCTION("""COMPUTED_VALUE"""),1888.2)</f>
        <v>1888.2</v>
      </c>
      <c r="G56" s="9"/>
      <c r="H56" s="29">
        <f t="shared" si="3"/>
        <v>0.7582883169</v>
      </c>
      <c r="I56" s="1">
        <f t="shared" si="4"/>
        <v>-456.4</v>
      </c>
      <c r="J56" s="113">
        <f t="shared" si="5"/>
        <v>0.3834762116</v>
      </c>
      <c r="K56" s="199">
        <f t="shared" si="6"/>
        <v>0.7582883169</v>
      </c>
      <c r="L56" s="213">
        <f t="shared" si="7"/>
        <v>1416.77</v>
      </c>
      <c r="M56" s="210">
        <f t="shared" si="8"/>
        <v>0.01049727616</v>
      </c>
      <c r="N56" s="213">
        <f t="shared" si="9"/>
        <v>1851.515</v>
      </c>
      <c r="O56" s="210">
        <f t="shared" si="10"/>
        <v>0.0194285563</v>
      </c>
      <c r="P56" s="210">
        <f t="shared" si="11"/>
        <v>-0.008931280141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217">
        <f>IFERROR(__xludf.DUMMYFUNCTION("""COMPUTED_VALUE"""),46212.64583333333)</f>
        <v>46212.64583</v>
      </c>
      <c r="C57" s="193">
        <f>IFERROR(__xludf.DUMMYFUNCTION("""COMPUTED_VALUE"""),1441.3)</f>
        <v>1441.3</v>
      </c>
      <c r="D57" s="9"/>
      <c r="E57" s="217">
        <f>IFERROR(__xludf.DUMMYFUNCTION("""COMPUTED_VALUE"""),46212.64583333333)</f>
        <v>46212.64583</v>
      </c>
      <c r="F57" s="193">
        <f>IFERROR(__xludf.DUMMYFUNCTION("""COMPUTED_VALUE"""),1938.7)</f>
        <v>1938.7</v>
      </c>
      <c r="G57" s="9"/>
      <c r="H57" s="29">
        <f t="shared" si="3"/>
        <v>0.7434363233</v>
      </c>
      <c r="I57" s="1">
        <f t="shared" si="4"/>
        <v>-497.4</v>
      </c>
      <c r="J57" s="113">
        <f t="shared" si="5"/>
        <v>-0.5908926787</v>
      </c>
      <c r="K57" s="199">
        <f t="shared" si="6"/>
        <v>0.7434363233</v>
      </c>
      <c r="L57" s="213">
        <f t="shared" si="7"/>
        <v>1419.985</v>
      </c>
      <c r="M57" s="210">
        <f t="shared" si="8"/>
        <v>0.01478873239</v>
      </c>
      <c r="N57" s="213">
        <f t="shared" si="9"/>
        <v>1859.13</v>
      </c>
      <c r="O57" s="210">
        <f t="shared" si="10"/>
        <v>0.04104296694</v>
      </c>
      <c r="P57" s="210">
        <f t="shared" si="11"/>
        <v>-0.02625423454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217">
        <f>IFERROR(__xludf.DUMMYFUNCTION("""COMPUTED_VALUE"""),46213.64583333333)</f>
        <v>46213.64583</v>
      </c>
      <c r="C58" s="193">
        <f>IFERROR(__xludf.DUMMYFUNCTION("""COMPUTED_VALUE"""),1439.4)</f>
        <v>1439.4</v>
      </c>
      <c r="D58" s="9"/>
      <c r="E58" s="217">
        <f>IFERROR(__xludf.DUMMYFUNCTION("""COMPUTED_VALUE"""),46213.64583333333)</f>
        <v>46213.64583</v>
      </c>
      <c r="F58" s="193">
        <f>IFERROR(__xludf.DUMMYFUNCTION("""COMPUTED_VALUE"""),1935.5)</f>
        <v>1935.5</v>
      </c>
      <c r="G58" s="9"/>
      <c r="H58" s="29">
        <f t="shared" si="3"/>
        <v>0.7436838026</v>
      </c>
      <c r="I58" s="1">
        <f t="shared" si="4"/>
        <v>-496.1</v>
      </c>
      <c r="J58" s="113">
        <f t="shared" si="5"/>
        <v>-0.5599980553</v>
      </c>
      <c r="K58" s="199">
        <f t="shared" si="6"/>
        <v>0.7436838026</v>
      </c>
      <c r="L58" s="213">
        <f t="shared" si="7"/>
        <v>1422.79</v>
      </c>
      <c r="M58" s="210">
        <f t="shared" si="8"/>
        <v>0.01153953036</v>
      </c>
      <c r="N58" s="213">
        <f t="shared" si="9"/>
        <v>1866.195</v>
      </c>
      <c r="O58" s="210">
        <f t="shared" si="10"/>
        <v>0.03580728494</v>
      </c>
      <c r="P58" s="210">
        <f t="shared" si="11"/>
        <v>-0.02426775458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217">
        <f>IFERROR(__xludf.DUMMYFUNCTION("""COMPUTED_VALUE"""),46216.64583333333)</f>
        <v>46216.64583</v>
      </c>
      <c r="C59" s="193">
        <f>IFERROR(__xludf.DUMMYFUNCTION("""COMPUTED_VALUE"""),1426.7)</f>
        <v>1426.7</v>
      </c>
      <c r="D59" s="9"/>
      <c r="E59" s="217">
        <f>IFERROR(__xludf.DUMMYFUNCTION("""COMPUTED_VALUE"""),46216.64583333333)</f>
        <v>46216.64583</v>
      </c>
      <c r="F59" s="193">
        <f>IFERROR(__xludf.DUMMYFUNCTION("""COMPUTED_VALUE"""),1921.4)</f>
        <v>1921.4</v>
      </c>
      <c r="G59" s="9"/>
      <c r="H59" s="29">
        <f t="shared" si="3"/>
        <v>0.7425314875</v>
      </c>
      <c r="I59" s="1">
        <f t="shared" si="4"/>
        <v>-494.7</v>
      </c>
      <c r="J59" s="113">
        <f t="shared" si="5"/>
        <v>-0.5267269225</v>
      </c>
      <c r="K59" s="199">
        <f t="shared" si="6"/>
        <v>0.7425314875</v>
      </c>
      <c r="L59" s="213">
        <f t="shared" si="7"/>
        <v>1424.655</v>
      </c>
      <c r="M59" s="210">
        <f t="shared" si="8"/>
        <v>0.001433377725</v>
      </c>
      <c r="N59" s="213">
        <f t="shared" si="9"/>
        <v>1871.88</v>
      </c>
      <c r="O59" s="210">
        <f t="shared" si="10"/>
        <v>0.02577287395</v>
      </c>
      <c r="P59" s="210">
        <f t="shared" si="11"/>
        <v>-0.02433949622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217">
        <f>IFERROR(__xludf.DUMMYFUNCTION("""COMPUTED_VALUE"""),46217.64583333333)</f>
        <v>46217.64583</v>
      </c>
      <c r="C60" s="193">
        <f>IFERROR(__xludf.DUMMYFUNCTION("""COMPUTED_VALUE"""),1438.1)</f>
        <v>1438.1</v>
      </c>
      <c r="D60" s="9"/>
      <c r="E60" s="217">
        <f>IFERROR(__xludf.DUMMYFUNCTION("""COMPUTED_VALUE"""),46217.64583333333)</f>
        <v>46217.64583</v>
      </c>
      <c r="F60" s="193">
        <f>IFERROR(__xludf.DUMMYFUNCTION("""COMPUTED_VALUE"""),1942.6)</f>
        <v>1942.6</v>
      </c>
      <c r="G60" s="9"/>
      <c r="H60" s="29">
        <f t="shared" si="3"/>
        <v>0.7402965098</v>
      </c>
      <c r="I60" s="1">
        <f t="shared" si="4"/>
        <v>-504.5</v>
      </c>
      <c r="J60" s="113">
        <f t="shared" si="5"/>
        <v>-0.7596248523</v>
      </c>
      <c r="K60" s="199">
        <f t="shared" si="6"/>
        <v>0.7402965098</v>
      </c>
      <c r="L60" s="213">
        <f t="shared" si="7"/>
        <v>1427.495</v>
      </c>
      <c r="M60" s="210">
        <f t="shared" si="8"/>
        <v>0.00737431333</v>
      </c>
      <c r="N60" s="213">
        <f t="shared" si="9"/>
        <v>1878.71</v>
      </c>
      <c r="O60" s="210">
        <f t="shared" si="10"/>
        <v>0.03288891177</v>
      </c>
      <c r="P60" s="210">
        <f t="shared" si="11"/>
        <v>-0.02551459844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217">
        <f>IFERROR(__xludf.DUMMYFUNCTION("""COMPUTED_VALUE"""),46218.64583333333)</f>
        <v>46218.64583</v>
      </c>
      <c r="C61" s="193">
        <f>IFERROR(__xludf.DUMMYFUNCTION("""COMPUTED_VALUE"""),1438.0)</f>
        <v>1438</v>
      </c>
      <c r="D61" s="9"/>
      <c r="E61" s="217">
        <f>IFERROR(__xludf.DUMMYFUNCTION("""COMPUTED_VALUE"""),46218.64583333333)</f>
        <v>46218.64583</v>
      </c>
      <c r="F61" s="193">
        <f>IFERROR(__xludf.DUMMYFUNCTION("""COMPUTED_VALUE"""),1951.5)</f>
        <v>1951.5</v>
      </c>
      <c r="G61" s="9"/>
      <c r="H61" s="29">
        <f t="shared" si="3"/>
        <v>0.7368690751</v>
      </c>
      <c r="I61" s="1">
        <f t="shared" si="4"/>
        <v>-513.5</v>
      </c>
      <c r="J61" s="113">
        <f t="shared" si="5"/>
        <v>-0.9735107063</v>
      </c>
      <c r="K61" s="199">
        <f t="shared" si="6"/>
        <v>0.7368690751</v>
      </c>
      <c r="L61" s="213">
        <f t="shared" si="7"/>
        <v>1430.735</v>
      </c>
      <c r="M61" s="210">
        <f t="shared" si="8"/>
        <v>0.005052155772</v>
      </c>
      <c r="N61" s="213">
        <f t="shared" si="9"/>
        <v>1886.25</v>
      </c>
      <c r="O61" s="210">
        <f t="shared" si="10"/>
        <v>0.0334358186</v>
      </c>
      <c r="P61" s="210">
        <f t="shared" si="11"/>
        <v>-0.02838366283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217">
        <f>IFERROR(__xludf.DUMMYFUNCTION("""COMPUTED_VALUE"""),46219.64583333333)</f>
        <v>46219.64583</v>
      </c>
      <c r="C62" s="193">
        <f>IFERROR(__xludf.DUMMYFUNCTION("""COMPUTED_VALUE"""),1429.5)</f>
        <v>1429.5</v>
      </c>
      <c r="D62" s="9"/>
      <c r="E62" s="217">
        <f>IFERROR(__xludf.DUMMYFUNCTION("""COMPUTED_VALUE"""),46219.64583333333)</f>
        <v>46219.64583</v>
      </c>
      <c r="F62" s="193">
        <f>IFERROR(__xludf.DUMMYFUNCTION("""COMPUTED_VALUE"""),1950.1)</f>
        <v>1950.1</v>
      </c>
      <c r="G62" s="9"/>
      <c r="H62" s="29">
        <f t="shared" si="3"/>
        <v>0.7330393313</v>
      </c>
      <c r="I62" s="1">
        <f t="shared" si="4"/>
        <v>-520.6</v>
      </c>
      <c r="J62" s="113">
        <f t="shared" si="5"/>
        <v>-1.14224288</v>
      </c>
      <c r="K62" s="199">
        <f t="shared" si="6"/>
        <v>0.7330393313</v>
      </c>
      <c r="L62" s="213">
        <f t="shared" si="7"/>
        <v>1434.67</v>
      </c>
      <c r="M62" s="210">
        <f t="shared" si="8"/>
        <v>-0.003616649178</v>
      </c>
      <c r="N62" s="213">
        <f t="shared" si="9"/>
        <v>1892.735</v>
      </c>
      <c r="O62" s="210">
        <f t="shared" si="10"/>
        <v>0.02941644018</v>
      </c>
      <c r="P62" s="210">
        <f t="shared" si="11"/>
        <v>-0.03303308936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217">
        <f>IFERROR(__xludf.DUMMYFUNCTION("""COMPUTED_VALUE"""),46220.64583333333)</f>
        <v>46220.64583</v>
      </c>
      <c r="C63" s="193">
        <f>IFERROR(__xludf.DUMMYFUNCTION("""COMPUTED_VALUE"""),1418.7)</f>
        <v>1418.7</v>
      </c>
      <c r="D63" s="9"/>
      <c r="E63" s="217">
        <f>IFERROR(__xludf.DUMMYFUNCTION("""COMPUTED_VALUE"""),46220.64583333333)</f>
        <v>46220.64583</v>
      </c>
      <c r="F63" s="193">
        <f>IFERROR(__xludf.DUMMYFUNCTION("""COMPUTED_VALUE"""),1932.6)</f>
        <v>1932.6</v>
      </c>
      <c r="G63" s="9"/>
      <c r="H63" s="29">
        <f t="shared" si="3"/>
        <v>0.7340887923</v>
      </c>
      <c r="I63" s="1">
        <f t="shared" si="4"/>
        <v>-513.9</v>
      </c>
      <c r="J63" s="113">
        <f t="shared" si="5"/>
        <v>-0.9830167443</v>
      </c>
      <c r="K63" s="199">
        <f t="shared" si="6"/>
        <v>0.7340887923</v>
      </c>
      <c r="L63" s="213">
        <f t="shared" si="7"/>
        <v>1437.83</v>
      </c>
      <c r="M63" s="210">
        <f t="shared" si="8"/>
        <v>-0.01348417565</v>
      </c>
      <c r="N63" s="213">
        <f t="shared" si="9"/>
        <v>1898.125</v>
      </c>
      <c r="O63" s="210">
        <f t="shared" si="10"/>
        <v>0.01783866294</v>
      </c>
      <c r="P63" s="210">
        <f t="shared" si="11"/>
        <v>-0.03132283859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93">
        <v>30.0</v>
      </c>
      <c r="B64" s="217">
        <f>IFERROR(__xludf.DUMMYFUNCTION("""COMPUTED_VALUE"""),46223.64583333333)</f>
        <v>46223.64583</v>
      </c>
      <c r="C64" s="193">
        <f>IFERROR(__xludf.DUMMYFUNCTION("""COMPUTED_VALUE"""),1441.6)</f>
        <v>1441.6</v>
      </c>
      <c r="D64" s="9"/>
      <c r="E64" s="217">
        <f>IFERROR(__xludf.DUMMYFUNCTION("""COMPUTED_VALUE"""),46223.64583333333)</f>
        <v>46223.64583</v>
      </c>
      <c r="F64" s="193">
        <f>IFERROR(__xludf.DUMMYFUNCTION("""COMPUTED_VALUE"""),1956.4)</f>
        <v>1956.4</v>
      </c>
      <c r="G64" s="9"/>
      <c r="H64" s="29">
        <f t="shared" si="3"/>
        <v>0.7368636271</v>
      </c>
      <c r="I64" s="1">
        <f t="shared" si="4"/>
        <v>-514.8</v>
      </c>
      <c r="J64" s="113">
        <f t="shared" si="5"/>
        <v>-1.00440533</v>
      </c>
      <c r="K64" s="199">
        <f t="shared" si="6"/>
        <v>0.7368636271</v>
      </c>
      <c r="L64" s="213">
        <f t="shared" si="7"/>
        <v>1442.32</v>
      </c>
      <c r="M64" s="210">
        <f t="shared" si="8"/>
        <v>-0.000499445061</v>
      </c>
      <c r="N64" s="213">
        <f t="shared" si="9"/>
        <v>1904.03</v>
      </c>
      <c r="O64" s="210">
        <f t="shared" si="10"/>
        <v>0.02676855449</v>
      </c>
      <c r="P64" s="210">
        <f t="shared" si="11"/>
        <v>-0.02726799955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217">
        <f>IFERROR(__xludf.DUMMYFUNCTION("""COMPUTED_VALUE"""),46224.64583333333)</f>
        <v>46224.64583</v>
      </c>
      <c r="C65" s="193">
        <f>IFERROR(__xludf.DUMMYFUNCTION("""COMPUTED_VALUE"""),1432.5)</f>
        <v>1432.5</v>
      </c>
      <c r="D65" s="9"/>
      <c r="E65" s="217">
        <f>IFERROR(__xludf.DUMMYFUNCTION("""COMPUTED_VALUE"""),46224.64583333333)</f>
        <v>46224.64583</v>
      </c>
      <c r="F65" s="193">
        <f>IFERROR(__xludf.DUMMYFUNCTION("""COMPUTED_VALUE"""),1961.9)</f>
        <v>1961.9</v>
      </c>
      <c r="G65" s="9"/>
      <c r="H65" s="29">
        <f t="shared" si="3"/>
        <v>0.7301595392</v>
      </c>
      <c r="I65" s="1">
        <f t="shared" si="4"/>
        <v>-529.4</v>
      </c>
      <c r="J65" s="113">
        <f t="shared" si="5"/>
        <v>-1.351375715</v>
      </c>
      <c r="K65" s="199">
        <f t="shared" si="6"/>
        <v>0.7301595392</v>
      </c>
      <c r="L65" s="213">
        <f t="shared" si="7"/>
        <v>1443.16</v>
      </c>
      <c r="M65" s="210">
        <f t="shared" si="8"/>
        <v>-0.007441535777</v>
      </c>
      <c r="N65" s="213">
        <f t="shared" si="9"/>
        <v>1908.98</v>
      </c>
      <c r="O65" s="210">
        <f t="shared" si="10"/>
        <v>0.02697385188</v>
      </c>
      <c r="P65" s="210">
        <f t="shared" si="11"/>
        <v>-0.03441538765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217">
        <f>IFERROR(__xludf.DUMMYFUNCTION("""COMPUTED_VALUE"""),46225.64583333333)</f>
        <v>46225.64583</v>
      </c>
      <c r="C66" s="193">
        <f>IFERROR(__xludf.DUMMYFUNCTION("""COMPUTED_VALUE"""),1415.1)</f>
        <v>1415.1</v>
      </c>
      <c r="D66" s="9"/>
      <c r="E66" s="217">
        <f>IFERROR(__xludf.DUMMYFUNCTION("""COMPUTED_VALUE"""),46225.64583333333)</f>
        <v>46225.64583</v>
      </c>
      <c r="F66" s="193">
        <f>IFERROR(__xludf.DUMMYFUNCTION("""COMPUTED_VALUE"""),1943.0)</f>
        <v>1943</v>
      </c>
      <c r="G66" s="9"/>
      <c r="H66" s="29">
        <f t="shared" si="3"/>
        <v>0.7283067422</v>
      </c>
      <c r="I66" s="1">
        <f t="shared" si="4"/>
        <v>-527.9</v>
      </c>
      <c r="J66" s="113">
        <f t="shared" si="5"/>
        <v>-1.315728073</v>
      </c>
      <c r="K66" s="199">
        <f t="shared" si="6"/>
        <v>0.7283067422</v>
      </c>
      <c r="L66" s="213">
        <f t="shared" si="7"/>
        <v>1442.26</v>
      </c>
      <c r="M66" s="210">
        <f t="shared" si="8"/>
        <v>-0.01919298989</v>
      </c>
      <c r="N66" s="213">
        <f t="shared" si="9"/>
        <v>1912.73</v>
      </c>
      <c r="O66" s="210">
        <f t="shared" si="10"/>
        <v>0.01557900154</v>
      </c>
      <c r="P66" s="210">
        <f t="shared" si="11"/>
        <v>-0.03477199144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217">
        <f>IFERROR(__xludf.DUMMYFUNCTION("""COMPUTED_VALUE"""),46226.64583333333)</f>
        <v>46226.64583</v>
      </c>
      <c r="C67" s="193">
        <f>IFERROR(__xludf.DUMMYFUNCTION("""COMPUTED_VALUE"""),1393.0)</f>
        <v>1393</v>
      </c>
      <c r="D67" s="9"/>
      <c r="E67" s="217">
        <f>IFERROR(__xludf.DUMMYFUNCTION("""COMPUTED_VALUE"""),46226.64583333333)</f>
        <v>46226.64583</v>
      </c>
      <c r="F67" s="193">
        <f>IFERROR(__xludf.DUMMYFUNCTION("""COMPUTED_VALUE"""),1954.0)</f>
        <v>1954</v>
      </c>
      <c r="G67" s="9"/>
      <c r="H67" s="29">
        <f t="shared" si="3"/>
        <v>0.7128966223</v>
      </c>
      <c r="I67" s="1">
        <f t="shared" si="4"/>
        <v>-561</v>
      </c>
      <c r="J67" s="113">
        <f t="shared" si="5"/>
        <v>-2.102352713</v>
      </c>
      <c r="K67" s="199">
        <f t="shared" si="6"/>
        <v>0.7128966223</v>
      </c>
      <c r="L67" s="213">
        <f t="shared" si="7"/>
        <v>1440.015</v>
      </c>
      <c r="M67" s="210">
        <f t="shared" si="8"/>
        <v>-0.03375089734</v>
      </c>
      <c r="N67" s="213">
        <f t="shared" si="9"/>
        <v>1916.71</v>
      </c>
      <c r="O67" s="210">
        <f t="shared" si="10"/>
        <v>0.0190839304</v>
      </c>
      <c r="P67" s="210">
        <f t="shared" si="11"/>
        <v>-0.05283482774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217">
        <f>IFERROR(__xludf.DUMMYFUNCTION("""COMPUTED_VALUE"""),46227.64583333333)</f>
        <v>46227.64583</v>
      </c>
      <c r="C68" s="193">
        <f>IFERROR(__xludf.DUMMYFUNCTION("""COMPUTED_VALUE"""),1410.6)</f>
        <v>1410.6</v>
      </c>
      <c r="D68" s="9"/>
      <c r="E68" s="217">
        <f>IFERROR(__xludf.DUMMYFUNCTION("""COMPUTED_VALUE"""),46227.64583333333)</f>
        <v>46227.64583</v>
      </c>
      <c r="F68" s="193">
        <f>IFERROR(__xludf.DUMMYFUNCTION("""COMPUTED_VALUE"""),1941.1)</f>
        <v>1941.1</v>
      </c>
      <c r="G68" s="9"/>
      <c r="H68" s="29">
        <f t="shared" si="3"/>
        <v>0.7267013549</v>
      </c>
      <c r="I68" s="1">
        <f t="shared" si="4"/>
        <v>-530.5</v>
      </c>
      <c r="J68" s="113">
        <f t="shared" si="5"/>
        <v>-1.377517319</v>
      </c>
      <c r="K68" s="199">
        <f t="shared" si="6"/>
        <v>0.7267013549</v>
      </c>
      <c r="L68" s="213">
        <f t="shared" si="7"/>
        <v>1438.54</v>
      </c>
      <c r="M68" s="210">
        <f t="shared" si="8"/>
        <v>-0.01980717425</v>
      </c>
      <c r="N68" s="213">
        <f t="shared" si="9"/>
        <v>1920.625</v>
      </c>
      <c r="O68" s="210">
        <f t="shared" si="10"/>
        <v>0.01054814281</v>
      </c>
      <c r="P68" s="210">
        <f t="shared" si="11"/>
        <v>-0.03035531706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217">
        <f>IFERROR(__xludf.DUMMYFUNCTION("""COMPUTED_VALUE"""),46230.64583333333)</f>
        <v>46230.64583</v>
      </c>
      <c r="C69" s="193">
        <f>IFERROR(__xludf.DUMMYFUNCTION("""COMPUTED_VALUE"""),1409.4)</f>
        <v>1409.4</v>
      </c>
      <c r="D69" s="9"/>
      <c r="E69" s="217">
        <f>IFERROR(__xludf.DUMMYFUNCTION("""COMPUTED_VALUE"""),46230.64583333333)</f>
        <v>46230.64583</v>
      </c>
      <c r="F69" s="193">
        <f>IFERROR(__xludf.DUMMYFUNCTION("""COMPUTED_VALUE"""),1973.7)</f>
        <v>1973.7</v>
      </c>
      <c r="G69" s="9"/>
      <c r="H69" s="29">
        <f t="shared" si="3"/>
        <v>0.7140902873</v>
      </c>
      <c r="I69" s="1">
        <f t="shared" si="4"/>
        <v>-564.3</v>
      </c>
      <c r="J69" s="113">
        <f t="shared" si="5"/>
        <v>-2.180777526</v>
      </c>
      <c r="K69" s="199">
        <f t="shared" si="6"/>
        <v>0.7140902873</v>
      </c>
      <c r="L69" s="213">
        <f t="shared" si="7"/>
        <v>1436.305</v>
      </c>
      <c r="M69" s="210">
        <f t="shared" si="8"/>
        <v>-0.01908968355</v>
      </c>
      <c r="N69" s="213">
        <f t="shared" si="9"/>
        <v>1925.57</v>
      </c>
      <c r="O69" s="210">
        <f t="shared" si="10"/>
        <v>0.02438567158</v>
      </c>
      <c r="P69" s="210">
        <f t="shared" si="11"/>
        <v>-0.04347535513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217">
        <f>IFERROR(__xludf.DUMMYFUNCTION("""COMPUTED_VALUE"""),46231.64583333333)</f>
        <v>46231.64583</v>
      </c>
      <c r="C70" s="193">
        <f>IFERROR(__xludf.DUMMYFUNCTION("""COMPUTED_VALUE"""),1444.6)</f>
        <v>1444.6</v>
      </c>
      <c r="D70" s="9"/>
      <c r="E70" s="217">
        <f>IFERROR(__xludf.DUMMYFUNCTION("""COMPUTED_VALUE"""),46231.64583333333)</f>
        <v>46231.64583</v>
      </c>
      <c r="F70" s="193">
        <f>IFERROR(__xludf.DUMMYFUNCTION("""COMPUTED_VALUE"""),1976.7)</f>
        <v>1976.7</v>
      </c>
      <c r="G70" s="9"/>
      <c r="H70" s="29">
        <f t="shared" si="3"/>
        <v>0.7308139829</v>
      </c>
      <c r="I70" s="1">
        <f t="shared" si="4"/>
        <v>-532.1</v>
      </c>
      <c r="J70" s="113">
        <f t="shared" si="5"/>
        <v>-1.415541471</v>
      </c>
      <c r="K70" s="199">
        <f t="shared" si="6"/>
        <v>0.7308139829</v>
      </c>
      <c r="L70" s="213">
        <f t="shared" si="7"/>
        <v>1435.265</v>
      </c>
      <c r="M70" s="210">
        <f t="shared" si="8"/>
        <v>0.0064619964</v>
      </c>
      <c r="N70" s="213">
        <f t="shared" si="9"/>
        <v>1931.28</v>
      </c>
      <c r="O70" s="210">
        <f t="shared" si="10"/>
        <v>0.02297769009</v>
      </c>
      <c r="P70" s="210">
        <f t="shared" si="11"/>
        <v>-0.01651569369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217">
        <f>IFERROR(__xludf.DUMMYFUNCTION("""COMPUTED_VALUE"""),46232.64583333333)</f>
        <v>46232.64583</v>
      </c>
      <c r="C71" s="193">
        <f>IFERROR(__xludf.DUMMYFUNCTION("""COMPUTED_VALUE"""),1474.3)</f>
        <v>1474.3</v>
      </c>
      <c r="D71" s="9"/>
      <c r="E71" s="217">
        <f>IFERROR(__xludf.DUMMYFUNCTION("""COMPUTED_VALUE"""),46232.64583333333)</f>
        <v>46232.64583</v>
      </c>
      <c r="F71" s="193">
        <f>IFERROR(__xludf.DUMMYFUNCTION("""COMPUTED_VALUE"""),1989.9)</f>
        <v>1989.9</v>
      </c>
      <c r="G71" s="9"/>
      <c r="H71" s="29">
        <f t="shared" si="3"/>
        <v>0.7408915021</v>
      </c>
      <c r="I71" s="1">
        <f t="shared" si="4"/>
        <v>-515.6</v>
      </c>
      <c r="J71" s="113">
        <f t="shared" si="5"/>
        <v>-1.023417406</v>
      </c>
      <c r="K71" s="199">
        <f t="shared" si="6"/>
        <v>0.7408915021</v>
      </c>
      <c r="L71" s="213">
        <f t="shared" si="7"/>
        <v>1436.145</v>
      </c>
      <c r="M71" s="210">
        <f t="shared" si="8"/>
        <v>0.02588007868</v>
      </c>
      <c r="N71" s="213">
        <f t="shared" si="9"/>
        <v>1937.465</v>
      </c>
      <c r="O71" s="210">
        <f t="shared" si="10"/>
        <v>0.02635057038</v>
      </c>
      <c r="P71" s="210">
        <f t="shared" si="11"/>
        <v>-0.000470491699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217">
        <f>IFERROR(__xludf.DUMMYFUNCTION("""COMPUTED_VALUE"""),46233.64583333333)</f>
        <v>46233.64583</v>
      </c>
      <c r="C72" s="193">
        <f>IFERROR(__xludf.DUMMYFUNCTION("""COMPUTED_VALUE"""),1466.4)</f>
        <v>1466.4</v>
      </c>
      <c r="D72" s="9"/>
      <c r="E72" s="217">
        <f>IFERROR(__xludf.DUMMYFUNCTION("""COMPUTED_VALUE"""),46233.64583333333)</f>
        <v>46233.64583</v>
      </c>
      <c r="F72" s="193">
        <f>IFERROR(__xludf.DUMMYFUNCTION("""COMPUTED_VALUE"""),2001.1)</f>
        <v>2001.1</v>
      </c>
      <c r="G72" s="9"/>
      <c r="H72" s="29">
        <f t="shared" si="3"/>
        <v>0.7327969617</v>
      </c>
      <c r="I72" s="1">
        <f t="shared" si="4"/>
        <v>-534.7</v>
      </c>
      <c r="J72" s="113">
        <f t="shared" si="5"/>
        <v>-1.477330718</v>
      </c>
      <c r="K72" s="199">
        <f t="shared" si="6"/>
        <v>0.7327969617</v>
      </c>
      <c r="L72" s="213">
        <f t="shared" si="7"/>
        <v>1436.665</v>
      </c>
      <c r="M72" s="210">
        <f t="shared" si="8"/>
        <v>0.02027755046</v>
      </c>
      <c r="N72" s="213">
        <f t="shared" si="9"/>
        <v>1943.97</v>
      </c>
      <c r="O72" s="210">
        <f t="shared" si="10"/>
        <v>0.02854929789</v>
      </c>
      <c r="P72" s="210">
        <f t="shared" si="11"/>
        <v>-0.008271747422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217">
        <f>IFERROR(__xludf.DUMMYFUNCTION("""COMPUTED_VALUE"""),46234.64583333333)</f>
        <v>46234.64583</v>
      </c>
      <c r="C73" s="193">
        <f>IFERROR(__xludf.DUMMYFUNCTION("""COMPUTED_VALUE"""),1473.2)</f>
        <v>1473.2</v>
      </c>
      <c r="D73" s="9"/>
      <c r="E73" s="217">
        <f>IFERROR(__xludf.DUMMYFUNCTION("""COMPUTED_VALUE"""),46234.64583333333)</f>
        <v>46234.64583</v>
      </c>
      <c r="F73" s="193">
        <f>IFERROR(__xludf.DUMMYFUNCTION("""COMPUTED_VALUE"""),1990.5)</f>
        <v>1990.5</v>
      </c>
      <c r="G73" s="9"/>
      <c r="H73" s="29">
        <f t="shared" si="3"/>
        <v>0.7401155489</v>
      </c>
      <c r="I73" s="1">
        <f t="shared" si="4"/>
        <v>-517.3</v>
      </c>
      <c r="J73" s="113">
        <f t="shared" si="5"/>
        <v>-1.063818067</v>
      </c>
      <c r="K73" s="199">
        <f t="shared" si="6"/>
        <v>0.7401155489</v>
      </c>
      <c r="L73" s="213">
        <f t="shared" si="7"/>
        <v>1437.415</v>
      </c>
      <c r="M73" s="210">
        <f t="shared" si="8"/>
        <v>0.02429065979</v>
      </c>
      <c r="N73" s="213">
        <f t="shared" si="9"/>
        <v>1948.255</v>
      </c>
      <c r="O73" s="210">
        <f t="shared" si="10"/>
        <v>0.02122331073</v>
      </c>
      <c r="P73" s="210">
        <f t="shared" si="11"/>
        <v>0.003067349062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93">
        <v>20.0</v>
      </c>
      <c r="B74" s="217">
        <f>IFERROR(__xludf.DUMMYFUNCTION("""COMPUTED_VALUE"""),46237.64583333333)</f>
        <v>46237.64583</v>
      </c>
      <c r="C74" s="193">
        <f>IFERROR(__xludf.DUMMYFUNCTION("""COMPUTED_VALUE"""),1474.4)</f>
        <v>1474.4</v>
      </c>
      <c r="D74" s="9"/>
      <c r="E74" s="217">
        <f>IFERROR(__xludf.DUMMYFUNCTION("""COMPUTED_VALUE"""),46237.64583333333)</f>
        <v>46237.64583</v>
      </c>
      <c r="F74" s="193">
        <f>IFERROR(__xludf.DUMMYFUNCTION("""COMPUTED_VALUE"""),1963.5)</f>
        <v>1963.5</v>
      </c>
      <c r="G74" s="9"/>
      <c r="H74" s="29">
        <f t="shared" si="3"/>
        <v>0.750903998</v>
      </c>
      <c r="I74" s="1">
        <f t="shared" si="4"/>
        <v>-489.1</v>
      </c>
      <c r="J74" s="113">
        <f t="shared" si="5"/>
        <v>-0.3936423911</v>
      </c>
      <c r="K74" s="199">
        <f t="shared" si="6"/>
        <v>0.750903998</v>
      </c>
      <c r="L74" s="213">
        <f t="shared" si="7"/>
        <v>1437.52</v>
      </c>
      <c r="M74" s="210">
        <f t="shared" si="8"/>
        <v>0.02501356484</v>
      </c>
      <c r="N74" s="213">
        <f t="shared" si="9"/>
        <v>1950.79</v>
      </c>
      <c r="O74" s="210">
        <f t="shared" si="10"/>
        <v>0.006473134708</v>
      </c>
      <c r="P74" s="210">
        <f t="shared" si="11"/>
        <v>0.01854043013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217">
        <f>IFERROR(__xludf.DUMMYFUNCTION("""COMPUTED_VALUE"""),46238.64583333333)</f>
        <v>46238.64583</v>
      </c>
      <c r="C75" s="193">
        <f>IFERROR(__xludf.DUMMYFUNCTION("""COMPUTED_VALUE"""),1460.0)</f>
        <v>1460</v>
      </c>
      <c r="D75" s="9"/>
      <c r="E75" s="217">
        <f>IFERROR(__xludf.DUMMYFUNCTION("""COMPUTED_VALUE"""),46238.64583333333)</f>
        <v>46238.64583</v>
      </c>
      <c r="F75" s="193">
        <f>IFERROR(__xludf.DUMMYFUNCTION("""COMPUTED_VALUE"""),1964.0)</f>
        <v>1964</v>
      </c>
      <c r="G75" s="9"/>
      <c r="H75" s="29">
        <f t="shared" si="3"/>
        <v>0.7433808554</v>
      </c>
      <c r="I75" s="1">
        <f t="shared" si="4"/>
        <v>-504</v>
      </c>
      <c r="J75" s="113">
        <f t="shared" si="5"/>
        <v>-0.7477423049</v>
      </c>
      <c r="K75" s="199">
        <f t="shared" si="6"/>
        <v>0.7433808554</v>
      </c>
      <c r="L75" s="213">
        <f t="shared" si="7"/>
        <v>1437.93</v>
      </c>
      <c r="M75" s="210">
        <f t="shared" si="8"/>
        <v>0.01511643836</v>
      </c>
      <c r="N75" s="213">
        <f t="shared" si="9"/>
        <v>1953.82</v>
      </c>
      <c r="O75" s="210">
        <f t="shared" si="10"/>
        <v>0.005183299389</v>
      </c>
      <c r="P75" s="210">
        <f t="shared" si="11"/>
        <v>0.009933138967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217">
        <f>IFERROR(__xludf.DUMMYFUNCTION("""COMPUTED_VALUE"""),46239.64583333333)</f>
        <v>46239.64583</v>
      </c>
      <c r="C76" s="193">
        <f>IFERROR(__xludf.DUMMYFUNCTION("""COMPUTED_VALUE"""),1458.8)</f>
        <v>1458.8</v>
      </c>
      <c r="D76" s="9"/>
      <c r="E76" s="217">
        <f>IFERROR(__xludf.DUMMYFUNCTION("""COMPUTED_VALUE"""),46239.64583333333)</f>
        <v>46239.64583</v>
      </c>
      <c r="F76" s="193">
        <f>IFERROR(__xludf.DUMMYFUNCTION("""COMPUTED_VALUE"""),1940.0)</f>
        <v>1940</v>
      </c>
      <c r="G76" s="9"/>
      <c r="H76" s="29">
        <f t="shared" si="3"/>
        <v>0.7519587629</v>
      </c>
      <c r="I76" s="1">
        <f t="shared" si="4"/>
        <v>-481.2</v>
      </c>
      <c r="J76" s="113">
        <f t="shared" si="5"/>
        <v>-0.2058981415</v>
      </c>
      <c r="K76" s="199">
        <f t="shared" si="6"/>
        <v>0.7519587629</v>
      </c>
      <c r="L76" s="213">
        <f t="shared" si="7"/>
        <v>1439.28</v>
      </c>
      <c r="M76" s="210">
        <f t="shared" si="8"/>
        <v>0.01338086098</v>
      </c>
      <c r="N76" s="213">
        <f t="shared" si="9"/>
        <v>1956.41</v>
      </c>
      <c r="O76" s="210">
        <f t="shared" si="10"/>
        <v>-0.008458762887</v>
      </c>
      <c r="P76" s="210">
        <f t="shared" si="11"/>
        <v>0.02183962387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217">
        <f>IFERROR(__xludf.DUMMYFUNCTION("""COMPUTED_VALUE"""),46240.64583333333)</f>
        <v>46240.64583</v>
      </c>
      <c r="C77" s="193">
        <f>IFERROR(__xludf.DUMMYFUNCTION("""COMPUTED_VALUE"""),1477.0)</f>
        <v>1477</v>
      </c>
      <c r="D77" s="9"/>
      <c r="E77" s="217">
        <f>IFERROR(__xludf.DUMMYFUNCTION("""COMPUTED_VALUE"""),46240.64583333333)</f>
        <v>46240.64583</v>
      </c>
      <c r="F77" s="193">
        <f>IFERROR(__xludf.DUMMYFUNCTION("""COMPUTED_VALUE"""),1951.0)</f>
        <v>1951</v>
      </c>
      <c r="G77" s="9"/>
      <c r="H77" s="29">
        <f t="shared" si="3"/>
        <v>0.7570476679</v>
      </c>
      <c r="I77" s="1">
        <f t="shared" si="4"/>
        <v>-474</v>
      </c>
      <c r="J77" s="113">
        <f t="shared" si="5"/>
        <v>-0.03478945835</v>
      </c>
      <c r="K77" s="199">
        <f t="shared" si="6"/>
        <v>0.7570476679</v>
      </c>
      <c r="L77" s="213">
        <f t="shared" si="7"/>
        <v>1441.065</v>
      </c>
      <c r="M77" s="210">
        <f t="shared" si="8"/>
        <v>0.02432972241</v>
      </c>
      <c r="N77" s="213">
        <f t="shared" si="9"/>
        <v>1957.025</v>
      </c>
      <c r="O77" s="210">
        <f t="shared" si="10"/>
        <v>-0.003088159918</v>
      </c>
      <c r="P77" s="210">
        <f t="shared" si="11"/>
        <v>0.02741788233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217">
        <f>IFERROR(__xludf.DUMMYFUNCTION("""COMPUTED_VALUE"""),46241.64583333333)</f>
        <v>46241.64583</v>
      </c>
      <c r="C78" s="193">
        <f>IFERROR(__xludf.DUMMYFUNCTION("""COMPUTED_VALUE"""),1463.8)</f>
        <v>1463.8</v>
      </c>
      <c r="D78" s="9"/>
      <c r="E78" s="217">
        <f>IFERROR(__xludf.DUMMYFUNCTION("""COMPUTED_VALUE"""),46241.64583333333)</f>
        <v>46241.64583</v>
      </c>
      <c r="F78" s="193">
        <f>IFERROR(__xludf.DUMMYFUNCTION("""COMPUTED_VALUE"""),1945.0)</f>
        <v>1945</v>
      </c>
      <c r="G78" s="9"/>
      <c r="H78" s="29">
        <f t="shared" si="3"/>
        <v>0.752596401</v>
      </c>
      <c r="I78" s="1">
        <f t="shared" si="4"/>
        <v>-481.2</v>
      </c>
      <c r="J78" s="113">
        <f t="shared" si="5"/>
        <v>-0.2058981415</v>
      </c>
      <c r="K78" s="199">
        <f t="shared" si="6"/>
        <v>0.752596401</v>
      </c>
      <c r="L78" s="213">
        <f t="shared" si="7"/>
        <v>1442.285</v>
      </c>
      <c r="M78" s="210">
        <f t="shared" si="8"/>
        <v>0.01469804618</v>
      </c>
      <c r="N78" s="213">
        <f t="shared" si="9"/>
        <v>1957.5</v>
      </c>
      <c r="O78" s="210">
        <f t="shared" si="10"/>
        <v>-0.006426735219</v>
      </c>
      <c r="P78" s="210">
        <f t="shared" si="11"/>
        <v>0.0211247814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217">
        <f>IFERROR(__xludf.DUMMYFUNCTION("""COMPUTED_VALUE"""),46244.64583333333)</f>
        <v>46244.64583</v>
      </c>
      <c r="C79" s="193">
        <f>IFERROR(__xludf.DUMMYFUNCTION("""COMPUTED_VALUE"""),1467.7)</f>
        <v>1467.7</v>
      </c>
      <c r="D79" s="9"/>
      <c r="E79" s="217">
        <f>IFERROR(__xludf.DUMMYFUNCTION("""COMPUTED_VALUE"""),46244.64583333333)</f>
        <v>46244.64583</v>
      </c>
      <c r="F79" s="193">
        <f>IFERROR(__xludf.DUMMYFUNCTION("""COMPUTED_VALUE"""),1944.4)</f>
        <v>1944.4</v>
      </c>
      <c r="G79" s="9"/>
      <c r="H79" s="29">
        <f t="shared" si="3"/>
        <v>0.7548343962</v>
      </c>
      <c r="I79" s="1">
        <f t="shared" si="4"/>
        <v>-476.7</v>
      </c>
      <c r="J79" s="113">
        <f t="shared" si="5"/>
        <v>-0.09895521453</v>
      </c>
      <c r="K79" s="199">
        <f t="shared" si="6"/>
        <v>0.7548343962</v>
      </c>
      <c r="L79" s="213">
        <f t="shared" si="7"/>
        <v>1444.335</v>
      </c>
      <c r="M79" s="210">
        <f t="shared" si="8"/>
        <v>0.01591946583</v>
      </c>
      <c r="N79" s="213">
        <f t="shared" si="9"/>
        <v>1958.65</v>
      </c>
      <c r="O79" s="210">
        <f t="shared" si="10"/>
        <v>-0.007328738943</v>
      </c>
      <c r="P79" s="210">
        <f t="shared" si="11"/>
        <v>0.02324820477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217">
        <f>IFERROR(__xludf.DUMMYFUNCTION("""COMPUTED_VALUE"""),46245.64583333333)</f>
        <v>46245.64583</v>
      </c>
      <c r="C80" s="193">
        <f>IFERROR(__xludf.DUMMYFUNCTION("""COMPUTED_VALUE"""),1463.0)</f>
        <v>1463</v>
      </c>
      <c r="D80" s="9"/>
      <c r="E80" s="217">
        <f>IFERROR(__xludf.DUMMYFUNCTION("""COMPUTED_VALUE"""),46245.64583333333)</f>
        <v>46245.64583</v>
      </c>
      <c r="F80" s="193">
        <f>IFERROR(__xludf.DUMMYFUNCTION("""COMPUTED_VALUE"""),1942.0)</f>
        <v>1942</v>
      </c>
      <c r="G80" s="9"/>
      <c r="H80" s="29">
        <f t="shared" si="3"/>
        <v>0.7533470649</v>
      </c>
      <c r="I80" s="1">
        <f t="shared" si="4"/>
        <v>-479</v>
      </c>
      <c r="J80" s="113">
        <f t="shared" si="5"/>
        <v>-0.1536149328</v>
      </c>
      <c r="K80" s="199">
        <f t="shared" si="6"/>
        <v>0.7533470649</v>
      </c>
      <c r="L80" s="213">
        <f t="shared" si="7"/>
        <v>1445.58</v>
      </c>
      <c r="M80" s="210">
        <f t="shared" si="8"/>
        <v>0.01190704033</v>
      </c>
      <c r="N80" s="213">
        <f t="shared" si="9"/>
        <v>1958.62</v>
      </c>
      <c r="O80" s="210">
        <f t="shared" si="10"/>
        <v>-0.008558187436</v>
      </c>
      <c r="P80" s="210">
        <f t="shared" si="11"/>
        <v>0.02046522776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217">
        <f>IFERROR(__xludf.DUMMYFUNCTION("""COMPUTED_VALUE"""),46246.64583333333)</f>
        <v>46246.64583</v>
      </c>
      <c r="C81" s="193">
        <f>IFERROR(__xludf.DUMMYFUNCTION("""COMPUTED_VALUE"""),1463.0)</f>
        <v>1463</v>
      </c>
      <c r="D81" s="9"/>
      <c r="E81" s="217">
        <f>IFERROR(__xludf.DUMMYFUNCTION("""COMPUTED_VALUE"""),46246.64583333333)</f>
        <v>46246.64583</v>
      </c>
      <c r="F81" s="193">
        <f>IFERROR(__xludf.DUMMYFUNCTION("""COMPUTED_VALUE"""),1944.0)</f>
        <v>1944</v>
      </c>
      <c r="G81" s="9"/>
      <c r="H81" s="29">
        <f t="shared" si="3"/>
        <v>0.7525720165</v>
      </c>
      <c r="I81" s="1">
        <f t="shared" si="4"/>
        <v>-481</v>
      </c>
      <c r="J81" s="113">
        <f t="shared" si="5"/>
        <v>-0.2011451225</v>
      </c>
      <c r="K81" s="199">
        <f t="shared" si="6"/>
        <v>0.7525720165</v>
      </c>
      <c r="L81" s="213">
        <f t="shared" si="7"/>
        <v>1446.83</v>
      </c>
      <c r="M81" s="210">
        <f t="shared" si="8"/>
        <v>0.01105263158</v>
      </c>
      <c r="N81" s="213">
        <f t="shared" si="9"/>
        <v>1958.245</v>
      </c>
      <c r="O81" s="210">
        <f t="shared" si="10"/>
        <v>-0.007327674897</v>
      </c>
      <c r="P81" s="210">
        <f t="shared" si="11"/>
        <v>0.01838030648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217">
        <f>IFERROR(__xludf.DUMMYFUNCTION("""COMPUTED_VALUE"""),46247.64583333333)</f>
        <v>46247.64583</v>
      </c>
      <c r="C82" s="193">
        <f>IFERROR(__xludf.DUMMYFUNCTION("""COMPUTED_VALUE"""),1458.8)</f>
        <v>1458.8</v>
      </c>
      <c r="D82" s="9"/>
      <c r="E82" s="217">
        <f>IFERROR(__xludf.DUMMYFUNCTION("""COMPUTED_VALUE"""),46247.64583333333)</f>
        <v>46247.64583</v>
      </c>
      <c r="F82" s="193">
        <f>IFERROR(__xludf.DUMMYFUNCTION("""COMPUTED_VALUE"""),1932.0)</f>
        <v>1932</v>
      </c>
      <c r="G82" s="9"/>
      <c r="H82" s="29">
        <f t="shared" si="3"/>
        <v>0.7550724638</v>
      </c>
      <c r="I82" s="1">
        <f t="shared" si="4"/>
        <v>-473.2</v>
      </c>
      <c r="J82" s="113">
        <f t="shared" si="5"/>
        <v>-0.01577738244</v>
      </c>
      <c r="K82" s="199">
        <f t="shared" si="6"/>
        <v>0.7550724638</v>
      </c>
      <c r="L82" s="213">
        <f t="shared" si="7"/>
        <v>1448.295</v>
      </c>
      <c r="M82" s="210">
        <f t="shared" si="8"/>
        <v>0.007201124212</v>
      </c>
      <c r="N82" s="213">
        <f t="shared" si="9"/>
        <v>1957.34</v>
      </c>
      <c r="O82" s="210">
        <f t="shared" si="10"/>
        <v>-0.01311594203</v>
      </c>
      <c r="P82" s="210">
        <f t="shared" si="11"/>
        <v>0.02031706624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217">
        <f>IFERROR(__xludf.DUMMYFUNCTION("""COMPUTED_VALUE"""),46248.64583333333)</f>
        <v>46248.64583</v>
      </c>
      <c r="C83" s="193">
        <f>IFERROR(__xludf.DUMMYFUNCTION("""COMPUTED_VALUE"""),1450.0)</f>
        <v>1450</v>
      </c>
      <c r="D83" s="9"/>
      <c r="E83" s="217">
        <f>IFERROR(__xludf.DUMMYFUNCTION("""COMPUTED_VALUE"""),46248.64583333333)</f>
        <v>46248.64583</v>
      </c>
      <c r="F83" s="193">
        <f>IFERROR(__xludf.DUMMYFUNCTION("""COMPUTED_VALUE"""),1930.0)</f>
        <v>1930</v>
      </c>
      <c r="G83" s="9"/>
      <c r="H83" s="29">
        <f t="shared" si="3"/>
        <v>0.7512953368</v>
      </c>
      <c r="I83" s="1">
        <f t="shared" si="4"/>
        <v>-480</v>
      </c>
      <c r="J83" s="113">
        <f t="shared" si="5"/>
        <v>-0.1773800277</v>
      </c>
      <c r="K83" s="199">
        <f t="shared" si="6"/>
        <v>0.7512953368</v>
      </c>
      <c r="L83" s="213">
        <f t="shared" si="7"/>
        <v>1449.86</v>
      </c>
      <c r="M83" s="210">
        <f t="shared" si="8"/>
        <v>0.00009655172414</v>
      </c>
      <c r="N83" s="213">
        <f t="shared" si="9"/>
        <v>1957.21</v>
      </c>
      <c r="O83" s="210">
        <f t="shared" si="10"/>
        <v>-0.0140984456</v>
      </c>
      <c r="P83" s="210">
        <f t="shared" si="11"/>
        <v>0.01419499732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93">
        <v>10.0</v>
      </c>
      <c r="B84" s="217">
        <f>IFERROR(__xludf.DUMMYFUNCTION("""COMPUTED_VALUE"""),46251.64583333333)</f>
        <v>46251.64583</v>
      </c>
      <c r="C84" s="193">
        <f>IFERROR(__xludf.DUMMYFUNCTION("""COMPUTED_VALUE"""),1431.5)</f>
        <v>1431.5</v>
      </c>
      <c r="D84" s="9"/>
      <c r="E84" s="217">
        <f>IFERROR(__xludf.DUMMYFUNCTION("""COMPUTED_VALUE"""),46251.64583333333)</f>
        <v>46251.64583</v>
      </c>
      <c r="F84" s="193">
        <f>IFERROR(__xludf.DUMMYFUNCTION("""COMPUTED_VALUE"""),1882.0)</f>
        <v>1882</v>
      </c>
      <c r="G84" s="9"/>
      <c r="H84" s="29">
        <f t="shared" si="3"/>
        <v>0.7606269926</v>
      </c>
      <c r="I84" s="1">
        <f t="shared" si="4"/>
        <v>-450.5</v>
      </c>
      <c r="J84" s="113">
        <f t="shared" si="5"/>
        <v>0.5236902715</v>
      </c>
      <c r="K84" s="199">
        <f t="shared" si="6"/>
        <v>0.7606269926</v>
      </c>
      <c r="L84" s="213">
        <f t="shared" si="7"/>
        <v>1449.355</v>
      </c>
      <c r="M84" s="210">
        <f t="shared" si="8"/>
        <v>-0.01247293049</v>
      </c>
      <c r="N84" s="213">
        <f t="shared" si="9"/>
        <v>1953.49</v>
      </c>
      <c r="O84" s="210">
        <f t="shared" si="10"/>
        <v>-0.03798618491</v>
      </c>
      <c r="P84" s="210">
        <f t="shared" si="11"/>
        <v>0.02551325442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217">
        <f>IFERROR(__xludf.DUMMYFUNCTION("""COMPUTED_VALUE"""),46252.64583333333)</f>
        <v>46252.64583</v>
      </c>
      <c r="C85" s="193">
        <f>IFERROR(__xludf.DUMMYFUNCTION("""COMPUTED_VALUE"""),1431.1)</f>
        <v>1431.1</v>
      </c>
      <c r="D85" s="9"/>
      <c r="E85" s="217">
        <f>IFERROR(__xludf.DUMMYFUNCTION("""COMPUTED_VALUE"""),46252.64583333333)</f>
        <v>46252.64583</v>
      </c>
      <c r="F85" s="193">
        <f>IFERROR(__xludf.DUMMYFUNCTION("""COMPUTED_VALUE"""),1875.1)</f>
        <v>1875.1</v>
      </c>
      <c r="G85" s="9"/>
      <c r="H85" s="29">
        <f t="shared" si="3"/>
        <v>0.7632126287</v>
      </c>
      <c r="I85" s="1">
        <f t="shared" si="4"/>
        <v>-444</v>
      </c>
      <c r="J85" s="113">
        <f t="shared" si="5"/>
        <v>0.6781633882</v>
      </c>
      <c r="K85" s="199">
        <f t="shared" si="6"/>
        <v>0.7632126287</v>
      </c>
      <c r="L85" s="213">
        <f t="shared" si="7"/>
        <v>1449.285</v>
      </c>
      <c r="M85" s="210">
        <f t="shared" si="8"/>
        <v>-0.01270700859</v>
      </c>
      <c r="N85" s="213">
        <f t="shared" si="9"/>
        <v>1949.15</v>
      </c>
      <c r="O85" s="210">
        <f t="shared" si="10"/>
        <v>-0.03949122713</v>
      </c>
      <c r="P85" s="210">
        <f t="shared" si="11"/>
        <v>0.02678421854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217">
        <f>IFERROR(__xludf.DUMMYFUNCTION("""COMPUTED_VALUE"""),46253.64583333333)</f>
        <v>46253.64583</v>
      </c>
      <c r="C86" s="193">
        <f>IFERROR(__xludf.DUMMYFUNCTION("""COMPUTED_VALUE"""),1422.0)</f>
        <v>1422</v>
      </c>
      <c r="D86" s="9"/>
      <c r="E86" s="217">
        <f>IFERROR(__xludf.DUMMYFUNCTION("""COMPUTED_VALUE"""),46253.64583333333)</f>
        <v>46253.64583</v>
      </c>
      <c r="F86" s="193">
        <f>IFERROR(__xludf.DUMMYFUNCTION("""COMPUTED_VALUE"""),1900.0)</f>
        <v>1900</v>
      </c>
      <c r="G86" s="9"/>
      <c r="H86" s="29">
        <f t="shared" si="3"/>
        <v>0.7484210526</v>
      </c>
      <c r="I86" s="1">
        <f t="shared" si="4"/>
        <v>-478</v>
      </c>
      <c r="J86" s="113">
        <f t="shared" si="5"/>
        <v>-0.1298498379</v>
      </c>
      <c r="K86" s="199">
        <f t="shared" si="6"/>
        <v>0.7484210526</v>
      </c>
      <c r="L86" s="213">
        <f t="shared" si="7"/>
        <v>1449.63</v>
      </c>
      <c r="M86" s="210">
        <f t="shared" si="8"/>
        <v>-0.01943037975</v>
      </c>
      <c r="N86" s="213">
        <f t="shared" si="9"/>
        <v>1947</v>
      </c>
      <c r="O86" s="210">
        <f t="shared" si="10"/>
        <v>-0.02473684211</v>
      </c>
      <c r="P86" s="210">
        <f t="shared" si="11"/>
        <v>0.005306462358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217">
        <f>IFERROR(__xludf.DUMMYFUNCTION("""COMPUTED_VALUE"""),46254.64583333333)</f>
        <v>46254.64583</v>
      </c>
      <c r="C87" s="193">
        <f>IFERROR(__xludf.DUMMYFUNCTION("""COMPUTED_VALUE"""),1438.0)</f>
        <v>1438</v>
      </c>
      <c r="D87" s="9"/>
      <c r="E87" s="217">
        <f>IFERROR(__xludf.DUMMYFUNCTION("""COMPUTED_VALUE"""),46254.64583333333)</f>
        <v>46254.64583</v>
      </c>
      <c r="F87" s="193">
        <f>IFERROR(__xludf.DUMMYFUNCTION("""COMPUTED_VALUE"""),1904.0)</f>
        <v>1904</v>
      </c>
      <c r="G87" s="9"/>
      <c r="H87" s="29">
        <f t="shared" si="3"/>
        <v>0.7552521008</v>
      </c>
      <c r="I87" s="1">
        <f t="shared" si="4"/>
        <v>-466</v>
      </c>
      <c r="J87" s="113">
        <f t="shared" si="5"/>
        <v>0.1553313007</v>
      </c>
      <c r="K87" s="199">
        <f t="shared" si="6"/>
        <v>0.7552521008</v>
      </c>
      <c r="L87" s="213">
        <f t="shared" si="7"/>
        <v>1451.88</v>
      </c>
      <c r="M87" s="210">
        <f t="shared" si="8"/>
        <v>-0.009652294854</v>
      </c>
      <c r="N87" s="213">
        <f t="shared" si="9"/>
        <v>1944.5</v>
      </c>
      <c r="O87" s="210">
        <f t="shared" si="10"/>
        <v>-0.0212710084</v>
      </c>
      <c r="P87" s="210">
        <f t="shared" si="11"/>
        <v>0.01161871355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217">
        <f>IFERROR(__xludf.DUMMYFUNCTION("""COMPUTED_VALUE"""),46255.64583333333)</f>
        <v>46255.64583</v>
      </c>
      <c r="C88" s="193">
        <f>IFERROR(__xludf.DUMMYFUNCTION("""COMPUTED_VALUE"""),1432.2)</f>
        <v>1432.2</v>
      </c>
      <c r="D88" s="9"/>
      <c r="E88" s="217">
        <f>IFERROR(__xludf.DUMMYFUNCTION("""COMPUTED_VALUE"""),46255.64583333333)</f>
        <v>46255.64583</v>
      </c>
      <c r="F88" s="193">
        <f>IFERROR(__xludf.DUMMYFUNCTION("""COMPUTED_VALUE"""),1902.4)</f>
        <v>1902.4</v>
      </c>
      <c r="G88" s="9"/>
      <c r="H88" s="29">
        <f t="shared" si="3"/>
        <v>0.7528385198</v>
      </c>
      <c r="I88" s="1">
        <f t="shared" si="4"/>
        <v>-470.2</v>
      </c>
      <c r="J88" s="113">
        <f t="shared" si="5"/>
        <v>0.05551790222</v>
      </c>
      <c r="K88" s="199">
        <f t="shared" si="6"/>
        <v>0.7528385198</v>
      </c>
      <c r="L88" s="213">
        <f t="shared" si="7"/>
        <v>1452.96</v>
      </c>
      <c r="M88" s="210">
        <f t="shared" si="8"/>
        <v>-0.01449518224</v>
      </c>
      <c r="N88" s="213">
        <f t="shared" si="9"/>
        <v>1942.565</v>
      </c>
      <c r="O88" s="210">
        <f t="shared" si="10"/>
        <v>-0.02111280488</v>
      </c>
      <c r="P88" s="210">
        <f t="shared" si="11"/>
        <v>0.006617622641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217">
        <f>IFERROR(__xludf.DUMMYFUNCTION("""COMPUTED_VALUE"""),46258.64583333333)</f>
        <v>46258.64583</v>
      </c>
      <c r="C89" s="193">
        <f>IFERROR(__xludf.DUMMYFUNCTION("""COMPUTED_VALUE"""),1437.9)</f>
        <v>1437.9</v>
      </c>
      <c r="D89" s="9"/>
      <c r="E89" s="217">
        <f>IFERROR(__xludf.DUMMYFUNCTION("""COMPUTED_VALUE"""),46258.64583333333)</f>
        <v>46258.64583</v>
      </c>
      <c r="F89" s="193">
        <f>IFERROR(__xludf.DUMMYFUNCTION("""COMPUTED_VALUE"""),1910.0)</f>
        <v>1910</v>
      </c>
      <c r="G89" s="9"/>
      <c r="H89" s="29">
        <f t="shared" si="3"/>
        <v>0.7528272251</v>
      </c>
      <c r="I89" s="1">
        <f t="shared" si="4"/>
        <v>-472.1</v>
      </c>
      <c r="J89" s="113">
        <f t="shared" si="5"/>
        <v>0.01036422194</v>
      </c>
      <c r="K89" s="199">
        <f t="shared" si="6"/>
        <v>0.7528272251</v>
      </c>
      <c r="L89" s="213">
        <f t="shared" si="7"/>
        <v>1454.385</v>
      </c>
      <c r="M89" s="210">
        <f t="shared" si="8"/>
        <v>-0.01146463593</v>
      </c>
      <c r="N89" s="213">
        <f t="shared" si="9"/>
        <v>1939.38</v>
      </c>
      <c r="O89" s="210">
        <f t="shared" si="10"/>
        <v>-0.01538219895</v>
      </c>
      <c r="P89" s="210">
        <f t="shared" si="11"/>
        <v>0.003917563025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217">
        <f>IFERROR(__xludf.DUMMYFUNCTION("""COMPUTED_VALUE"""),46259.64583333333)</f>
        <v>46259.64583</v>
      </c>
      <c r="C90" s="193">
        <f>IFERROR(__xludf.DUMMYFUNCTION("""COMPUTED_VALUE"""),1422.0)</f>
        <v>1422</v>
      </c>
      <c r="D90" s="209"/>
      <c r="E90" s="217">
        <f>IFERROR(__xludf.DUMMYFUNCTION("""COMPUTED_VALUE"""),46259.64583333333)</f>
        <v>46259.64583</v>
      </c>
      <c r="F90" s="193">
        <f>IFERROR(__xludf.DUMMYFUNCTION("""COMPUTED_VALUE"""),1922.0)</f>
        <v>1922</v>
      </c>
      <c r="G90" s="9"/>
      <c r="H90" s="29">
        <f t="shared" si="3"/>
        <v>0.7398543184</v>
      </c>
      <c r="I90" s="1">
        <f t="shared" si="4"/>
        <v>-500</v>
      </c>
      <c r="J90" s="113">
        <f t="shared" si="5"/>
        <v>-0.6526819254</v>
      </c>
      <c r="K90" s="199">
        <f t="shared" si="6"/>
        <v>0.7398543184</v>
      </c>
      <c r="L90" s="213">
        <f t="shared" si="7"/>
        <v>1453.255</v>
      </c>
      <c r="M90" s="210">
        <f t="shared" si="8"/>
        <v>-0.02197960619</v>
      </c>
      <c r="N90" s="213">
        <f t="shared" si="9"/>
        <v>1936.645</v>
      </c>
      <c r="O90" s="210">
        <f t="shared" si="10"/>
        <v>-0.007619667014</v>
      </c>
      <c r="P90" s="210">
        <f t="shared" si="11"/>
        <v>-0.01435993917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217">
        <f>IFERROR(__xludf.DUMMYFUNCTION("""COMPUTED_VALUE"""),46260.64583333333)</f>
        <v>46260.64583</v>
      </c>
      <c r="C91" s="193">
        <f>IFERROR(__xludf.DUMMYFUNCTION("""COMPUTED_VALUE"""),1402.7)</f>
        <v>1402.7</v>
      </c>
      <c r="D91" s="9"/>
      <c r="E91" s="217">
        <f>IFERROR(__xludf.DUMMYFUNCTION("""COMPUTED_VALUE"""),46260.64583333333)</f>
        <v>46260.64583</v>
      </c>
      <c r="F91" s="193">
        <f>IFERROR(__xludf.DUMMYFUNCTION("""COMPUTED_VALUE"""),1899.5)</f>
        <v>1899.5</v>
      </c>
      <c r="G91" s="9"/>
      <c r="H91" s="29">
        <f t="shared" si="3"/>
        <v>0.7384574888</v>
      </c>
      <c r="I91" s="1">
        <f t="shared" si="4"/>
        <v>-496.8</v>
      </c>
      <c r="J91" s="113">
        <f t="shared" si="5"/>
        <v>-0.5766336217</v>
      </c>
      <c r="K91" s="199">
        <f t="shared" si="6"/>
        <v>0.7384574888</v>
      </c>
      <c r="L91" s="213">
        <f t="shared" si="7"/>
        <v>1449.675</v>
      </c>
      <c r="M91" s="210">
        <f t="shared" si="8"/>
        <v>-0.03348898553</v>
      </c>
      <c r="N91" s="213">
        <f t="shared" si="9"/>
        <v>1932.125</v>
      </c>
      <c r="O91" s="210">
        <f t="shared" si="10"/>
        <v>-0.01717557252</v>
      </c>
      <c r="P91" s="210">
        <f t="shared" si="11"/>
        <v>-0.01631341301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217">
        <f>IFERROR(__xludf.DUMMYFUNCTION("""COMPUTED_VALUE"""),46261.64583333333)</f>
        <v>46261.64583</v>
      </c>
      <c r="C92" s="193">
        <f>IFERROR(__xludf.DUMMYFUNCTION("""COMPUTED_VALUE"""),1420.0)</f>
        <v>1420</v>
      </c>
      <c r="D92" s="9"/>
      <c r="E92" s="217">
        <f>IFERROR(__xludf.DUMMYFUNCTION("""COMPUTED_VALUE"""),46261.64583333333)</f>
        <v>46261.64583</v>
      </c>
      <c r="F92" s="193">
        <f>IFERROR(__xludf.DUMMYFUNCTION("""COMPUTED_VALUE"""),1913.3)</f>
        <v>1913.3</v>
      </c>
      <c r="G92" s="9"/>
      <c r="H92" s="29">
        <f t="shared" si="3"/>
        <v>0.7421732086</v>
      </c>
      <c r="I92" s="1">
        <f t="shared" si="4"/>
        <v>-493.3</v>
      </c>
      <c r="J92" s="113">
        <f t="shared" si="5"/>
        <v>-0.4934557896</v>
      </c>
      <c r="K92" s="199">
        <f t="shared" si="6"/>
        <v>0.7421732086</v>
      </c>
      <c r="L92" s="213">
        <f t="shared" si="7"/>
        <v>1447.355</v>
      </c>
      <c r="M92" s="210">
        <f t="shared" si="8"/>
        <v>-0.01926408451</v>
      </c>
      <c r="N92" s="213">
        <f t="shared" si="9"/>
        <v>1927.735</v>
      </c>
      <c r="O92" s="210">
        <f t="shared" si="10"/>
        <v>-0.007544556525</v>
      </c>
      <c r="P92" s="210">
        <f t="shared" si="11"/>
        <v>-0.01171952798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217">
        <f>IFERROR(__xludf.DUMMYFUNCTION("""COMPUTED_VALUE"""),46262.64583333333)</f>
        <v>46262.64583</v>
      </c>
      <c r="C93" s="193">
        <f>IFERROR(__xludf.DUMMYFUNCTION("""COMPUTED_VALUE"""),1423.5)</f>
        <v>1423.5</v>
      </c>
      <c r="D93" s="9"/>
      <c r="E93" s="217">
        <f>IFERROR(__xludf.DUMMYFUNCTION("""COMPUTED_VALUE"""),46262.64583333333)</f>
        <v>46262.64583</v>
      </c>
      <c r="F93" s="193">
        <f>IFERROR(__xludf.DUMMYFUNCTION("""COMPUTED_VALUE"""),1920.0)</f>
        <v>1920</v>
      </c>
      <c r="G93" s="9"/>
      <c r="H93" s="29">
        <f t="shared" si="3"/>
        <v>0.74140625</v>
      </c>
      <c r="I93" s="1">
        <f t="shared" si="4"/>
        <v>-496.5</v>
      </c>
      <c r="J93" s="113">
        <f t="shared" si="5"/>
        <v>-0.5695040933</v>
      </c>
      <c r="K93" s="199">
        <f t="shared" si="6"/>
        <v>0.74140625</v>
      </c>
      <c r="L93" s="213">
        <f t="shared" si="7"/>
        <v>1444.87</v>
      </c>
      <c r="M93" s="210">
        <f t="shared" si="8"/>
        <v>-0.01501229364</v>
      </c>
      <c r="N93" s="213">
        <f t="shared" si="9"/>
        <v>1924.21</v>
      </c>
      <c r="O93" s="210">
        <f t="shared" si="10"/>
        <v>-0.002192708333</v>
      </c>
      <c r="P93" s="210">
        <f t="shared" si="11"/>
        <v>-0.01281958531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217">
        <f>IFERROR(__xludf.DUMMYFUNCTION("""COMPUTED_VALUE"""),46265.64583333333)</f>
        <v>46265.64583</v>
      </c>
      <c r="C94" s="193">
        <f>IFERROR(__xludf.DUMMYFUNCTION("""COMPUTED_VALUE"""),1409.2)</f>
        <v>1409.2</v>
      </c>
      <c r="D94" s="9"/>
      <c r="E94" s="217">
        <f>IFERROR(__xludf.DUMMYFUNCTION("""COMPUTED_VALUE"""),46265.64583333333)</f>
        <v>46265.64583</v>
      </c>
      <c r="F94" s="193">
        <f>IFERROR(__xludf.DUMMYFUNCTION("""COMPUTED_VALUE"""),1984.8)</f>
        <v>1984.8</v>
      </c>
      <c r="G94" s="9"/>
      <c r="H94" s="29">
        <f t="shared" si="3"/>
        <v>0.7099959694</v>
      </c>
      <c r="I94" s="1">
        <f t="shared" si="4"/>
        <v>-575.6</v>
      </c>
      <c r="J94" s="113">
        <f t="shared" si="5"/>
        <v>-2.449323099</v>
      </c>
      <c r="K94" s="199">
        <f t="shared" si="6"/>
        <v>0.7099959694</v>
      </c>
      <c r="L94" s="213">
        <f t="shared" si="7"/>
        <v>1441.61</v>
      </c>
      <c r="M94" s="210">
        <f t="shared" si="8"/>
        <v>-0.0229988646</v>
      </c>
      <c r="N94" s="213">
        <f t="shared" si="9"/>
        <v>1925.275</v>
      </c>
      <c r="O94" s="210">
        <f t="shared" si="10"/>
        <v>0.02999042725</v>
      </c>
      <c r="P94" s="210">
        <f t="shared" si="11"/>
        <v>-0.05298929185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206"/>
      <c r="B95" s="232">
        <f>IFERROR(__xludf.DUMMYFUNCTION("""COMPUTED_VALUE"""),46266.64583333333)</f>
        <v>46266.64583</v>
      </c>
      <c r="C95" s="193">
        <f>IFERROR(__xludf.DUMMYFUNCTION("""COMPUTED_VALUE"""),1423.0)</f>
        <v>1423</v>
      </c>
      <c r="D95" s="9"/>
      <c r="E95" s="217">
        <f>IFERROR(__xludf.DUMMYFUNCTION("""COMPUTED_VALUE"""),46266.64583333333)</f>
        <v>46266.64583</v>
      </c>
      <c r="F95" s="193">
        <f>IFERROR(__xludf.DUMMYFUNCTION("""COMPUTED_VALUE"""),1929.0)</f>
        <v>1929</v>
      </c>
      <c r="G95" s="9"/>
      <c r="H95" s="29">
        <f t="shared" si="3"/>
        <v>0.7376879212</v>
      </c>
      <c r="I95" s="1">
        <f t="shared" si="4"/>
        <v>-506</v>
      </c>
      <c r="J95" s="113">
        <f t="shared" si="5"/>
        <v>-0.7952724947</v>
      </c>
      <c r="K95" s="199">
        <f t="shared" si="6"/>
        <v>0.7376879212</v>
      </c>
      <c r="L95" s="213">
        <f t="shared" si="7"/>
        <v>1439.76</v>
      </c>
      <c r="M95" s="210">
        <f t="shared" si="8"/>
        <v>-0.01177793394</v>
      </c>
      <c r="N95" s="213">
        <f t="shared" si="9"/>
        <v>1923.525</v>
      </c>
      <c r="O95" s="210">
        <f t="shared" si="10"/>
        <v>0.002838258165</v>
      </c>
      <c r="P95" s="210">
        <f t="shared" si="11"/>
        <v>-0.01461619211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217">
        <f>IFERROR(__xludf.DUMMYFUNCTION("""COMPUTED_VALUE"""),46267.64583333333)</f>
        <v>46267.64583</v>
      </c>
      <c r="C96" s="193">
        <f>IFERROR(__xludf.DUMMYFUNCTION("""COMPUTED_VALUE"""),1412.8)</f>
        <v>1412.8</v>
      </c>
      <c r="D96" s="9"/>
      <c r="E96" s="217">
        <f>IFERROR(__xludf.DUMMYFUNCTION("""COMPUTED_VALUE"""),46267.64583333333)</f>
        <v>46267.64583</v>
      </c>
      <c r="F96" s="193">
        <f>IFERROR(__xludf.DUMMYFUNCTION("""COMPUTED_VALUE"""),1931.7)</f>
        <v>1931.7</v>
      </c>
      <c r="G96" s="9"/>
      <c r="H96" s="29">
        <f t="shared" si="3"/>
        <v>0.7313765077</v>
      </c>
      <c r="I96" s="1">
        <f t="shared" si="4"/>
        <v>-518.9</v>
      </c>
      <c r="J96" s="113">
        <f t="shared" si="5"/>
        <v>-1.101842219</v>
      </c>
      <c r="K96" s="199">
        <f t="shared" si="6"/>
        <v>0.7313765077</v>
      </c>
      <c r="L96" s="213">
        <f t="shared" si="7"/>
        <v>1437.46</v>
      </c>
      <c r="M96" s="210">
        <f t="shared" si="8"/>
        <v>-0.01745469989</v>
      </c>
      <c r="N96" s="213">
        <f t="shared" si="9"/>
        <v>1923.11</v>
      </c>
      <c r="O96" s="210">
        <f t="shared" si="10"/>
        <v>0.004446860279</v>
      </c>
      <c r="P96" s="210">
        <f t="shared" si="11"/>
        <v>-0.02190156017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217">
        <f>IFERROR(__xludf.DUMMYFUNCTION("""COMPUTED_VALUE"""),46268.64583333333)</f>
        <v>46268.64583</v>
      </c>
      <c r="C97" s="193">
        <f>IFERROR(__xludf.DUMMYFUNCTION("""COMPUTED_VALUE"""),1394.7)</f>
        <v>1394.7</v>
      </c>
      <c r="D97" s="9"/>
      <c r="E97" s="217">
        <f>IFERROR(__xludf.DUMMYFUNCTION("""COMPUTED_VALUE"""),46268.64583333333)</f>
        <v>46268.64583</v>
      </c>
      <c r="F97" s="193">
        <f>IFERROR(__xludf.DUMMYFUNCTION("""COMPUTED_VALUE"""),1916.0)</f>
        <v>1916</v>
      </c>
      <c r="G97" s="9"/>
      <c r="H97" s="29">
        <f t="shared" si="3"/>
        <v>0.7279227557</v>
      </c>
      <c r="I97" s="1">
        <f t="shared" si="4"/>
        <v>-521.3</v>
      </c>
      <c r="J97" s="113">
        <f t="shared" si="5"/>
        <v>-1.158878446</v>
      </c>
      <c r="K97" s="199">
        <f t="shared" si="6"/>
        <v>0.7279227557</v>
      </c>
      <c r="L97" s="213">
        <f t="shared" si="7"/>
        <v>1433.345</v>
      </c>
      <c r="M97" s="210">
        <f t="shared" si="8"/>
        <v>-0.02770846777</v>
      </c>
      <c r="N97" s="213">
        <f t="shared" si="9"/>
        <v>1921.36</v>
      </c>
      <c r="O97" s="210">
        <f t="shared" si="10"/>
        <v>-0.002797494781</v>
      </c>
      <c r="P97" s="210">
        <f t="shared" si="11"/>
        <v>-0.02491097299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217">
        <f>IFERROR(__xludf.DUMMYFUNCTION("""COMPUTED_VALUE"""),46269.64583333333)</f>
        <v>46269.64583</v>
      </c>
      <c r="C98" s="193">
        <f>IFERROR(__xludf.DUMMYFUNCTION("""COMPUTED_VALUE"""),1385.0)</f>
        <v>1385</v>
      </c>
      <c r="D98" s="9"/>
      <c r="E98" s="217">
        <f>IFERROR(__xludf.DUMMYFUNCTION("""COMPUTED_VALUE"""),46269.64583333333)</f>
        <v>46269.64583</v>
      </c>
      <c r="F98" s="193">
        <f>IFERROR(__xludf.DUMMYFUNCTION("""COMPUTED_VALUE"""),1899.0)</f>
        <v>1899</v>
      </c>
      <c r="G98" s="9"/>
      <c r="H98" s="29">
        <f t="shared" si="3"/>
        <v>0.729331227</v>
      </c>
      <c r="I98" s="1">
        <f t="shared" si="4"/>
        <v>-514</v>
      </c>
      <c r="J98" s="113">
        <f t="shared" si="5"/>
        <v>-0.9853932537</v>
      </c>
      <c r="K98" s="199">
        <f t="shared" si="6"/>
        <v>0.729331227</v>
      </c>
      <c r="L98" s="213">
        <f t="shared" si="7"/>
        <v>1429.405</v>
      </c>
      <c r="M98" s="210">
        <f t="shared" si="8"/>
        <v>-0.03206137184</v>
      </c>
      <c r="N98" s="213">
        <f t="shared" si="9"/>
        <v>1919.06</v>
      </c>
      <c r="O98" s="210">
        <f t="shared" si="10"/>
        <v>-0.01056345445</v>
      </c>
      <c r="P98" s="210">
        <f t="shared" si="11"/>
        <v>-0.02149791739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232">
        <f>IFERROR(__xludf.DUMMYFUNCTION("""COMPUTED_VALUE"""),46272.64583333333)</f>
        <v>46272.64583</v>
      </c>
      <c r="C99" s="193">
        <f>IFERROR(__xludf.DUMMYFUNCTION("""COMPUTED_VALUE"""),1395.0)</f>
        <v>1395</v>
      </c>
      <c r="D99" s="9"/>
      <c r="E99" s="217">
        <f>IFERROR(__xludf.DUMMYFUNCTION("""COMPUTED_VALUE"""),46272.64583333333)</f>
        <v>46272.64583</v>
      </c>
      <c r="F99" s="193">
        <f>IFERROR(__xludf.DUMMYFUNCTION("""COMPUTED_VALUE"""),1895.0)</f>
        <v>1895</v>
      </c>
      <c r="G99" s="9"/>
      <c r="H99" s="29">
        <f t="shared" si="3"/>
        <v>0.7361477573</v>
      </c>
      <c r="I99" s="1">
        <f t="shared" si="4"/>
        <v>-500</v>
      </c>
      <c r="J99" s="113">
        <f t="shared" si="5"/>
        <v>-0.6526819254</v>
      </c>
      <c r="K99" s="199">
        <f t="shared" si="6"/>
        <v>0.7361477573</v>
      </c>
      <c r="L99" s="213">
        <f t="shared" si="7"/>
        <v>1425.77</v>
      </c>
      <c r="M99" s="210">
        <f t="shared" si="8"/>
        <v>-0.02205734767</v>
      </c>
      <c r="N99" s="213">
        <f t="shared" si="9"/>
        <v>1916.59</v>
      </c>
      <c r="O99" s="210">
        <f t="shared" si="10"/>
        <v>-0.01139313984</v>
      </c>
      <c r="P99" s="210">
        <f t="shared" si="11"/>
        <v>-0.01066420783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232">
        <f>IFERROR(__xludf.DUMMYFUNCTION("""COMPUTED_VALUE"""),46273.64583333333)</f>
        <v>46273.64583</v>
      </c>
      <c r="C100" s="193">
        <f>IFERROR(__xludf.DUMMYFUNCTION("""COMPUTED_VALUE"""),1384.0)</f>
        <v>1384</v>
      </c>
      <c r="D100" s="9"/>
      <c r="E100" s="217">
        <f>IFERROR(__xludf.DUMMYFUNCTION("""COMPUTED_VALUE"""),46273.64583333333)</f>
        <v>46273.64583</v>
      </c>
      <c r="F100" s="193">
        <f>IFERROR(__xludf.DUMMYFUNCTION("""COMPUTED_VALUE"""),1885.9)</f>
        <v>1885.9</v>
      </c>
      <c r="G100" s="206"/>
      <c r="H100" s="29">
        <f t="shared" si="3"/>
        <v>0.7338671191</v>
      </c>
      <c r="I100" s="1">
        <f t="shared" si="4"/>
        <v>-501.9</v>
      </c>
      <c r="J100" s="113">
        <f t="shared" si="5"/>
        <v>-0.6978356056</v>
      </c>
      <c r="K100" s="199">
        <f t="shared" si="6"/>
        <v>0.7338671191</v>
      </c>
      <c r="L100" s="213">
        <f t="shared" si="7"/>
        <v>1421.82</v>
      </c>
      <c r="M100" s="210">
        <f t="shared" si="8"/>
        <v>-0.0273265896</v>
      </c>
      <c r="N100" s="213">
        <f t="shared" si="9"/>
        <v>1913.785</v>
      </c>
      <c r="O100" s="210">
        <f t="shared" si="10"/>
        <v>-0.0147860438</v>
      </c>
      <c r="P100" s="210">
        <f t="shared" si="11"/>
        <v>-0.0125405458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217">
        <f>IFERROR(__xludf.DUMMYFUNCTION("""COMPUTED_VALUE"""),46274.64583333333)</f>
        <v>46274.64583</v>
      </c>
      <c r="C101" s="193">
        <f>IFERROR(__xludf.DUMMYFUNCTION("""COMPUTED_VALUE"""),1363.1)</f>
        <v>1363.1</v>
      </c>
      <c r="D101" s="9"/>
      <c r="E101" s="217">
        <f>IFERROR(__xludf.DUMMYFUNCTION("""COMPUTED_VALUE"""),46274.64583333333)</f>
        <v>46274.64583</v>
      </c>
      <c r="F101" s="193">
        <f>IFERROR(__xludf.DUMMYFUNCTION("""COMPUTED_VALUE"""),1864.9)</f>
        <v>1864.9</v>
      </c>
      <c r="G101" s="191"/>
      <c r="H101" s="29">
        <f t="shared" si="3"/>
        <v>0.7309239101</v>
      </c>
      <c r="I101" s="1">
        <f t="shared" si="4"/>
        <v>-501.8</v>
      </c>
      <c r="J101" s="113">
        <f t="shared" si="5"/>
        <v>-0.6954590961</v>
      </c>
      <c r="K101" s="199">
        <f t="shared" si="6"/>
        <v>0.7309239101</v>
      </c>
      <c r="L101" s="213">
        <f t="shared" si="7"/>
        <v>1416.825</v>
      </c>
      <c r="M101" s="210">
        <f t="shared" si="8"/>
        <v>-0.03941383611</v>
      </c>
      <c r="N101" s="213">
        <f t="shared" si="9"/>
        <v>1909.83</v>
      </c>
      <c r="O101" s="210">
        <f t="shared" si="10"/>
        <v>-0.02409244464</v>
      </c>
      <c r="P101" s="210">
        <f t="shared" si="11"/>
        <v>-0.01532139147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217">
        <f>IFERROR(__xludf.DUMMYFUNCTION("""COMPUTED_VALUE"""),46275.64583333333)</f>
        <v>46275.64583</v>
      </c>
      <c r="C102" s="193">
        <f>IFERROR(__xludf.DUMMYFUNCTION("""COMPUTED_VALUE"""),1373.3)</f>
        <v>1373.3</v>
      </c>
      <c r="D102" s="9"/>
      <c r="E102" s="217">
        <f>IFERROR(__xludf.DUMMYFUNCTION("""COMPUTED_VALUE"""),46275.64583333333)</f>
        <v>46275.64583</v>
      </c>
      <c r="F102" s="193">
        <f>IFERROR(__xludf.DUMMYFUNCTION("""COMPUTED_VALUE"""),1861.0)</f>
        <v>1861</v>
      </c>
      <c r="G102" s="191"/>
      <c r="H102" s="29">
        <f t="shared" si="3"/>
        <v>0.7379365932</v>
      </c>
      <c r="I102" s="1">
        <f t="shared" si="4"/>
        <v>-487.7</v>
      </c>
      <c r="J102" s="113">
        <f t="shared" si="5"/>
        <v>-0.3603712583</v>
      </c>
      <c r="K102" s="199">
        <f t="shared" si="6"/>
        <v>0.7379365932</v>
      </c>
      <c r="L102" s="213">
        <f t="shared" si="7"/>
        <v>1412.55</v>
      </c>
      <c r="M102" s="210">
        <f t="shared" si="8"/>
        <v>-0.0285807908</v>
      </c>
      <c r="N102" s="213">
        <f t="shared" si="9"/>
        <v>1906.28</v>
      </c>
      <c r="O102" s="210">
        <f t="shared" si="10"/>
        <v>-0.02433100484</v>
      </c>
      <c r="P102" s="210">
        <f t="shared" si="11"/>
        <v>-0.00424978596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217">
        <f>IFERROR(__xludf.DUMMYFUNCTION("""COMPUTED_VALUE"""),46276.64583333333)</f>
        <v>46276.64583</v>
      </c>
      <c r="C103" s="193">
        <f>IFERROR(__xludf.DUMMYFUNCTION("""COMPUTED_VALUE"""),1366.0)</f>
        <v>1366</v>
      </c>
      <c r="D103" s="9"/>
      <c r="E103" s="217">
        <f>IFERROR(__xludf.DUMMYFUNCTION("""COMPUTED_VALUE"""),46276.64583333333)</f>
        <v>46276.64583</v>
      </c>
      <c r="F103" s="193">
        <f>IFERROR(__xludf.DUMMYFUNCTION("""COMPUTED_VALUE"""),1840.0)</f>
        <v>1840</v>
      </c>
      <c r="G103" s="191"/>
      <c r="H103" s="29">
        <f t="shared" si="3"/>
        <v>0.7423913043</v>
      </c>
      <c r="I103" s="1">
        <f t="shared" si="4"/>
        <v>-474</v>
      </c>
      <c r="J103" s="113">
        <f t="shared" si="5"/>
        <v>-0.03478945835</v>
      </c>
      <c r="K103" s="199">
        <f t="shared" si="6"/>
        <v>0.7423913043</v>
      </c>
      <c r="L103" s="213">
        <f t="shared" si="7"/>
        <v>1408.35</v>
      </c>
      <c r="M103" s="210">
        <f t="shared" si="8"/>
        <v>-0.03100292826</v>
      </c>
      <c r="N103" s="213">
        <f t="shared" si="9"/>
        <v>1901.78</v>
      </c>
      <c r="O103" s="210">
        <f t="shared" si="10"/>
        <v>-0.03357608696</v>
      </c>
      <c r="P103" s="210">
        <f t="shared" si="11"/>
        <v>0.002573158699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217">
        <f>IFERROR(__xludf.DUMMYFUNCTION("""COMPUTED_VALUE"""),46280.64583333333)</f>
        <v>46280.64583</v>
      </c>
      <c r="C104" s="193">
        <f>IFERROR(__xludf.DUMMYFUNCTION("""COMPUTED_VALUE"""),1351.0)</f>
        <v>1351</v>
      </c>
      <c r="D104" s="9"/>
      <c r="E104" s="217">
        <f>IFERROR(__xludf.DUMMYFUNCTION("""COMPUTED_VALUE"""),46280.64583333333)</f>
        <v>46280.64583</v>
      </c>
      <c r="F104" s="193">
        <f>IFERROR(__xludf.DUMMYFUNCTION("""COMPUTED_VALUE"""),1835.0)</f>
        <v>1835</v>
      </c>
      <c r="G104" s="191"/>
      <c r="H104" s="29">
        <f t="shared" si="3"/>
        <v>0.736239782</v>
      </c>
      <c r="I104" s="1">
        <f t="shared" si="4"/>
        <v>-484</v>
      </c>
      <c r="J104" s="113">
        <f t="shared" si="5"/>
        <v>-0.2724404072</v>
      </c>
      <c r="K104" s="199">
        <f t="shared" si="6"/>
        <v>0.736239782</v>
      </c>
      <c r="L104" s="213">
        <f t="shared" si="7"/>
        <v>1404.325</v>
      </c>
      <c r="M104" s="210">
        <f t="shared" si="8"/>
        <v>-0.0394707624</v>
      </c>
      <c r="N104" s="213">
        <f t="shared" si="9"/>
        <v>1899.43</v>
      </c>
      <c r="O104" s="210">
        <f t="shared" si="10"/>
        <v>-0.03511171662</v>
      </c>
      <c r="P104" s="210">
        <f t="shared" si="11"/>
        <v>-0.004359045777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217">
        <f>IFERROR(__xludf.DUMMYFUNCTION("""COMPUTED_VALUE"""),46281.64583333333)</f>
        <v>46281.64583</v>
      </c>
      <c r="C105" s="193">
        <f>IFERROR(__xludf.DUMMYFUNCTION("""COMPUTED_VALUE"""),1358.0)</f>
        <v>1358</v>
      </c>
      <c r="D105" s="9"/>
      <c r="E105" s="217">
        <f>IFERROR(__xludf.DUMMYFUNCTION("""COMPUTED_VALUE"""),46281.64583333333)</f>
        <v>46281.64583</v>
      </c>
      <c r="F105" s="193">
        <f>IFERROR(__xludf.DUMMYFUNCTION("""COMPUTED_VALUE"""),1853.5)</f>
        <v>1853.5</v>
      </c>
      <c r="G105" s="191"/>
      <c r="H105" s="29">
        <f t="shared" si="3"/>
        <v>0.7326679255</v>
      </c>
      <c r="I105" s="1">
        <f t="shared" si="4"/>
        <v>-495.5</v>
      </c>
      <c r="J105" s="113">
        <f t="shared" si="5"/>
        <v>-0.5457389984</v>
      </c>
      <c r="K105" s="199">
        <f t="shared" si="6"/>
        <v>0.7326679255</v>
      </c>
      <c r="L105" s="213">
        <f t="shared" si="7"/>
        <v>1400.67</v>
      </c>
      <c r="M105" s="210">
        <f t="shared" si="8"/>
        <v>-0.03142120766</v>
      </c>
      <c r="N105" s="213">
        <f t="shared" si="9"/>
        <v>1898.35</v>
      </c>
      <c r="O105" s="210">
        <f t="shared" si="10"/>
        <v>-0.02419746426</v>
      </c>
      <c r="P105" s="210">
        <f t="shared" si="11"/>
        <v>-0.007223743402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217">
        <f>IFERROR(__xludf.DUMMYFUNCTION("""COMPUTED_VALUE"""),46282.64583333333)</f>
        <v>46282.64583</v>
      </c>
      <c r="C106" s="193">
        <f>IFERROR(__xludf.DUMMYFUNCTION("""COMPUTED_VALUE"""),1376.3)</f>
        <v>1376.3</v>
      </c>
      <c r="D106" s="9"/>
      <c r="E106" s="217">
        <f>IFERROR(__xludf.DUMMYFUNCTION("""COMPUTED_VALUE"""),46282.64583333333)</f>
        <v>46282.64583</v>
      </c>
      <c r="F106" s="193">
        <f>IFERROR(__xludf.DUMMYFUNCTION("""COMPUTED_VALUE"""),1867.3)</f>
        <v>1867.3</v>
      </c>
      <c r="G106" s="191"/>
      <c r="H106" s="29">
        <f t="shared" si="3"/>
        <v>0.7370534997</v>
      </c>
      <c r="I106" s="1">
        <f t="shared" si="4"/>
        <v>-491</v>
      </c>
      <c r="J106" s="113">
        <f t="shared" si="5"/>
        <v>-0.4387960714</v>
      </c>
      <c r="K106" s="199">
        <f t="shared" si="6"/>
        <v>0.7370534997</v>
      </c>
      <c r="L106" s="213">
        <f t="shared" si="7"/>
        <v>1398.385</v>
      </c>
      <c r="M106" s="210">
        <f t="shared" si="8"/>
        <v>-0.01604664681</v>
      </c>
      <c r="N106" s="213">
        <f t="shared" si="9"/>
        <v>1896.715</v>
      </c>
      <c r="O106" s="210">
        <f t="shared" si="10"/>
        <v>-0.01575269105</v>
      </c>
      <c r="P106" s="210">
        <f t="shared" si="11"/>
        <v>-0.0002939557554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217">
        <f>IFERROR(__xludf.DUMMYFUNCTION("""COMPUTED_VALUE"""),46283.64583333333)</f>
        <v>46283.64583</v>
      </c>
      <c r="C107" s="193">
        <f>IFERROR(__xludf.DUMMYFUNCTION("""COMPUTED_VALUE"""),1394.5)</f>
        <v>1394.5</v>
      </c>
      <c r="D107" s="9"/>
      <c r="E107" s="217">
        <f>IFERROR(__xludf.DUMMYFUNCTION("""COMPUTED_VALUE"""),46283.64583333333)</f>
        <v>46283.64583</v>
      </c>
      <c r="F107" s="193">
        <f>IFERROR(__xludf.DUMMYFUNCTION("""COMPUTED_VALUE"""),1837.3)</f>
        <v>1837.3</v>
      </c>
      <c r="G107" s="191"/>
      <c r="H107" s="29">
        <f t="shared" si="3"/>
        <v>0.7589941762</v>
      </c>
      <c r="I107" s="1">
        <f t="shared" si="4"/>
        <v>-442.8</v>
      </c>
      <c r="J107" s="113">
        <f t="shared" si="5"/>
        <v>0.7066815021</v>
      </c>
      <c r="K107" s="199">
        <f t="shared" si="6"/>
        <v>0.7589941762</v>
      </c>
      <c r="L107" s="213">
        <f t="shared" si="7"/>
        <v>1396.21</v>
      </c>
      <c r="M107" s="210">
        <f t="shared" si="8"/>
        <v>-0.001226245966</v>
      </c>
      <c r="N107" s="213">
        <f t="shared" si="9"/>
        <v>1893.38</v>
      </c>
      <c r="O107" s="210">
        <f t="shared" si="10"/>
        <v>-0.03052305013</v>
      </c>
      <c r="P107" s="210">
        <f t="shared" si="11"/>
        <v>0.02929680416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217">
        <f>IFERROR(__xludf.DUMMYFUNCTION("""COMPUTED_VALUE"""),46286.64583333333)</f>
        <v>46286.64583</v>
      </c>
      <c r="C108" s="193">
        <f>IFERROR(__xludf.DUMMYFUNCTION("""COMPUTED_VALUE"""),1386.1)</f>
        <v>1386.1</v>
      </c>
      <c r="D108" s="9"/>
      <c r="E108" s="217">
        <f>IFERROR(__xludf.DUMMYFUNCTION("""COMPUTED_VALUE"""),46286.64583333333)</f>
        <v>46286.64583</v>
      </c>
      <c r="F108" s="193">
        <f>IFERROR(__xludf.DUMMYFUNCTION("""COMPUTED_VALUE"""),1868.9)</f>
        <v>1868.9</v>
      </c>
      <c r="G108" s="191"/>
      <c r="H108" s="29">
        <f t="shared" si="3"/>
        <v>0.7416662208</v>
      </c>
      <c r="I108" s="1">
        <f t="shared" si="4"/>
        <v>-482.8</v>
      </c>
      <c r="J108" s="113">
        <f t="shared" si="5"/>
        <v>-0.2439222933</v>
      </c>
      <c r="K108" s="199">
        <f t="shared" si="6"/>
        <v>0.7416662208</v>
      </c>
      <c r="L108" s="213">
        <f t="shared" si="7"/>
        <v>1393.905</v>
      </c>
      <c r="M108" s="210">
        <f t="shared" si="8"/>
        <v>-0.005630906861</v>
      </c>
      <c r="N108" s="213">
        <f t="shared" si="9"/>
        <v>1891.705</v>
      </c>
      <c r="O108" s="210">
        <f t="shared" si="10"/>
        <v>-0.01220236503</v>
      </c>
      <c r="P108" s="210">
        <f t="shared" si="11"/>
        <v>0.006571458167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217">
        <f>IFERROR(__xludf.DUMMYFUNCTION("""COMPUTED_VALUE"""),46287.64583333333)</f>
        <v>46287.64583</v>
      </c>
      <c r="C109" s="193">
        <f>IFERROR(__xludf.DUMMYFUNCTION("""COMPUTED_VALUE"""),1384.1)</f>
        <v>1384.1</v>
      </c>
      <c r="D109" s="9"/>
      <c r="E109" s="217">
        <f>IFERROR(__xludf.DUMMYFUNCTION("""COMPUTED_VALUE"""),46287.64583333333)</f>
        <v>46287.64583</v>
      </c>
      <c r="F109" s="193">
        <f>IFERROR(__xludf.DUMMYFUNCTION("""COMPUTED_VALUE"""),1846.4)</f>
        <v>1846.4</v>
      </c>
      <c r="G109" s="191"/>
      <c r="H109" s="29">
        <f t="shared" si="3"/>
        <v>0.7496208839</v>
      </c>
      <c r="I109" s="1">
        <f t="shared" si="4"/>
        <v>-462.3</v>
      </c>
      <c r="J109" s="113">
        <f t="shared" si="5"/>
        <v>0.2432621518</v>
      </c>
      <c r="K109" s="199">
        <f t="shared" si="6"/>
        <v>0.7496208839</v>
      </c>
      <c r="L109" s="213">
        <f t="shared" si="7"/>
        <v>1391.215</v>
      </c>
      <c r="M109" s="210">
        <f t="shared" si="8"/>
        <v>-0.005140524529</v>
      </c>
      <c r="N109" s="213">
        <f t="shared" si="9"/>
        <v>1888.525</v>
      </c>
      <c r="O109" s="210">
        <f t="shared" si="10"/>
        <v>-0.02281466638</v>
      </c>
      <c r="P109" s="210">
        <f t="shared" si="11"/>
        <v>0.01767414185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232">
        <f>IFERROR(__xludf.DUMMYFUNCTION("""COMPUTED_VALUE"""),46288.64583333333)</f>
        <v>46288.64583</v>
      </c>
      <c r="C110" s="193">
        <f>IFERROR(__xludf.DUMMYFUNCTION("""COMPUTED_VALUE"""),1383.0)</f>
        <v>1383</v>
      </c>
      <c r="D110" s="9"/>
      <c r="E110" s="217">
        <f>IFERROR(__xludf.DUMMYFUNCTION("""COMPUTED_VALUE"""),46288.64583333333)</f>
        <v>46288.64583</v>
      </c>
      <c r="F110" s="193">
        <f>IFERROR(__xludf.DUMMYFUNCTION("""COMPUTED_VALUE"""),1865.0)</f>
        <v>1865</v>
      </c>
      <c r="G110" s="191"/>
      <c r="H110" s="29">
        <f t="shared" si="3"/>
        <v>0.7415549598</v>
      </c>
      <c r="I110" s="1">
        <f t="shared" si="4"/>
        <v>-482</v>
      </c>
      <c r="J110" s="113">
        <f t="shared" si="5"/>
        <v>-0.2249102174</v>
      </c>
      <c r="K110" s="199">
        <f t="shared" si="6"/>
        <v>0.7415549598</v>
      </c>
      <c r="L110" s="213">
        <f t="shared" si="7"/>
        <v>1389.265</v>
      </c>
      <c r="M110" s="210">
        <f t="shared" si="8"/>
        <v>-0.004530007231</v>
      </c>
      <c r="N110" s="213">
        <f t="shared" si="9"/>
        <v>1885.675</v>
      </c>
      <c r="O110" s="210">
        <f t="shared" si="10"/>
        <v>-0.01108579088</v>
      </c>
      <c r="P110" s="210">
        <f t="shared" si="11"/>
        <v>0.006555783654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217">
        <f>IFERROR(__xludf.DUMMYFUNCTION("""COMPUTED_VALUE"""),46289.64583333333)</f>
        <v>46289.64583</v>
      </c>
      <c r="C111" s="193">
        <f>IFERROR(__xludf.DUMMYFUNCTION("""COMPUTED_VALUE"""),1399.0)</f>
        <v>1399</v>
      </c>
      <c r="D111" s="9"/>
      <c r="E111" s="217">
        <f>IFERROR(__xludf.DUMMYFUNCTION("""COMPUTED_VALUE"""),46289.64583333333)</f>
        <v>46289.64583</v>
      </c>
      <c r="F111" s="193">
        <f>IFERROR(__xludf.DUMMYFUNCTION("""COMPUTED_VALUE"""),1849.9)</f>
        <v>1849.9</v>
      </c>
      <c r="G111" s="191"/>
      <c r="H111" s="29">
        <f t="shared" si="3"/>
        <v>0.756257095</v>
      </c>
      <c r="I111" s="1">
        <f t="shared" si="4"/>
        <v>-450.9</v>
      </c>
      <c r="J111" s="113">
        <f t="shared" si="5"/>
        <v>0.5141842335</v>
      </c>
      <c r="K111" s="199">
        <f t="shared" si="6"/>
        <v>0.756257095</v>
      </c>
      <c r="L111" s="213">
        <f t="shared" si="7"/>
        <v>1389.08</v>
      </c>
      <c r="M111" s="210">
        <f t="shared" si="8"/>
        <v>0.007090779128</v>
      </c>
      <c r="N111" s="213">
        <f t="shared" si="9"/>
        <v>1883.195</v>
      </c>
      <c r="O111" s="210">
        <f t="shared" si="10"/>
        <v>-0.01799827018</v>
      </c>
      <c r="P111" s="210">
        <f t="shared" si="11"/>
        <v>0.0250890493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217">
        <f>IFERROR(__xludf.DUMMYFUNCTION("""COMPUTED_VALUE"""),46290.64583333333)</f>
        <v>46290.64583</v>
      </c>
      <c r="C112" s="193">
        <f>IFERROR(__xludf.DUMMYFUNCTION("""COMPUTED_VALUE"""),1399.7)</f>
        <v>1399.7</v>
      </c>
      <c r="D112" s="9"/>
      <c r="E112" s="217">
        <f>IFERROR(__xludf.DUMMYFUNCTION("""COMPUTED_VALUE"""),46290.64583333333)</f>
        <v>46290.64583</v>
      </c>
      <c r="F112" s="193">
        <f>IFERROR(__xludf.DUMMYFUNCTION("""COMPUTED_VALUE"""),1852.2)</f>
        <v>1852.2</v>
      </c>
      <c r="G112" s="191"/>
      <c r="H112" s="29">
        <f t="shared" si="3"/>
        <v>0.7556959292</v>
      </c>
      <c r="I112" s="1">
        <f t="shared" si="4"/>
        <v>-452.5</v>
      </c>
      <c r="J112" s="113">
        <f t="shared" si="5"/>
        <v>0.4761600817</v>
      </c>
      <c r="K112" s="199">
        <f t="shared" si="6"/>
        <v>0.7556959292</v>
      </c>
      <c r="L112" s="213">
        <f t="shared" si="7"/>
        <v>1388.065</v>
      </c>
      <c r="M112" s="210">
        <f t="shared" si="8"/>
        <v>0.008312495535</v>
      </c>
      <c r="N112" s="213">
        <f t="shared" si="9"/>
        <v>1880.14</v>
      </c>
      <c r="O112" s="210">
        <f t="shared" si="10"/>
        <v>-0.01508476406</v>
      </c>
      <c r="P112" s="210">
        <f t="shared" si="11"/>
        <v>0.0233972596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217">
        <f>IFERROR(__xludf.DUMMYFUNCTION("""COMPUTED_VALUE"""),46293.64583333333)</f>
        <v>46293.64583</v>
      </c>
      <c r="C113" s="193">
        <f>IFERROR(__xludf.DUMMYFUNCTION("""COMPUTED_VALUE"""),1383.7)</f>
        <v>1383.7</v>
      </c>
      <c r="D113" s="9"/>
      <c r="E113" s="217">
        <f>IFERROR(__xludf.DUMMYFUNCTION("""COMPUTED_VALUE"""),46293.64583333333)</f>
        <v>46293.64583</v>
      </c>
      <c r="F113" s="193">
        <f>IFERROR(__xludf.DUMMYFUNCTION("""COMPUTED_VALUE"""),1838.0)</f>
        <v>1838</v>
      </c>
      <c r="G113" s="191"/>
      <c r="H113" s="29">
        <f t="shared" si="3"/>
        <v>0.7528291621</v>
      </c>
      <c r="I113" s="1">
        <f t="shared" si="4"/>
        <v>-454.3</v>
      </c>
      <c r="J113" s="113">
        <f t="shared" si="5"/>
        <v>0.4333829109</v>
      </c>
      <c r="K113" s="199">
        <f t="shared" si="6"/>
        <v>0.7528291621</v>
      </c>
      <c r="L113" s="213">
        <f t="shared" si="7"/>
        <v>1386.075</v>
      </c>
      <c r="M113" s="210">
        <f t="shared" si="8"/>
        <v>-0.001716412517</v>
      </c>
      <c r="N113" s="213">
        <f t="shared" si="9"/>
        <v>1876.04</v>
      </c>
      <c r="O113" s="210">
        <f t="shared" si="10"/>
        <v>-0.02069640914</v>
      </c>
      <c r="P113" s="210">
        <f t="shared" si="11"/>
        <v>0.01897999662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217">
        <f>IFERROR(__xludf.DUMMYFUNCTION("""COMPUTED_VALUE"""),46294.64583333333)</f>
        <v>46294.64583</v>
      </c>
      <c r="C114" s="193">
        <f>IFERROR(__xludf.DUMMYFUNCTION("""COMPUTED_VALUE"""),1379.3)</f>
        <v>1379.3</v>
      </c>
      <c r="D114" s="9"/>
      <c r="E114" s="217">
        <f>IFERROR(__xludf.DUMMYFUNCTION("""COMPUTED_VALUE"""),46294.64583333333)</f>
        <v>46294.64583</v>
      </c>
      <c r="F114" s="193">
        <f>IFERROR(__xludf.DUMMYFUNCTION("""COMPUTED_VALUE"""),1865.0)</f>
        <v>1865</v>
      </c>
      <c r="G114" s="191"/>
      <c r="H114" s="29">
        <f t="shared" si="3"/>
        <v>0.7395710456</v>
      </c>
      <c r="I114" s="1">
        <f t="shared" si="4"/>
        <v>-485.7</v>
      </c>
      <c r="J114" s="113">
        <f t="shared" si="5"/>
        <v>-0.3128410685</v>
      </c>
      <c r="K114" s="199">
        <f t="shared" si="6"/>
        <v>0.7395710456</v>
      </c>
      <c r="L114" s="213">
        <f t="shared" si="7"/>
        <v>1384.58</v>
      </c>
      <c r="M114" s="210">
        <f t="shared" si="8"/>
        <v>-0.00382802871</v>
      </c>
      <c r="N114" s="213">
        <f t="shared" si="9"/>
        <v>1870.05</v>
      </c>
      <c r="O114" s="210">
        <f t="shared" si="10"/>
        <v>-0.002707774799</v>
      </c>
      <c r="P114" s="210">
        <f t="shared" si="11"/>
        <v>-0.001120253911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217">
        <f>IFERROR(__xludf.DUMMYFUNCTION("""COMPUTED_VALUE"""),46295.64583333333)</f>
        <v>46295.64583</v>
      </c>
      <c r="C115" s="193">
        <f>IFERROR(__xludf.DUMMYFUNCTION("""COMPUTED_VALUE"""),1346.0)</f>
        <v>1346</v>
      </c>
      <c r="D115" s="9"/>
      <c r="E115" s="217">
        <f>IFERROR(__xludf.DUMMYFUNCTION("""COMPUTED_VALUE"""),46295.64583333333)</f>
        <v>46295.64583</v>
      </c>
      <c r="F115" s="193">
        <f>IFERROR(__xludf.DUMMYFUNCTION("""COMPUTED_VALUE"""),1816.6)</f>
        <v>1816.6</v>
      </c>
      <c r="G115" s="191"/>
      <c r="H115" s="29">
        <f t="shared" si="3"/>
        <v>0.7409446218</v>
      </c>
      <c r="I115" s="1">
        <f t="shared" si="4"/>
        <v>-470.6</v>
      </c>
      <c r="J115" s="113">
        <f t="shared" si="5"/>
        <v>0.04601186426</v>
      </c>
      <c r="K115" s="199">
        <f t="shared" si="6"/>
        <v>0.7409446218</v>
      </c>
      <c r="L115" s="213">
        <f t="shared" si="7"/>
        <v>1380.73</v>
      </c>
      <c r="M115" s="210">
        <f t="shared" si="8"/>
        <v>-0.02580237741</v>
      </c>
      <c r="N115" s="213">
        <f t="shared" si="9"/>
        <v>1864.43</v>
      </c>
      <c r="O115" s="210">
        <f t="shared" si="10"/>
        <v>-0.02632940658</v>
      </c>
      <c r="P115" s="210">
        <f t="shared" si="11"/>
        <v>0.0005270291692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217">
        <f>IFERROR(__xludf.DUMMYFUNCTION("""COMPUTED_VALUE"""),46296.64583333333)</f>
        <v>46296.64583</v>
      </c>
      <c r="C116" s="193">
        <f>IFERROR(__xludf.DUMMYFUNCTION("""COMPUTED_VALUE"""),1344.0)</f>
        <v>1344</v>
      </c>
      <c r="D116" s="9"/>
      <c r="E116" s="217">
        <f>IFERROR(__xludf.DUMMYFUNCTION("""COMPUTED_VALUE"""),46296.64583333333)</f>
        <v>46296.64583</v>
      </c>
      <c r="F116" s="193">
        <f>IFERROR(__xludf.DUMMYFUNCTION("""COMPUTED_VALUE"""),1801.0)</f>
        <v>1801</v>
      </c>
      <c r="G116" s="191"/>
      <c r="H116" s="29">
        <f t="shared" si="3"/>
        <v>0.7462520822</v>
      </c>
      <c r="I116" s="1">
        <f t="shared" si="4"/>
        <v>-457</v>
      </c>
      <c r="J116" s="113">
        <f t="shared" si="5"/>
        <v>0.3692171547</v>
      </c>
      <c r="K116" s="199">
        <f t="shared" si="6"/>
        <v>0.7462520822</v>
      </c>
      <c r="L116" s="213">
        <f t="shared" si="7"/>
        <v>1377.29</v>
      </c>
      <c r="M116" s="210">
        <f t="shared" si="8"/>
        <v>-0.02476934524</v>
      </c>
      <c r="N116" s="213">
        <f t="shared" si="9"/>
        <v>1857.895</v>
      </c>
      <c r="O116" s="210">
        <f t="shared" si="10"/>
        <v>-0.0315907829</v>
      </c>
      <c r="P116" s="210">
        <f t="shared" si="11"/>
        <v>0.00682143766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217">
        <f>IFERROR(__xludf.DUMMYFUNCTION("""COMPUTED_VALUE"""),46300.64583333333)</f>
        <v>46300.64583</v>
      </c>
      <c r="C117" s="193">
        <f>IFERROR(__xludf.DUMMYFUNCTION("""COMPUTED_VALUE"""),1335.5)</f>
        <v>1335.5</v>
      </c>
      <c r="D117" s="9"/>
      <c r="E117" s="217">
        <f>IFERROR(__xludf.DUMMYFUNCTION("""COMPUTED_VALUE"""),46300.64583333333)</f>
        <v>46300.64583</v>
      </c>
      <c r="F117" s="193">
        <f>IFERROR(__xludf.DUMMYFUNCTION("""COMPUTED_VALUE"""),1779.7)</f>
        <v>1779.7</v>
      </c>
      <c r="G117" s="191"/>
      <c r="H117" s="29">
        <f t="shared" si="3"/>
        <v>0.750407372</v>
      </c>
      <c r="I117" s="1">
        <f t="shared" si="4"/>
        <v>-444.2</v>
      </c>
      <c r="J117" s="113">
        <f t="shared" si="5"/>
        <v>0.6734103692</v>
      </c>
      <c r="K117" s="233">
        <f>C117/F116</f>
        <v>0.741532482</v>
      </c>
      <c r="L117" s="213">
        <f t="shared" si="7"/>
        <v>1374.33</v>
      </c>
      <c r="M117" s="210">
        <f t="shared" si="8"/>
        <v>-0.02907525271</v>
      </c>
      <c r="N117" s="213">
        <f t="shared" si="9"/>
        <v>1851.08</v>
      </c>
      <c r="O117" s="210">
        <f t="shared" si="10"/>
        <v>-0.04010788335</v>
      </c>
      <c r="P117" s="210">
        <f t="shared" si="11"/>
        <v>0.01103263064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217">
        <f>IFERROR(__xludf.DUMMYFUNCTION("""COMPUTED_VALUE"""),46301.64583333333)</f>
        <v>46301.64583</v>
      </c>
      <c r="C118" s="193">
        <f>IFERROR(__xludf.DUMMYFUNCTION("""COMPUTED_VALUE"""),1340.2)</f>
        <v>1340.2</v>
      </c>
      <c r="D118" s="9"/>
      <c r="E118" s="234">
        <f>IFERROR(__xludf.DUMMYFUNCTION("""COMPUTED_VALUE"""),46301.64583333333)</f>
        <v>46301.64583</v>
      </c>
      <c r="F118" s="9">
        <f>IFERROR(__xludf.DUMMYFUNCTION("""COMPUTED_VALUE"""),1804.1)</f>
        <v>1804.1</v>
      </c>
      <c r="G118" s="191"/>
      <c r="H118" s="29">
        <f t="shared" si="3"/>
        <v>0.7428634776</v>
      </c>
      <c r="I118" s="1">
        <f t="shared" si="4"/>
        <v>-463.9</v>
      </c>
      <c r="J118" s="113">
        <f t="shared" si="5"/>
        <v>0.205238</v>
      </c>
      <c r="K118" s="199">
        <f>C118/F118</f>
        <v>0.7428634776</v>
      </c>
      <c r="L118" s="213">
        <f t="shared" si="7"/>
        <v>1372.09</v>
      </c>
      <c r="M118" s="210">
        <f t="shared" si="8"/>
        <v>-0.02379495598</v>
      </c>
      <c r="N118" s="213">
        <f t="shared" si="9"/>
        <v>1846.335</v>
      </c>
      <c r="O118" s="210">
        <f t="shared" si="10"/>
        <v>-0.02341056482</v>
      </c>
      <c r="P118" s="210">
        <f t="shared" si="11"/>
        <v>-0.0003843911522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217">
        <f>IFERROR(__xludf.DUMMYFUNCTION("""COMPUTED_VALUE"""),46302.64583333333)</f>
        <v>46302.64583</v>
      </c>
      <c r="C119" s="193">
        <f>IFERROR(__xludf.DUMMYFUNCTION("""COMPUTED_VALUE"""),1327.2)</f>
        <v>1327.2</v>
      </c>
      <c r="D119" s="9"/>
      <c r="E119" s="234">
        <f>IFERROR(__xludf.DUMMYFUNCTION("""COMPUTED_VALUE"""),46302.64583333333)</f>
        <v>46302.64583</v>
      </c>
      <c r="F119" s="9">
        <f>IFERROR(__xludf.DUMMYFUNCTION("""COMPUTED_VALUE"""),1781.0)</f>
        <v>1781</v>
      </c>
      <c r="G119" s="191"/>
      <c r="H119" s="29">
        <f t="shared" si="3"/>
        <v>0.7451993262</v>
      </c>
      <c r="I119" s="1"/>
      <c r="J119" s="1"/>
      <c r="K119" s="191"/>
      <c r="L119" s="191"/>
      <c r="M119" s="19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217">
        <f>IFERROR(__xludf.DUMMYFUNCTION("""COMPUTED_VALUE"""),46303.64583333333)</f>
        <v>46303.64583</v>
      </c>
      <c r="C120" s="193">
        <f>IFERROR(__xludf.DUMMYFUNCTION("""COMPUTED_VALUE"""),1306.8)</f>
        <v>1306.8</v>
      </c>
      <c r="D120" s="9"/>
      <c r="E120" s="234">
        <f>IFERROR(__xludf.DUMMYFUNCTION("""COMPUTED_VALUE"""),46303.64583333333)</f>
        <v>46303.64583</v>
      </c>
      <c r="F120" s="9">
        <f>IFERROR(__xludf.DUMMYFUNCTION("""COMPUTED_VALUE"""),1759.8)</f>
        <v>1759.8</v>
      </c>
      <c r="G120" s="191"/>
      <c r="H120" s="29">
        <f t="shared" si="3"/>
        <v>0.7425843846</v>
      </c>
      <c r="I120" s="1"/>
      <c r="J120" s="1"/>
      <c r="K120" s="191"/>
      <c r="L120" s="191"/>
      <c r="M120" s="19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35"/>
      <c r="B121" s="236">
        <f>IFERROR(__xludf.DUMMYFUNCTION("""COMPUTED_VALUE"""),46304.64583333333)</f>
        <v>46304.64583</v>
      </c>
      <c r="C121" s="235">
        <f>IFERROR(__xludf.DUMMYFUNCTION("""COMPUTED_VALUE"""),1301.0)</f>
        <v>1301</v>
      </c>
      <c r="D121" s="237"/>
      <c r="E121" s="236">
        <f>IFERROR(__xludf.DUMMYFUNCTION("""COMPUTED_VALUE"""),46304.64583333333)</f>
        <v>46304.64583</v>
      </c>
      <c r="F121" s="235">
        <f>IFERROR(__xludf.DUMMYFUNCTION("""COMPUTED_VALUE"""),1760.0)</f>
        <v>1760</v>
      </c>
      <c r="G121" s="238"/>
      <c r="H121" s="29">
        <f t="shared" si="3"/>
        <v>0.7392045455</v>
      </c>
      <c r="I121" s="175"/>
      <c r="J121" s="176"/>
      <c r="K121" s="239"/>
      <c r="L121" s="240"/>
      <c r="M121" s="241"/>
      <c r="N121" s="240"/>
      <c r="O121" s="241"/>
      <c r="P121" s="241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235"/>
      <c r="B122" s="236">
        <f>IFERROR(__xludf.DUMMYFUNCTION("""COMPUTED_VALUE"""),46307.64583333333)</f>
        <v>46307.64583</v>
      </c>
      <c r="C122" s="235">
        <f>IFERROR(__xludf.DUMMYFUNCTION("""COMPUTED_VALUE"""),1311.3)</f>
        <v>1311.3</v>
      </c>
      <c r="D122" s="237"/>
      <c r="E122" s="236">
        <f>IFERROR(__xludf.DUMMYFUNCTION("""COMPUTED_VALUE"""),46307.64583333333)</f>
        <v>46307.64583</v>
      </c>
      <c r="F122" s="235">
        <f>IFERROR(__xludf.DUMMYFUNCTION("""COMPUTED_VALUE"""),1760.0)</f>
        <v>1760</v>
      </c>
      <c r="G122" s="238"/>
      <c r="H122" s="29">
        <f t="shared" si="3"/>
        <v>0.7450568182</v>
      </c>
      <c r="I122" s="175"/>
      <c r="J122" s="176"/>
      <c r="K122" s="239"/>
      <c r="L122" s="240"/>
      <c r="M122" s="241"/>
      <c r="N122" s="240"/>
      <c r="O122" s="241"/>
      <c r="P122" s="241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235"/>
      <c r="B123" s="236">
        <f>IFERROR(__xludf.DUMMYFUNCTION("""COMPUTED_VALUE"""),46308.64583333333)</f>
        <v>46308.64583</v>
      </c>
      <c r="C123" s="235">
        <f>IFERROR(__xludf.DUMMYFUNCTION("""COMPUTED_VALUE"""),1329.6)</f>
        <v>1329.6</v>
      </c>
      <c r="D123" s="237"/>
      <c r="E123" s="236">
        <f>IFERROR(__xludf.DUMMYFUNCTION("""COMPUTED_VALUE"""),46308.64583333333)</f>
        <v>46308.64583</v>
      </c>
      <c r="F123" s="235">
        <f>IFERROR(__xludf.DUMMYFUNCTION("""COMPUTED_VALUE"""),1770.7)</f>
        <v>1770.7</v>
      </c>
      <c r="G123" s="238"/>
      <c r="H123" s="179"/>
      <c r="I123" s="175"/>
      <c r="J123" s="176"/>
      <c r="K123" s="239"/>
      <c r="L123" s="240"/>
      <c r="M123" s="241"/>
      <c r="N123" s="240"/>
      <c r="O123" s="241"/>
      <c r="P123" s="241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235"/>
      <c r="B124" s="236">
        <f>IFERROR(__xludf.DUMMYFUNCTION("""COMPUTED_VALUE"""),46309.64583333333)</f>
        <v>46309.64583</v>
      </c>
      <c r="C124" s="235">
        <f>IFERROR(__xludf.DUMMYFUNCTION("""COMPUTED_VALUE"""),1314.6)</f>
        <v>1314.6</v>
      </c>
      <c r="D124" s="237"/>
      <c r="E124" s="236">
        <f>IFERROR(__xludf.DUMMYFUNCTION("""COMPUTED_VALUE"""),46309.64583333333)</f>
        <v>46309.64583</v>
      </c>
      <c r="F124" s="235">
        <f>IFERROR(__xludf.DUMMYFUNCTION("""COMPUTED_VALUE"""),1746.4)</f>
        <v>1746.4</v>
      </c>
      <c r="G124" s="238"/>
      <c r="H124" s="179"/>
      <c r="I124" s="175"/>
      <c r="J124" s="176"/>
      <c r="K124" s="239"/>
      <c r="L124" s="240"/>
      <c r="M124" s="241"/>
      <c r="N124" s="240"/>
      <c r="O124" s="241"/>
      <c r="P124" s="241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235"/>
      <c r="B125" s="236">
        <f>IFERROR(__xludf.DUMMYFUNCTION("""COMPUTED_VALUE"""),46310.64583333333)</f>
        <v>46310.64583</v>
      </c>
      <c r="C125" s="235">
        <f>IFERROR(__xludf.DUMMYFUNCTION("""COMPUTED_VALUE"""),1328.0)</f>
        <v>1328</v>
      </c>
      <c r="D125" s="237"/>
      <c r="E125" s="236">
        <f>IFERROR(__xludf.DUMMYFUNCTION("""COMPUTED_VALUE"""),46310.64583333333)</f>
        <v>46310.64583</v>
      </c>
      <c r="F125" s="235">
        <f>IFERROR(__xludf.DUMMYFUNCTION("""COMPUTED_VALUE"""),1764.0)</f>
        <v>1764</v>
      </c>
      <c r="G125" s="238"/>
      <c r="H125" s="179"/>
      <c r="I125" s="175"/>
      <c r="J125" s="176"/>
      <c r="K125" s="239"/>
      <c r="L125" s="240"/>
      <c r="M125" s="241"/>
      <c r="N125" s="240"/>
      <c r="O125" s="241"/>
      <c r="P125" s="241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235"/>
      <c r="B126" s="236">
        <f>IFERROR(__xludf.DUMMYFUNCTION("""COMPUTED_VALUE"""),46311.64583333333)</f>
        <v>46311.64583</v>
      </c>
      <c r="C126" s="235">
        <f>IFERROR(__xludf.DUMMYFUNCTION("""COMPUTED_VALUE"""),1325.1)</f>
        <v>1325.1</v>
      </c>
      <c r="D126" s="237"/>
      <c r="E126" s="236">
        <f>IFERROR(__xludf.DUMMYFUNCTION("""COMPUTED_VALUE"""),46311.64583333333)</f>
        <v>46311.64583</v>
      </c>
      <c r="F126" s="235">
        <f>IFERROR(__xludf.DUMMYFUNCTION("""COMPUTED_VALUE"""),1758.8)</f>
        <v>1758.8</v>
      </c>
      <c r="G126" s="238"/>
      <c r="H126" s="179"/>
      <c r="I126" s="175"/>
      <c r="J126" s="176"/>
      <c r="K126" s="239"/>
      <c r="L126" s="240"/>
      <c r="M126" s="241"/>
      <c r="N126" s="240"/>
      <c r="O126" s="241"/>
      <c r="P126" s="241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235"/>
      <c r="B127" s="236"/>
      <c r="C127" s="235"/>
      <c r="D127" s="237"/>
      <c r="E127" s="236"/>
      <c r="F127" s="235"/>
      <c r="G127" s="238"/>
      <c r="H127" s="179"/>
      <c r="I127" s="175"/>
      <c r="J127" s="176"/>
      <c r="K127" s="239"/>
      <c r="L127" s="240"/>
      <c r="M127" s="241"/>
      <c r="N127" s="240"/>
      <c r="O127" s="241"/>
      <c r="P127" s="241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235" t="s">
        <v>9</v>
      </c>
      <c r="B128" s="236">
        <f>IFERROR(__xludf.DUMMYFUNCTION("GOOGLEFINANCE(B9,""TRADETIME"")"),46311.64583333333)</f>
        <v>46311.64583</v>
      </c>
      <c r="C128" s="235">
        <f>IFERROR(__xludf.DUMMYFUNCTION("GOOGLEFINANCE(B9,""PRICE"")"),1325.1)</f>
        <v>1325.1</v>
      </c>
      <c r="D128" s="237"/>
      <c r="E128" s="236">
        <f>IFERROR(__xludf.DUMMYFUNCTION("GOOGLEFINANCE(E9,""TRADETIME"")"),46311.64583333333)</f>
        <v>46311.64583</v>
      </c>
      <c r="F128" s="235">
        <f>IFERROR(__xludf.DUMMYFUNCTION("GOOGLEFINANCE(E9,""PRICE"")"),1758.8)</f>
        <v>1758.8</v>
      </c>
      <c r="G128" s="238"/>
      <c r="H128" s="179">
        <f>C128/F128</f>
        <v>0.7534114169</v>
      </c>
      <c r="I128" s="175">
        <f>C128-F128</f>
        <v>-433.7</v>
      </c>
      <c r="J128" s="176">
        <f>((I128-$I$129)/$I$130)</f>
        <v>0.9229438655</v>
      </c>
      <c r="K128" s="239">
        <f>C128/F128</f>
        <v>0.7534114169</v>
      </c>
      <c r="L128" s="240">
        <f>AVERAGE(C73:C109)</f>
        <v>1419.640541</v>
      </c>
      <c r="M128" s="241">
        <f>(C128-L128)/C128</f>
        <v>-0.07134596675</v>
      </c>
      <c r="N128" s="240">
        <f>AVERAGE(F73:F109)</f>
        <v>1907.848649</v>
      </c>
      <c r="O128" s="241">
        <f>(F128-N128)/F128</f>
        <v>-0.08474451254</v>
      </c>
      <c r="P128" s="241">
        <f>M128-O128</f>
        <v>0.01339854579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9"/>
      <c r="D129" s="9"/>
      <c r="E129" s="9"/>
      <c r="F129" s="9"/>
      <c r="G129" s="191"/>
      <c r="H129" s="96" t="s">
        <v>138</v>
      </c>
      <c r="I129" s="177">
        <f>AVERAGE(I11:I118)</f>
        <v>-472.5361111</v>
      </c>
      <c r="J129" s="1"/>
      <c r="K129" s="191"/>
      <c r="L129" s="191"/>
      <c r="M129" s="19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9"/>
      <c r="F130" s="9"/>
      <c r="G130" s="191"/>
      <c r="H130" s="96" t="s">
        <v>139</v>
      </c>
      <c r="I130" s="189">
        <f>_xlfn.STDEV.P(I11:I117)</f>
        <v>42.07851914</v>
      </c>
      <c r="J130" s="1"/>
      <c r="K130" s="191"/>
      <c r="L130" s="191"/>
      <c r="M130" s="19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232">
        <f>B128*B132*B133</f>
        <v>60205139.58</v>
      </c>
      <c r="C131" s="9"/>
      <c r="D131" s="9"/>
      <c r="E131" s="201">
        <f>E128*E132*E133</f>
        <v>64836304.17</v>
      </c>
      <c r="F131" s="202">
        <f>B131/E131</f>
        <v>0.9285714286</v>
      </c>
      <c r="G131" s="191"/>
      <c r="H131" s="191"/>
      <c r="I131" s="191"/>
      <c r="J131" s="191"/>
      <c r="K131" s="191"/>
      <c r="L131" s="191"/>
      <c r="M131" s="19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203">
        <v>650.0</v>
      </c>
      <c r="C132" s="9"/>
      <c r="D132" s="9"/>
      <c r="E132" s="203">
        <v>350.0</v>
      </c>
      <c r="F132" s="191"/>
      <c r="G132" s="191"/>
      <c r="H132" s="191"/>
      <c r="I132" s="191"/>
      <c r="J132" s="191"/>
      <c r="K132" s="191"/>
      <c r="L132" s="191"/>
      <c r="M132" s="19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203">
        <v>2.0</v>
      </c>
      <c r="C133" s="9"/>
      <c r="D133" s="9"/>
      <c r="E133" s="203">
        <v>4.0</v>
      </c>
      <c r="F133" s="191"/>
      <c r="G133" s="191"/>
      <c r="H133" s="191"/>
      <c r="I133" s="191"/>
      <c r="J133" s="191"/>
      <c r="K133" s="191"/>
      <c r="L133" s="191"/>
      <c r="M133" s="19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9"/>
      <c r="F134" s="9"/>
      <c r="G134" s="191"/>
      <c r="H134" s="191"/>
      <c r="I134" s="191"/>
      <c r="J134" s="191"/>
      <c r="K134" s="191"/>
      <c r="L134" s="191"/>
      <c r="M134" s="19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9"/>
      <c r="F135" s="9"/>
      <c r="G135" s="191"/>
      <c r="H135" s="191"/>
      <c r="I135" s="191"/>
      <c r="J135" s="191"/>
      <c r="K135" s="191"/>
      <c r="L135" s="191"/>
      <c r="M135" s="19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9"/>
      <c r="F136" s="9"/>
      <c r="G136" s="191"/>
      <c r="H136" s="191"/>
      <c r="I136" s="191"/>
      <c r="J136" s="191"/>
      <c r="K136" s="191"/>
      <c r="L136" s="191"/>
      <c r="M136" s="19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191"/>
      <c r="H137" s="191"/>
      <c r="I137" s="191"/>
      <c r="J137" s="191"/>
      <c r="K137" s="191"/>
      <c r="L137" s="191"/>
      <c r="M137" s="19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191"/>
      <c r="H138" s="191"/>
      <c r="I138" s="191"/>
      <c r="J138" s="191"/>
      <c r="K138" s="191"/>
      <c r="L138" s="191"/>
      <c r="M138" s="19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9"/>
      <c r="F139" s="9"/>
      <c r="G139" s="191"/>
      <c r="H139" s="191"/>
      <c r="I139" s="191"/>
      <c r="J139" s="191"/>
      <c r="K139" s="191"/>
      <c r="L139" s="191"/>
      <c r="M139" s="19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191"/>
      <c r="H140" s="191"/>
      <c r="I140" s="191"/>
      <c r="J140" s="191"/>
      <c r="K140" s="191"/>
      <c r="L140" s="191"/>
      <c r="M140" s="19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191"/>
      <c r="H141" s="191"/>
      <c r="I141" s="191"/>
      <c r="J141" s="191"/>
      <c r="K141" s="191"/>
      <c r="L141" s="191"/>
      <c r="M141" s="19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9"/>
      <c r="F142" s="9"/>
      <c r="G142" s="191"/>
      <c r="H142" s="191"/>
      <c r="I142" s="191"/>
      <c r="J142" s="191"/>
      <c r="K142" s="191"/>
      <c r="L142" s="191"/>
      <c r="M142" s="19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191"/>
      <c r="H143" s="191"/>
      <c r="I143" s="191"/>
      <c r="J143" s="191"/>
      <c r="K143" s="191"/>
      <c r="L143" s="191"/>
      <c r="M143" s="19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191"/>
      <c r="H144" s="191"/>
      <c r="I144" s="191"/>
      <c r="J144" s="191"/>
      <c r="K144" s="191"/>
      <c r="L144" s="191"/>
      <c r="M144" s="19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191"/>
      <c r="H145" s="191"/>
      <c r="I145" s="191"/>
      <c r="J145" s="191"/>
      <c r="K145" s="191"/>
      <c r="L145" s="191"/>
      <c r="M145" s="19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191"/>
      <c r="H146" s="191"/>
      <c r="I146" s="191"/>
      <c r="J146" s="191"/>
      <c r="K146" s="191"/>
      <c r="L146" s="191"/>
      <c r="M146" s="19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191"/>
      <c r="H147" s="191"/>
      <c r="I147" s="191"/>
      <c r="J147" s="191"/>
      <c r="K147" s="191"/>
      <c r="L147" s="191"/>
      <c r="M147" s="19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191"/>
      <c r="H148" s="191"/>
      <c r="I148" s="191"/>
      <c r="J148" s="191"/>
      <c r="K148" s="191"/>
      <c r="L148" s="191"/>
      <c r="M148" s="191"/>
      <c r="N148" s="191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191"/>
      <c r="H149" s="191"/>
      <c r="I149" s="191"/>
      <c r="J149" s="191"/>
      <c r="K149" s="191"/>
      <c r="L149" s="191"/>
      <c r="M149" s="191"/>
      <c r="N149" s="191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191"/>
      <c r="H150" s="191"/>
      <c r="I150" s="191"/>
      <c r="J150" s="191"/>
      <c r="K150" s="191"/>
      <c r="L150" s="191"/>
      <c r="M150" s="191"/>
      <c r="N150" s="191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191"/>
      <c r="H151" s="191"/>
      <c r="I151" s="191"/>
      <c r="J151" s="191"/>
      <c r="K151" s="191"/>
      <c r="L151" s="191"/>
      <c r="M151" s="191"/>
      <c r="N151" s="19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191"/>
      <c r="H152" s="191"/>
      <c r="I152" s="191"/>
      <c r="J152" s="191"/>
      <c r="K152" s="191"/>
      <c r="L152" s="191"/>
      <c r="M152" s="191"/>
      <c r="N152" s="19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191"/>
      <c r="H153" s="191"/>
      <c r="I153" s="191"/>
      <c r="J153" s="191"/>
      <c r="K153" s="191"/>
      <c r="L153" s="191"/>
      <c r="M153" s="191"/>
      <c r="N153" s="19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191"/>
      <c r="H154" s="191"/>
      <c r="I154" s="191"/>
      <c r="J154" s="191"/>
      <c r="K154" s="191"/>
      <c r="L154" s="191"/>
      <c r="M154" s="191"/>
      <c r="N154" s="191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191"/>
      <c r="H155" s="191"/>
      <c r="I155" s="191"/>
      <c r="J155" s="191"/>
      <c r="K155" s="191"/>
      <c r="L155" s="191"/>
      <c r="M155" s="191"/>
      <c r="N155" s="19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191"/>
      <c r="H156" s="191"/>
      <c r="I156" s="191"/>
      <c r="J156" s="191"/>
      <c r="K156" s="191"/>
      <c r="L156" s="191"/>
      <c r="M156" s="191"/>
      <c r="N156" s="191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191"/>
      <c r="H157" s="191"/>
      <c r="I157" s="191"/>
      <c r="J157" s="191"/>
      <c r="K157" s="191"/>
      <c r="L157" s="191"/>
      <c r="M157" s="191"/>
      <c r="N157" s="19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191"/>
      <c r="H158" s="191"/>
      <c r="I158" s="191"/>
      <c r="J158" s="191"/>
      <c r="K158" s="191"/>
      <c r="L158" s="191"/>
      <c r="M158" s="191"/>
      <c r="N158" s="19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191"/>
      <c r="H159" s="191"/>
      <c r="I159" s="191"/>
      <c r="J159" s="191"/>
      <c r="K159" s="191"/>
      <c r="L159" s="191"/>
      <c r="M159" s="191"/>
      <c r="N159" s="19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191"/>
      <c r="H160" s="191"/>
      <c r="I160" s="191"/>
      <c r="J160" s="191"/>
      <c r="K160" s="191"/>
      <c r="L160" s="191"/>
      <c r="M160" s="191"/>
      <c r="N160" s="191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191"/>
      <c r="H161" s="191"/>
      <c r="I161" s="191"/>
      <c r="J161" s="191"/>
      <c r="K161" s="191"/>
      <c r="L161" s="191"/>
      <c r="M161" s="191"/>
      <c r="N161" s="191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191"/>
      <c r="H162" s="191"/>
      <c r="I162" s="191"/>
      <c r="J162" s="191"/>
      <c r="K162" s="191"/>
      <c r="L162" s="191"/>
      <c r="M162" s="191"/>
      <c r="N162" s="191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191"/>
      <c r="H163" s="191"/>
      <c r="I163" s="191"/>
      <c r="J163" s="191"/>
      <c r="K163" s="191"/>
      <c r="L163" s="191"/>
      <c r="M163" s="191"/>
      <c r="N163" s="19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191"/>
      <c r="H164" s="191"/>
      <c r="I164" s="191"/>
      <c r="J164" s="191"/>
      <c r="K164" s="191"/>
      <c r="L164" s="191"/>
      <c r="M164" s="191"/>
      <c r="N164" s="19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191"/>
      <c r="H165" s="191"/>
      <c r="I165" s="191"/>
      <c r="J165" s="191"/>
      <c r="K165" s="191"/>
      <c r="L165" s="191"/>
      <c r="M165" s="191"/>
      <c r="N165" s="19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191"/>
      <c r="H166" s="191"/>
      <c r="I166" s="191"/>
      <c r="J166" s="191"/>
      <c r="K166" s="191"/>
      <c r="L166" s="191"/>
      <c r="M166" s="191"/>
      <c r="N166" s="19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191"/>
      <c r="H167" s="191"/>
      <c r="I167" s="191"/>
      <c r="J167" s="191"/>
      <c r="K167" s="191"/>
      <c r="L167" s="191"/>
      <c r="M167" s="191"/>
      <c r="N167" s="19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191"/>
      <c r="H168" s="191"/>
      <c r="I168" s="191"/>
      <c r="J168" s="191"/>
      <c r="K168" s="191"/>
      <c r="L168" s="191"/>
      <c r="M168" s="191"/>
      <c r="N168" s="19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191"/>
      <c r="H169" s="191"/>
      <c r="I169" s="191"/>
      <c r="J169" s="191"/>
      <c r="K169" s="191"/>
      <c r="L169" s="191"/>
      <c r="M169" s="191"/>
      <c r="N169" s="19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191"/>
      <c r="H170" s="191"/>
      <c r="I170" s="191"/>
      <c r="J170" s="191"/>
      <c r="K170" s="191"/>
      <c r="L170" s="191"/>
      <c r="M170" s="191"/>
      <c r="N170" s="19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191"/>
      <c r="H171" s="191"/>
      <c r="I171" s="191"/>
      <c r="J171" s="191"/>
      <c r="K171" s="191"/>
      <c r="L171" s="191"/>
      <c r="M171" s="191"/>
      <c r="N171" s="19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191"/>
      <c r="H172" s="191"/>
      <c r="I172" s="191"/>
      <c r="J172" s="191"/>
      <c r="K172" s="191"/>
      <c r="L172" s="191"/>
      <c r="M172" s="191"/>
      <c r="N172" s="19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191"/>
      <c r="H173" s="191"/>
      <c r="I173" s="191"/>
      <c r="J173" s="191"/>
      <c r="K173" s="191"/>
      <c r="L173" s="191"/>
      <c r="M173" s="191"/>
      <c r="N173" s="19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191"/>
      <c r="H174" s="191"/>
      <c r="I174" s="191"/>
      <c r="J174" s="191"/>
      <c r="K174" s="191"/>
      <c r="L174" s="191"/>
      <c r="M174" s="191"/>
      <c r="N174" s="19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191"/>
      <c r="H175" s="191"/>
      <c r="I175" s="191"/>
      <c r="J175" s="191"/>
      <c r="K175" s="191"/>
      <c r="L175" s="191"/>
      <c r="M175" s="191"/>
      <c r="N175" s="19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191"/>
      <c r="H176" s="191"/>
      <c r="I176" s="191"/>
      <c r="J176" s="191"/>
      <c r="K176" s="191"/>
      <c r="L176" s="191"/>
      <c r="M176" s="191"/>
      <c r="N176" s="19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191"/>
      <c r="H177" s="191"/>
      <c r="I177" s="191"/>
      <c r="J177" s="191"/>
      <c r="K177" s="191"/>
      <c r="L177" s="191"/>
      <c r="M177" s="191"/>
      <c r="N177" s="19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191"/>
      <c r="H178" s="191"/>
      <c r="I178" s="191"/>
      <c r="J178" s="191"/>
      <c r="K178" s="191"/>
      <c r="L178" s="191"/>
      <c r="M178" s="191"/>
      <c r="N178" s="19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191"/>
      <c r="H179" s="191"/>
      <c r="I179" s="191"/>
      <c r="J179" s="191"/>
      <c r="K179" s="191"/>
      <c r="L179" s="191"/>
      <c r="M179" s="191"/>
      <c r="N179" s="19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191"/>
      <c r="H180" s="191"/>
      <c r="I180" s="191"/>
      <c r="J180" s="191"/>
      <c r="K180" s="191"/>
      <c r="L180" s="191"/>
      <c r="M180" s="191"/>
      <c r="N180" s="19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191"/>
      <c r="H181" s="191"/>
      <c r="I181" s="191"/>
      <c r="J181" s="191"/>
      <c r="K181" s="191"/>
      <c r="L181" s="191"/>
      <c r="M181" s="191"/>
      <c r="N181" s="19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191"/>
      <c r="H182" s="191"/>
      <c r="I182" s="191"/>
      <c r="J182" s="191"/>
      <c r="K182" s="191"/>
      <c r="L182" s="191"/>
      <c r="M182" s="191"/>
      <c r="N182" s="19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191"/>
      <c r="H183" s="191"/>
      <c r="I183" s="191"/>
      <c r="J183" s="191"/>
      <c r="K183" s="191"/>
      <c r="L183" s="191"/>
      <c r="M183" s="191"/>
      <c r="N183" s="19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191"/>
      <c r="H184" s="191"/>
      <c r="I184" s="191"/>
      <c r="J184" s="191"/>
      <c r="K184" s="191"/>
      <c r="L184" s="191"/>
      <c r="M184" s="191"/>
      <c r="N184" s="19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191"/>
      <c r="H185" s="191"/>
      <c r="I185" s="191"/>
      <c r="J185" s="191"/>
      <c r="K185" s="191"/>
      <c r="L185" s="191"/>
      <c r="M185" s="191"/>
      <c r="N185" s="19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191"/>
      <c r="H186" s="191"/>
      <c r="I186" s="191"/>
      <c r="J186" s="191"/>
      <c r="K186" s="191"/>
      <c r="L186" s="191"/>
      <c r="M186" s="191"/>
      <c r="N186" s="19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191"/>
      <c r="H187" s="191"/>
      <c r="I187" s="191"/>
      <c r="J187" s="191"/>
      <c r="K187" s="191"/>
      <c r="L187" s="191"/>
      <c r="M187" s="191"/>
      <c r="N187" s="19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191"/>
      <c r="H188" s="191"/>
      <c r="I188" s="191"/>
      <c r="J188" s="191"/>
      <c r="K188" s="191"/>
      <c r="L188" s="191"/>
      <c r="M188" s="191"/>
      <c r="N188" s="19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191"/>
      <c r="H189" s="191"/>
      <c r="I189" s="191"/>
      <c r="J189" s="191"/>
      <c r="K189" s="191"/>
      <c r="L189" s="191"/>
      <c r="M189" s="191"/>
      <c r="N189" s="19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191"/>
      <c r="H190" s="191"/>
      <c r="I190" s="191"/>
      <c r="J190" s="191"/>
      <c r="K190" s="191"/>
      <c r="L190" s="191"/>
      <c r="M190" s="191"/>
      <c r="N190" s="19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191"/>
      <c r="H191" s="191"/>
      <c r="I191" s="191"/>
      <c r="J191" s="191"/>
      <c r="K191" s="191"/>
      <c r="L191" s="191"/>
      <c r="M191" s="191"/>
      <c r="N191" s="19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191"/>
      <c r="H192" s="191"/>
      <c r="I192" s="191"/>
      <c r="J192" s="191"/>
      <c r="K192" s="191"/>
      <c r="L192" s="191"/>
      <c r="M192" s="191"/>
      <c r="N192" s="19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191"/>
      <c r="H193" s="191"/>
      <c r="I193" s="191"/>
      <c r="J193" s="191"/>
      <c r="K193" s="191"/>
      <c r="L193" s="191"/>
      <c r="M193" s="191"/>
      <c r="N193" s="19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191"/>
      <c r="H194" s="191"/>
      <c r="I194" s="191"/>
      <c r="J194" s="191"/>
      <c r="K194" s="191"/>
      <c r="L194" s="191"/>
      <c r="M194" s="191"/>
      <c r="N194" s="19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191"/>
      <c r="H195" s="191"/>
      <c r="I195" s="191"/>
      <c r="J195" s="191"/>
      <c r="K195" s="191"/>
      <c r="L195" s="191"/>
      <c r="M195" s="191"/>
      <c r="N195" s="19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191"/>
      <c r="H196" s="191"/>
      <c r="I196" s="191"/>
      <c r="J196" s="191"/>
      <c r="K196" s="191"/>
      <c r="L196" s="191"/>
      <c r="M196" s="191"/>
      <c r="N196" s="19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191"/>
      <c r="H197" s="191"/>
      <c r="I197" s="191"/>
      <c r="J197" s="191"/>
      <c r="K197" s="191"/>
      <c r="L197" s="191"/>
      <c r="M197" s="191"/>
      <c r="N197" s="19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191"/>
      <c r="H198" s="191"/>
      <c r="I198" s="191"/>
      <c r="J198" s="191"/>
      <c r="K198" s="191"/>
      <c r="L198" s="191"/>
      <c r="M198" s="191"/>
      <c r="N198" s="19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191"/>
      <c r="H199" s="191"/>
      <c r="I199" s="191"/>
      <c r="J199" s="191"/>
      <c r="K199" s="191"/>
      <c r="L199" s="191"/>
      <c r="M199" s="191"/>
      <c r="N199" s="19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191"/>
      <c r="H200" s="191"/>
      <c r="I200" s="191"/>
      <c r="J200" s="191"/>
      <c r="K200" s="191"/>
      <c r="L200" s="191"/>
      <c r="M200" s="191"/>
      <c r="N200" s="19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191"/>
      <c r="H201" s="191"/>
      <c r="I201" s="191"/>
      <c r="J201" s="191"/>
      <c r="K201" s="191"/>
      <c r="L201" s="191"/>
      <c r="M201" s="191"/>
      <c r="N201" s="19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191"/>
      <c r="H202" s="191"/>
      <c r="I202" s="191"/>
      <c r="J202" s="191"/>
      <c r="K202" s="191"/>
      <c r="L202" s="191"/>
      <c r="M202" s="191"/>
      <c r="N202" s="19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191"/>
      <c r="H203" s="191"/>
      <c r="I203" s="191"/>
      <c r="J203" s="191"/>
      <c r="K203" s="191"/>
      <c r="L203" s="191"/>
      <c r="M203" s="191"/>
      <c r="N203" s="19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191"/>
      <c r="H204" s="191"/>
      <c r="I204" s="191"/>
      <c r="J204" s="191"/>
      <c r="K204" s="191"/>
      <c r="L204" s="191"/>
      <c r="M204" s="191"/>
      <c r="N204" s="19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191"/>
      <c r="H205" s="191"/>
      <c r="I205" s="191"/>
      <c r="J205" s="191"/>
      <c r="K205" s="191"/>
      <c r="L205" s="191"/>
      <c r="M205" s="191"/>
      <c r="N205" s="19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191"/>
      <c r="H206" s="191"/>
      <c r="I206" s="191"/>
      <c r="J206" s="191"/>
      <c r="K206" s="191"/>
      <c r="L206" s="191"/>
      <c r="M206" s="191"/>
      <c r="N206" s="19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191"/>
      <c r="H207" s="191"/>
      <c r="I207" s="191"/>
      <c r="J207" s="191"/>
      <c r="K207" s="191"/>
      <c r="L207" s="191"/>
      <c r="M207" s="191"/>
      <c r="N207" s="19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191"/>
      <c r="H208" s="191"/>
      <c r="I208" s="191"/>
      <c r="J208" s="191"/>
      <c r="K208" s="191"/>
      <c r="L208" s="191"/>
      <c r="M208" s="191"/>
      <c r="N208" s="19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191"/>
      <c r="H209" s="191"/>
      <c r="I209" s="191"/>
      <c r="J209" s="191"/>
      <c r="K209" s="191"/>
      <c r="L209" s="191"/>
      <c r="M209" s="191"/>
      <c r="N209" s="19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191"/>
      <c r="H210" s="191"/>
      <c r="I210" s="191"/>
      <c r="J210" s="191"/>
      <c r="K210" s="191"/>
      <c r="L210" s="191"/>
      <c r="M210" s="191"/>
      <c r="N210" s="19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191"/>
      <c r="H211" s="191"/>
      <c r="I211" s="191"/>
      <c r="J211" s="191"/>
      <c r="K211" s="191"/>
      <c r="L211" s="191"/>
      <c r="M211" s="191"/>
      <c r="N211" s="19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191"/>
      <c r="H212" s="191"/>
      <c r="I212" s="191"/>
      <c r="J212" s="191"/>
      <c r="K212" s="191"/>
      <c r="L212" s="191"/>
      <c r="M212" s="191"/>
      <c r="N212" s="19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191"/>
      <c r="H213" s="191"/>
      <c r="I213" s="191"/>
      <c r="J213" s="191"/>
      <c r="K213" s="191"/>
      <c r="L213" s="191"/>
      <c r="M213" s="191"/>
      <c r="N213" s="19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191"/>
      <c r="H214" s="191"/>
      <c r="I214" s="191"/>
      <c r="J214" s="191"/>
      <c r="K214" s="191"/>
      <c r="L214" s="191"/>
      <c r="M214" s="191"/>
      <c r="N214" s="19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191"/>
      <c r="H215" s="191"/>
      <c r="I215" s="191"/>
      <c r="J215" s="191"/>
      <c r="K215" s="191"/>
      <c r="L215" s="191"/>
      <c r="M215" s="191"/>
      <c r="N215" s="19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191"/>
      <c r="H216" s="191"/>
      <c r="I216" s="191"/>
      <c r="J216" s="191"/>
      <c r="K216" s="191"/>
      <c r="L216" s="191"/>
      <c r="M216" s="191"/>
      <c r="N216" s="19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191"/>
      <c r="H217" s="191"/>
      <c r="I217" s="191"/>
      <c r="J217" s="191"/>
      <c r="K217" s="191"/>
      <c r="L217" s="191"/>
      <c r="M217" s="191"/>
      <c r="N217" s="19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191"/>
      <c r="H218" s="191"/>
      <c r="I218" s="191"/>
      <c r="J218" s="191"/>
      <c r="K218" s="191"/>
      <c r="L218" s="191"/>
      <c r="M218" s="191"/>
      <c r="N218" s="19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191"/>
      <c r="H219" s="191"/>
      <c r="I219" s="191"/>
      <c r="J219" s="191"/>
      <c r="K219" s="191"/>
      <c r="L219" s="191"/>
      <c r="M219" s="191"/>
      <c r="N219" s="19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191"/>
      <c r="H220" s="191"/>
      <c r="I220" s="191"/>
      <c r="J220" s="191"/>
      <c r="K220" s="191"/>
      <c r="L220" s="191"/>
      <c r="M220" s="191"/>
      <c r="N220" s="19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191"/>
      <c r="H221" s="191"/>
      <c r="I221" s="191"/>
      <c r="J221" s="191"/>
      <c r="K221" s="191"/>
      <c r="L221" s="191"/>
      <c r="M221" s="191"/>
      <c r="N221" s="19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191"/>
      <c r="H222" s="191"/>
      <c r="I222" s="191"/>
      <c r="J222" s="191"/>
      <c r="K222" s="191"/>
      <c r="L222" s="191"/>
      <c r="M222" s="191"/>
      <c r="N222" s="19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191"/>
      <c r="H223" s="191"/>
      <c r="I223" s="191"/>
      <c r="J223" s="191"/>
      <c r="K223" s="191"/>
      <c r="L223" s="191"/>
      <c r="M223" s="191"/>
      <c r="N223" s="19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191"/>
      <c r="H224" s="191"/>
      <c r="I224" s="191"/>
      <c r="J224" s="191"/>
      <c r="K224" s="191"/>
      <c r="L224" s="191"/>
      <c r="M224" s="191"/>
      <c r="N224" s="19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191"/>
      <c r="H225" s="191"/>
      <c r="I225" s="191"/>
      <c r="J225" s="191"/>
      <c r="K225" s="191"/>
      <c r="L225" s="191"/>
      <c r="M225" s="191"/>
      <c r="N225" s="19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191"/>
      <c r="H226" s="191"/>
      <c r="I226" s="191"/>
      <c r="J226" s="191"/>
      <c r="K226" s="191"/>
      <c r="L226" s="191"/>
      <c r="M226" s="191"/>
      <c r="N226" s="19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191"/>
      <c r="H227" s="191"/>
      <c r="I227" s="191"/>
      <c r="J227" s="191"/>
      <c r="K227" s="191"/>
      <c r="L227" s="191"/>
      <c r="M227" s="191"/>
      <c r="N227" s="19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191"/>
      <c r="H228" s="191"/>
      <c r="I228" s="191"/>
      <c r="J228" s="191"/>
      <c r="K228" s="191"/>
      <c r="L228" s="191"/>
      <c r="M228" s="191"/>
      <c r="N228" s="19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191"/>
      <c r="H229" s="191"/>
      <c r="I229" s="191"/>
      <c r="J229" s="191"/>
      <c r="K229" s="191"/>
      <c r="L229" s="191"/>
      <c r="M229" s="191"/>
      <c r="N229" s="19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191"/>
      <c r="H230" s="191"/>
      <c r="I230" s="191"/>
      <c r="J230" s="191"/>
      <c r="K230" s="191"/>
      <c r="L230" s="191"/>
      <c r="M230" s="191"/>
      <c r="N230" s="19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191"/>
      <c r="H231" s="191"/>
      <c r="I231" s="191"/>
      <c r="J231" s="191"/>
      <c r="K231" s="191"/>
      <c r="L231" s="191"/>
      <c r="M231" s="191"/>
      <c r="N231" s="19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191"/>
      <c r="H232" s="191"/>
      <c r="I232" s="191"/>
      <c r="J232" s="191"/>
      <c r="K232" s="191"/>
      <c r="L232" s="191"/>
      <c r="M232" s="191"/>
      <c r="N232" s="19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191"/>
      <c r="H233" s="191"/>
      <c r="I233" s="191"/>
      <c r="J233" s="191"/>
      <c r="K233" s="191"/>
      <c r="L233" s="191"/>
      <c r="M233" s="191"/>
      <c r="N233" s="19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191"/>
      <c r="H234" s="191"/>
      <c r="I234" s="191"/>
      <c r="J234" s="191"/>
      <c r="K234" s="191"/>
      <c r="L234" s="191"/>
      <c r="M234" s="191"/>
      <c r="N234" s="19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191"/>
      <c r="H235" s="191"/>
      <c r="I235" s="191"/>
      <c r="J235" s="191"/>
      <c r="K235" s="191"/>
      <c r="L235" s="191"/>
      <c r="M235" s="191"/>
      <c r="N235" s="19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191"/>
      <c r="H236" s="191"/>
      <c r="I236" s="191"/>
      <c r="J236" s="191"/>
      <c r="K236" s="191"/>
      <c r="L236" s="191"/>
      <c r="M236" s="191"/>
      <c r="N236" s="19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191"/>
      <c r="H237" s="191"/>
      <c r="I237" s="191"/>
      <c r="J237" s="191"/>
      <c r="K237" s="191"/>
      <c r="L237" s="191"/>
      <c r="M237" s="191"/>
      <c r="N237" s="19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191"/>
      <c r="H238" s="191"/>
      <c r="I238" s="191"/>
      <c r="J238" s="191"/>
      <c r="K238" s="191"/>
      <c r="L238" s="191"/>
      <c r="M238" s="191"/>
      <c r="N238" s="19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191"/>
      <c r="H239" s="191"/>
      <c r="I239" s="191"/>
      <c r="J239" s="191"/>
      <c r="K239" s="191"/>
      <c r="L239" s="191"/>
      <c r="M239" s="191"/>
      <c r="N239" s="19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191"/>
      <c r="H240" s="191"/>
      <c r="I240" s="191"/>
      <c r="J240" s="191"/>
      <c r="K240" s="191"/>
      <c r="L240" s="191"/>
      <c r="M240" s="191"/>
      <c r="N240" s="19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191"/>
      <c r="H241" s="191"/>
      <c r="I241" s="191"/>
      <c r="J241" s="191"/>
      <c r="K241" s="191"/>
      <c r="L241" s="191"/>
      <c r="M241" s="191"/>
      <c r="N241" s="19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191"/>
      <c r="H242" s="191"/>
      <c r="I242" s="191"/>
      <c r="J242" s="191"/>
      <c r="K242" s="191"/>
      <c r="L242" s="191"/>
      <c r="M242" s="191"/>
      <c r="N242" s="19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191"/>
      <c r="H243" s="191"/>
      <c r="I243" s="191"/>
      <c r="J243" s="191"/>
      <c r="K243" s="191"/>
      <c r="L243" s="191"/>
      <c r="M243" s="191"/>
      <c r="N243" s="19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191"/>
      <c r="H244" s="191"/>
      <c r="I244" s="191"/>
      <c r="J244" s="191"/>
      <c r="K244" s="191"/>
      <c r="L244" s="191"/>
      <c r="M244" s="191"/>
      <c r="N244" s="19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191"/>
      <c r="H245" s="191"/>
      <c r="I245" s="191"/>
      <c r="J245" s="191"/>
      <c r="K245" s="191"/>
      <c r="L245" s="191"/>
      <c r="M245" s="191"/>
      <c r="N245" s="19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191"/>
      <c r="H246" s="191"/>
      <c r="I246" s="191"/>
      <c r="J246" s="191"/>
      <c r="K246" s="191"/>
      <c r="L246" s="191"/>
      <c r="M246" s="191"/>
      <c r="N246" s="19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191"/>
      <c r="H247" s="191"/>
      <c r="I247" s="191"/>
      <c r="J247" s="191"/>
      <c r="K247" s="191"/>
      <c r="L247" s="191"/>
      <c r="M247" s="191"/>
      <c r="N247" s="19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191"/>
      <c r="H248" s="191"/>
      <c r="I248" s="191"/>
      <c r="J248" s="191"/>
      <c r="K248" s="191"/>
      <c r="L248" s="191"/>
      <c r="M248" s="191"/>
      <c r="N248" s="19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191"/>
      <c r="H249" s="191"/>
      <c r="I249" s="191"/>
      <c r="J249" s="191"/>
      <c r="K249" s="191"/>
      <c r="L249" s="191"/>
      <c r="M249" s="191"/>
      <c r="N249" s="19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191"/>
      <c r="H250" s="191"/>
      <c r="I250" s="191"/>
      <c r="J250" s="191"/>
      <c r="K250" s="191"/>
      <c r="L250" s="191"/>
      <c r="M250" s="191"/>
      <c r="N250" s="19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191"/>
      <c r="H251" s="191"/>
      <c r="I251" s="191"/>
      <c r="J251" s="191"/>
      <c r="K251" s="191"/>
      <c r="L251" s="191"/>
      <c r="M251" s="191"/>
      <c r="N251" s="19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191"/>
      <c r="H252" s="191"/>
      <c r="I252" s="191"/>
      <c r="J252" s="191"/>
      <c r="K252" s="191"/>
      <c r="L252" s="191"/>
      <c r="M252" s="191"/>
      <c r="N252" s="19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191"/>
      <c r="H253" s="191"/>
      <c r="I253" s="191"/>
      <c r="J253" s="191"/>
      <c r="K253" s="191"/>
      <c r="L253" s="191"/>
      <c r="M253" s="191"/>
      <c r="N253" s="19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191"/>
      <c r="H254" s="191"/>
      <c r="I254" s="191"/>
      <c r="J254" s="191"/>
      <c r="K254" s="191"/>
      <c r="L254" s="191"/>
      <c r="M254" s="191"/>
      <c r="N254" s="19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191"/>
      <c r="H255" s="191"/>
      <c r="I255" s="191"/>
      <c r="J255" s="191"/>
      <c r="K255" s="191"/>
      <c r="L255" s="191"/>
      <c r="M255" s="191"/>
      <c r="N255" s="19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191"/>
      <c r="H256" s="191"/>
      <c r="I256" s="191"/>
      <c r="J256" s="191"/>
      <c r="K256" s="191"/>
      <c r="L256" s="191"/>
      <c r="M256" s="191"/>
      <c r="N256" s="19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191"/>
      <c r="H257" s="191"/>
      <c r="I257" s="191"/>
      <c r="J257" s="191"/>
      <c r="K257" s="191"/>
      <c r="L257" s="191"/>
      <c r="M257" s="191"/>
      <c r="N257" s="19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191"/>
      <c r="H258" s="191"/>
      <c r="I258" s="191"/>
      <c r="J258" s="191"/>
      <c r="K258" s="191"/>
      <c r="L258" s="191"/>
      <c r="M258" s="191"/>
      <c r="N258" s="19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191"/>
      <c r="H259" s="191"/>
      <c r="I259" s="191"/>
      <c r="J259" s="191"/>
      <c r="K259" s="191"/>
      <c r="L259" s="191"/>
      <c r="M259" s="191"/>
      <c r="N259" s="19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191"/>
      <c r="H260" s="191"/>
      <c r="I260" s="191"/>
      <c r="J260" s="191"/>
      <c r="K260" s="191"/>
      <c r="L260" s="191"/>
      <c r="M260" s="191"/>
      <c r="N260" s="19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191"/>
      <c r="H261" s="191"/>
      <c r="I261" s="191"/>
      <c r="J261" s="191"/>
      <c r="K261" s="191"/>
      <c r="L261" s="191"/>
      <c r="M261" s="191"/>
      <c r="N261" s="19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191"/>
      <c r="H262" s="191"/>
      <c r="I262" s="191"/>
      <c r="J262" s="191"/>
      <c r="K262" s="191"/>
      <c r="L262" s="191"/>
      <c r="M262" s="191"/>
      <c r="N262" s="19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191"/>
      <c r="H263" s="191"/>
      <c r="I263" s="191"/>
      <c r="J263" s="191"/>
      <c r="K263" s="191"/>
      <c r="L263" s="191"/>
      <c r="M263" s="191"/>
      <c r="N263" s="19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191"/>
      <c r="H264" s="191"/>
      <c r="I264" s="191"/>
      <c r="J264" s="191"/>
      <c r="K264" s="191"/>
      <c r="L264" s="191"/>
      <c r="M264" s="191"/>
      <c r="N264" s="19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191"/>
      <c r="H265" s="191"/>
      <c r="I265" s="191"/>
      <c r="J265" s="191"/>
      <c r="K265" s="191"/>
      <c r="L265" s="191"/>
      <c r="M265" s="191"/>
      <c r="N265" s="19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191"/>
      <c r="H266" s="191"/>
      <c r="I266" s="191"/>
      <c r="J266" s="191"/>
      <c r="K266" s="191"/>
      <c r="L266" s="191"/>
      <c r="M266" s="191"/>
      <c r="N266" s="19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191"/>
      <c r="H267" s="191"/>
      <c r="I267" s="191"/>
      <c r="J267" s="191"/>
      <c r="K267" s="191"/>
      <c r="L267" s="191"/>
      <c r="M267" s="191"/>
      <c r="N267" s="191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191"/>
      <c r="H268" s="191"/>
      <c r="I268" s="191"/>
      <c r="J268" s="191"/>
      <c r="K268" s="191"/>
      <c r="L268" s="191"/>
      <c r="M268" s="191"/>
      <c r="N268" s="19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191"/>
      <c r="H269" s="191"/>
      <c r="I269" s="191"/>
      <c r="J269" s="191"/>
      <c r="K269" s="191"/>
      <c r="L269" s="191"/>
      <c r="M269" s="191"/>
      <c r="N269" s="19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191"/>
      <c r="H270" s="191"/>
      <c r="I270" s="191"/>
      <c r="J270" s="191"/>
      <c r="K270" s="191"/>
      <c r="L270" s="191"/>
      <c r="M270" s="191"/>
      <c r="N270" s="19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191"/>
      <c r="H271" s="191"/>
      <c r="I271" s="191"/>
      <c r="J271" s="191"/>
      <c r="K271" s="191"/>
      <c r="L271" s="191"/>
      <c r="M271" s="191"/>
      <c r="N271" s="19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191"/>
      <c r="H272" s="191"/>
      <c r="I272" s="191"/>
      <c r="J272" s="191"/>
      <c r="K272" s="191"/>
      <c r="L272" s="191"/>
      <c r="M272" s="191"/>
      <c r="N272" s="19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191"/>
      <c r="H273" s="191"/>
      <c r="I273" s="191"/>
      <c r="J273" s="191"/>
      <c r="K273" s="191"/>
      <c r="L273" s="191"/>
      <c r="M273" s="191"/>
      <c r="N273" s="19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191"/>
      <c r="H274" s="191"/>
      <c r="I274" s="191"/>
      <c r="J274" s="191"/>
      <c r="K274" s="191"/>
      <c r="L274" s="191"/>
      <c r="M274" s="191"/>
      <c r="N274" s="19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191"/>
      <c r="H275" s="191"/>
      <c r="I275" s="191"/>
      <c r="J275" s="191"/>
      <c r="K275" s="191"/>
      <c r="L275" s="191"/>
      <c r="M275" s="191"/>
      <c r="N275" s="19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191"/>
      <c r="H276" s="191"/>
      <c r="I276" s="191"/>
      <c r="J276" s="191"/>
      <c r="K276" s="191"/>
      <c r="L276" s="191"/>
      <c r="M276" s="191"/>
      <c r="N276" s="19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191"/>
      <c r="H277" s="191"/>
      <c r="I277" s="191"/>
      <c r="J277" s="191"/>
      <c r="K277" s="191"/>
      <c r="L277" s="191"/>
      <c r="M277" s="191"/>
      <c r="N277" s="19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191"/>
      <c r="H278" s="191"/>
      <c r="I278" s="191"/>
      <c r="J278" s="191"/>
      <c r="K278" s="191"/>
      <c r="L278" s="191"/>
      <c r="M278" s="191"/>
      <c r="N278" s="19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191"/>
      <c r="H279" s="191"/>
      <c r="I279" s="191"/>
      <c r="J279" s="191"/>
      <c r="K279" s="191"/>
      <c r="L279" s="191"/>
      <c r="M279" s="191"/>
      <c r="N279" s="19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191"/>
      <c r="H280" s="191"/>
      <c r="I280" s="191"/>
      <c r="J280" s="191"/>
      <c r="K280" s="191"/>
      <c r="L280" s="191"/>
      <c r="M280" s="191"/>
      <c r="N280" s="19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191"/>
      <c r="H281" s="191"/>
      <c r="I281" s="191"/>
      <c r="J281" s="191"/>
      <c r="K281" s="191"/>
      <c r="L281" s="191"/>
      <c r="M281" s="191"/>
      <c r="N281" s="19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191"/>
      <c r="H282" s="191"/>
      <c r="I282" s="191"/>
      <c r="J282" s="191"/>
      <c r="K282" s="191"/>
      <c r="L282" s="191"/>
      <c r="M282" s="191"/>
      <c r="N282" s="19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191"/>
      <c r="H283" s="191"/>
      <c r="I283" s="191"/>
      <c r="J283" s="191"/>
      <c r="K283" s="191"/>
      <c r="L283" s="191"/>
      <c r="M283" s="191"/>
      <c r="N283" s="19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191"/>
      <c r="H284" s="191"/>
      <c r="I284" s="191"/>
      <c r="J284" s="191"/>
      <c r="K284" s="191"/>
      <c r="L284" s="191"/>
      <c r="M284" s="191"/>
      <c r="N284" s="19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191"/>
      <c r="H285" s="191"/>
      <c r="I285" s="191"/>
      <c r="J285" s="191"/>
      <c r="K285" s="191"/>
      <c r="L285" s="191"/>
      <c r="M285" s="191"/>
      <c r="N285" s="19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191"/>
      <c r="H286" s="191"/>
      <c r="I286" s="191"/>
      <c r="J286" s="191"/>
      <c r="K286" s="191"/>
      <c r="L286" s="191"/>
      <c r="M286" s="191"/>
      <c r="N286" s="19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191"/>
      <c r="H287" s="191"/>
      <c r="I287" s="191"/>
      <c r="J287" s="191"/>
      <c r="K287" s="191"/>
      <c r="L287" s="191"/>
      <c r="M287" s="191"/>
      <c r="N287" s="19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191"/>
      <c r="H288" s="191"/>
      <c r="I288" s="191"/>
      <c r="J288" s="191"/>
      <c r="K288" s="191"/>
      <c r="L288" s="191"/>
      <c r="M288" s="191"/>
      <c r="N288" s="19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191"/>
      <c r="H289" s="191"/>
      <c r="I289" s="191"/>
      <c r="J289" s="191"/>
      <c r="K289" s="191"/>
      <c r="L289" s="191"/>
      <c r="M289" s="191"/>
      <c r="N289" s="19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191"/>
      <c r="H290" s="191"/>
      <c r="I290" s="191"/>
      <c r="J290" s="191"/>
      <c r="K290" s="191"/>
      <c r="L290" s="191"/>
      <c r="M290" s="191"/>
      <c r="N290" s="19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191"/>
      <c r="H291" s="191"/>
      <c r="I291" s="191"/>
      <c r="J291" s="191"/>
      <c r="K291" s="191"/>
      <c r="L291" s="191"/>
      <c r="M291" s="191"/>
      <c r="N291" s="19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191"/>
      <c r="H292" s="191"/>
      <c r="I292" s="191"/>
      <c r="J292" s="191"/>
      <c r="K292" s="191"/>
      <c r="L292" s="191"/>
      <c r="M292" s="191"/>
      <c r="N292" s="19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191"/>
      <c r="H293" s="191"/>
      <c r="I293" s="191"/>
      <c r="J293" s="191"/>
      <c r="K293" s="191"/>
      <c r="L293" s="191"/>
      <c r="M293" s="191"/>
      <c r="N293" s="19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191"/>
      <c r="H294" s="191"/>
      <c r="I294" s="191"/>
      <c r="J294" s="191"/>
      <c r="K294" s="191"/>
      <c r="L294" s="191"/>
      <c r="M294" s="191"/>
      <c r="N294" s="19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191"/>
      <c r="H295" s="191"/>
      <c r="I295" s="191"/>
      <c r="J295" s="191"/>
      <c r="K295" s="191"/>
      <c r="L295" s="191"/>
      <c r="M295" s="191"/>
      <c r="N295" s="19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191"/>
      <c r="H296" s="191"/>
      <c r="I296" s="191"/>
      <c r="J296" s="191"/>
      <c r="K296" s="191"/>
      <c r="L296" s="191"/>
      <c r="M296" s="191"/>
      <c r="N296" s="19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191"/>
      <c r="H297" s="191"/>
      <c r="I297" s="191"/>
      <c r="J297" s="191"/>
      <c r="K297" s="191"/>
      <c r="L297" s="191"/>
      <c r="M297" s="191"/>
      <c r="N297" s="19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191"/>
      <c r="H298" s="191"/>
      <c r="I298" s="191"/>
      <c r="J298" s="191"/>
      <c r="K298" s="191"/>
      <c r="L298" s="191"/>
      <c r="M298" s="191"/>
      <c r="N298" s="19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191"/>
      <c r="H299" s="191"/>
      <c r="I299" s="191"/>
      <c r="J299" s="191"/>
      <c r="K299" s="191"/>
      <c r="L299" s="191"/>
      <c r="M299" s="191"/>
      <c r="N299" s="19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191"/>
      <c r="H300" s="191"/>
      <c r="I300" s="191"/>
      <c r="J300" s="191"/>
      <c r="K300" s="191"/>
      <c r="L300" s="191"/>
      <c r="M300" s="191"/>
      <c r="N300" s="19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191"/>
      <c r="H301" s="191"/>
      <c r="I301" s="191"/>
      <c r="J301" s="191"/>
      <c r="K301" s="191"/>
      <c r="L301" s="191"/>
      <c r="M301" s="191"/>
      <c r="N301" s="19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191"/>
      <c r="H302" s="191"/>
      <c r="I302" s="191"/>
      <c r="J302" s="191"/>
      <c r="K302" s="191"/>
      <c r="L302" s="191"/>
      <c r="M302" s="191"/>
      <c r="N302" s="19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191"/>
      <c r="H303" s="191"/>
      <c r="I303" s="191"/>
      <c r="J303" s="191"/>
      <c r="K303" s="191"/>
      <c r="L303" s="191"/>
      <c r="M303" s="191"/>
      <c r="N303" s="19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191"/>
      <c r="H304" s="191"/>
      <c r="I304" s="191"/>
      <c r="J304" s="191"/>
      <c r="K304" s="191"/>
      <c r="L304" s="191"/>
      <c r="M304" s="191"/>
      <c r="N304" s="191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191"/>
      <c r="H305" s="191"/>
      <c r="I305" s="191"/>
      <c r="J305" s="191"/>
      <c r="K305" s="191"/>
      <c r="L305" s="191"/>
      <c r="M305" s="191"/>
      <c r="N305" s="19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191"/>
      <c r="H306" s="191"/>
      <c r="I306" s="191"/>
      <c r="J306" s="191"/>
      <c r="K306" s="191"/>
      <c r="L306" s="191"/>
      <c r="M306" s="191"/>
      <c r="N306" s="19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191"/>
      <c r="H307" s="191"/>
      <c r="I307" s="191"/>
      <c r="J307" s="191"/>
      <c r="K307" s="191"/>
      <c r="L307" s="191"/>
      <c r="M307" s="191"/>
      <c r="N307" s="19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191"/>
      <c r="H308" s="191"/>
      <c r="I308" s="191"/>
      <c r="J308" s="191"/>
      <c r="K308" s="191"/>
      <c r="L308" s="191"/>
      <c r="M308" s="191"/>
      <c r="N308" s="19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191"/>
      <c r="H309" s="191"/>
      <c r="I309" s="191"/>
      <c r="J309" s="191"/>
      <c r="K309" s="191"/>
      <c r="L309" s="191"/>
      <c r="M309" s="191"/>
      <c r="N309" s="19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191"/>
      <c r="H310" s="191"/>
      <c r="I310" s="191"/>
      <c r="J310" s="191"/>
      <c r="K310" s="191"/>
      <c r="L310" s="191"/>
      <c r="M310" s="191"/>
      <c r="N310" s="19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191"/>
      <c r="H311" s="191"/>
      <c r="I311" s="191"/>
      <c r="J311" s="191"/>
      <c r="K311" s="191"/>
      <c r="L311" s="191"/>
      <c r="M311" s="191"/>
      <c r="N311" s="19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191"/>
      <c r="H312" s="191"/>
      <c r="I312" s="191"/>
      <c r="J312" s="191"/>
      <c r="K312" s="191"/>
      <c r="L312" s="191"/>
      <c r="M312" s="191"/>
      <c r="N312" s="19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191"/>
      <c r="H313" s="191"/>
      <c r="I313" s="191"/>
      <c r="J313" s="191"/>
      <c r="K313" s="191"/>
      <c r="L313" s="191"/>
      <c r="M313" s="191"/>
      <c r="N313" s="19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191"/>
      <c r="H314" s="191"/>
      <c r="I314" s="191"/>
      <c r="J314" s="191"/>
      <c r="K314" s="191"/>
      <c r="L314" s="191"/>
      <c r="M314" s="191"/>
      <c r="N314" s="19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191"/>
      <c r="H315" s="191"/>
      <c r="I315" s="191"/>
      <c r="J315" s="191"/>
      <c r="K315" s="191"/>
      <c r="L315" s="191"/>
      <c r="M315" s="191"/>
      <c r="N315" s="19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191"/>
      <c r="H316" s="191"/>
      <c r="I316" s="191"/>
      <c r="J316" s="191"/>
      <c r="K316" s="191"/>
      <c r="L316" s="191"/>
      <c r="M316" s="191"/>
      <c r="N316" s="19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191"/>
      <c r="H317" s="191"/>
      <c r="I317" s="191"/>
      <c r="J317" s="191"/>
      <c r="K317" s="191"/>
      <c r="L317" s="191"/>
      <c r="M317" s="191"/>
      <c r="N317" s="19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191"/>
      <c r="H318" s="191"/>
      <c r="I318" s="191"/>
      <c r="J318" s="191"/>
      <c r="K318" s="191"/>
      <c r="L318" s="191"/>
      <c r="M318" s="191"/>
      <c r="N318" s="19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191"/>
      <c r="H319" s="191"/>
      <c r="I319" s="191"/>
      <c r="J319" s="191"/>
      <c r="K319" s="191"/>
      <c r="L319" s="191"/>
      <c r="M319" s="191"/>
      <c r="N319" s="19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191"/>
      <c r="H320" s="191"/>
      <c r="I320" s="191"/>
      <c r="J320" s="191"/>
      <c r="K320" s="191"/>
      <c r="L320" s="191"/>
      <c r="M320" s="191"/>
      <c r="N320" s="19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191"/>
      <c r="H321" s="191"/>
      <c r="I321" s="191"/>
      <c r="J321" s="191"/>
      <c r="K321" s="191"/>
      <c r="L321" s="191"/>
      <c r="M321" s="191"/>
      <c r="N321" s="19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191"/>
      <c r="H322" s="191"/>
      <c r="I322" s="191"/>
      <c r="J322" s="191"/>
      <c r="K322" s="191"/>
      <c r="L322" s="191"/>
      <c r="M322" s="191"/>
      <c r="N322" s="19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191"/>
      <c r="H323" s="191"/>
      <c r="I323" s="191"/>
      <c r="J323" s="191"/>
      <c r="K323" s="191"/>
      <c r="L323" s="191"/>
      <c r="M323" s="191"/>
      <c r="N323" s="19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191"/>
      <c r="H324" s="191"/>
      <c r="I324" s="191"/>
      <c r="J324" s="191"/>
      <c r="K324" s="191"/>
      <c r="L324" s="191"/>
      <c r="M324" s="191"/>
      <c r="N324" s="19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191"/>
      <c r="H325" s="191"/>
      <c r="I325" s="191"/>
      <c r="J325" s="191"/>
      <c r="K325" s="191"/>
      <c r="L325" s="191"/>
      <c r="M325" s="191"/>
      <c r="N325" s="19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191"/>
      <c r="H326" s="191"/>
      <c r="I326" s="191"/>
      <c r="J326" s="191"/>
      <c r="K326" s="191"/>
      <c r="L326" s="191"/>
      <c r="M326" s="191"/>
      <c r="N326" s="19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191"/>
      <c r="H327" s="191"/>
      <c r="I327" s="191"/>
      <c r="J327" s="191"/>
      <c r="K327" s="191"/>
      <c r="L327" s="191"/>
      <c r="M327" s="191"/>
      <c r="N327" s="19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191"/>
      <c r="H328" s="191"/>
      <c r="I328" s="191"/>
      <c r="J328" s="191"/>
      <c r="K328" s="191"/>
      <c r="L328" s="191"/>
      <c r="M328" s="191"/>
      <c r="N328" s="19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191"/>
      <c r="H329" s="191"/>
      <c r="I329" s="191"/>
      <c r="J329" s="191"/>
      <c r="K329" s="191"/>
      <c r="L329" s="191"/>
      <c r="M329" s="191"/>
      <c r="N329" s="19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191"/>
      <c r="H330" s="191"/>
      <c r="I330" s="191"/>
      <c r="J330" s="191"/>
      <c r="K330" s="191"/>
      <c r="L330" s="191"/>
      <c r="M330" s="191"/>
      <c r="N330" s="19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191"/>
      <c r="H331" s="191"/>
      <c r="I331" s="191"/>
      <c r="J331" s="191"/>
      <c r="K331" s="191"/>
      <c r="L331" s="191"/>
      <c r="M331" s="191"/>
      <c r="N331" s="19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191"/>
      <c r="H332" s="191"/>
      <c r="I332" s="191"/>
      <c r="J332" s="191"/>
      <c r="K332" s="191"/>
      <c r="L332" s="191"/>
      <c r="M332" s="191"/>
      <c r="N332" s="19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191"/>
      <c r="H333" s="191"/>
      <c r="I333" s="191"/>
      <c r="J333" s="191"/>
      <c r="K333" s="191"/>
      <c r="L333" s="191"/>
      <c r="M333" s="191"/>
      <c r="N333" s="19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191"/>
      <c r="H334" s="191"/>
      <c r="I334" s="191"/>
      <c r="J334" s="191"/>
      <c r="K334" s="191"/>
      <c r="L334" s="191"/>
      <c r="M334" s="191"/>
      <c r="N334" s="19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191"/>
      <c r="H335" s="191"/>
      <c r="I335" s="191"/>
      <c r="J335" s="191"/>
      <c r="K335" s="191"/>
      <c r="L335" s="191"/>
      <c r="M335" s="191"/>
      <c r="N335" s="19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191"/>
      <c r="H336" s="191"/>
      <c r="I336" s="191"/>
      <c r="J336" s="191"/>
      <c r="K336" s="191"/>
      <c r="L336" s="191"/>
      <c r="M336" s="191"/>
      <c r="N336" s="19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191"/>
      <c r="H337" s="191"/>
      <c r="I337" s="191"/>
      <c r="J337" s="191"/>
      <c r="K337" s="191"/>
      <c r="L337" s="191"/>
      <c r="M337" s="191"/>
      <c r="N337" s="19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191"/>
      <c r="H338" s="191"/>
      <c r="I338" s="191"/>
      <c r="J338" s="191"/>
      <c r="K338" s="191"/>
      <c r="L338" s="191"/>
      <c r="M338" s="191"/>
      <c r="N338" s="19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191"/>
      <c r="H339" s="191"/>
      <c r="I339" s="191"/>
      <c r="J339" s="191"/>
      <c r="K339" s="191"/>
      <c r="L339" s="191"/>
      <c r="M339" s="191"/>
      <c r="N339" s="19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191"/>
      <c r="H340" s="191"/>
      <c r="I340" s="191"/>
      <c r="J340" s="191"/>
      <c r="K340" s="191"/>
      <c r="L340" s="191"/>
      <c r="M340" s="191"/>
      <c r="N340" s="19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191"/>
      <c r="H341" s="191"/>
      <c r="I341" s="191"/>
      <c r="J341" s="191"/>
      <c r="K341" s="191"/>
      <c r="L341" s="191"/>
      <c r="M341" s="191"/>
      <c r="N341" s="19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191"/>
      <c r="H342" s="191"/>
      <c r="I342" s="191"/>
      <c r="J342" s="191"/>
      <c r="K342" s="191"/>
      <c r="L342" s="191"/>
      <c r="M342" s="191"/>
      <c r="N342" s="19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191"/>
      <c r="H343" s="191"/>
      <c r="I343" s="191"/>
      <c r="J343" s="191"/>
      <c r="K343" s="191"/>
      <c r="L343" s="191"/>
      <c r="M343" s="191"/>
      <c r="N343" s="19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191"/>
      <c r="H344" s="191"/>
      <c r="I344" s="191"/>
      <c r="J344" s="191"/>
      <c r="K344" s="191"/>
      <c r="L344" s="191"/>
      <c r="M344" s="191"/>
      <c r="N344" s="19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191"/>
      <c r="H345" s="191"/>
      <c r="I345" s="191"/>
      <c r="J345" s="191"/>
      <c r="K345" s="191"/>
      <c r="L345" s="191"/>
      <c r="M345" s="191"/>
      <c r="N345" s="19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191"/>
      <c r="H346" s="191"/>
      <c r="I346" s="191"/>
      <c r="J346" s="191"/>
      <c r="K346" s="191"/>
      <c r="L346" s="191"/>
      <c r="M346" s="191"/>
      <c r="N346" s="19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191"/>
      <c r="H347" s="191"/>
      <c r="I347" s="191"/>
      <c r="J347" s="191"/>
      <c r="K347" s="191"/>
      <c r="L347" s="191"/>
      <c r="M347" s="191"/>
      <c r="N347" s="19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191"/>
      <c r="H348" s="191"/>
      <c r="I348" s="191"/>
      <c r="J348" s="191"/>
      <c r="K348" s="191"/>
      <c r="L348" s="191"/>
      <c r="M348" s="191"/>
      <c r="N348" s="19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191"/>
      <c r="H349" s="191"/>
      <c r="I349" s="191"/>
      <c r="J349" s="191"/>
      <c r="K349" s="191"/>
      <c r="L349" s="191"/>
      <c r="M349" s="191"/>
      <c r="N349" s="19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191"/>
      <c r="H350" s="191"/>
      <c r="I350" s="191"/>
      <c r="J350" s="191"/>
      <c r="K350" s="191"/>
      <c r="L350" s="191"/>
      <c r="M350" s="191"/>
      <c r="N350" s="19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191"/>
      <c r="H351" s="191"/>
      <c r="I351" s="191"/>
      <c r="J351" s="191"/>
      <c r="K351" s="191"/>
      <c r="L351" s="191"/>
      <c r="M351" s="191"/>
      <c r="N351" s="19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191"/>
      <c r="H352" s="191"/>
      <c r="I352" s="191"/>
      <c r="J352" s="191"/>
      <c r="K352" s="191"/>
      <c r="L352" s="191"/>
      <c r="M352" s="191"/>
      <c r="N352" s="19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191"/>
      <c r="H353" s="191"/>
      <c r="I353" s="191"/>
      <c r="J353" s="191"/>
      <c r="K353" s="191"/>
      <c r="L353" s="191"/>
      <c r="M353" s="191"/>
      <c r="N353" s="19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191"/>
      <c r="H354" s="191"/>
      <c r="I354" s="191"/>
      <c r="J354" s="191"/>
      <c r="K354" s="191"/>
      <c r="L354" s="191"/>
      <c r="M354" s="191"/>
      <c r="N354" s="19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191"/>
      <c r="H355" s="191"/>
      <c r="I355" s="191"/>
      <c r="J355" s="191"/>
      <c r="K355" s="191"/>
      <c r="L355" s="191"/>
      <c r="M355" s="191"/>
      <c r="N355" s="19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191"/>
      <c r="H356" s="191"/>
      <c r="I356" s="191"/>
      <c r="J356" s="191"/>
      <c r="K356" s="191"/>
      <c r="L356" s="191"/>
      <c r="M356" s="191"/>
      <c r="N356" s="19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191"/>
      <c r="H357" s="191"/>
      <c r="I357" s="191"/>
      <c r="J357" s="191"/>
      <c r="K357" s="191"/>
      <c r="L357" s="191"/>
      <c r="M357" s="191"/>
      <c r="N357" s="19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191"/>
      <c r="H358" s="191"/>
      <c r="I358" s="191"/>
      <c r="J358" s="191"/>
      <c r="K358" s="191"/>
      <c r="L358" s="191"/>
      <c r="M358" s="191"/>
      <c r="N358" s="19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191"/>
      <c r="H359" s="191"/>
      <c r="I359" s="191"/>
      <c r="J359" s="191"/>
      <c r="K359" s="191"/>
      <c r="L359" s="191"/>
      <c r="M359" s="191"/>
      <c r="N359" s="19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191"/>
      <c r="H360" s="191"/>
      <c r="I360" s="191"/>
      <c r="J360" s="191"/>
      <c r="K360" s="191"/>
      <c r="L360" s="191"/>
      <c r="M360" s="191"/>
      <c r="N360" s="19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191"/>
      <c r="H361" s="191"/>
      <c r="I361" s="191"/>
      <c r="J361" s="191"/>
      <c r="K361" s="191"/>
      <c r="L361" s="191"/>
      <c r="M361" s="191"/>
      <c r="N361" s="19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191"/>
      <c r="H362" s="191"/>
      <c r="I362" s="191"/>
      <c r="J362" s="191"/>
      <c r="K362" s="191"/>
      <c r="L362" s="191"/>
      <c r="M362" s="191"/>
      <c r="N362" s="19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191"/>
      <c r="H363" s="191"/>
      <c r="I363" s="191"/>
      <c r="J363" s="191"/>
      <c r="K363" s="191"/>
      <c r="L363" s="191"/>
      <c r="M363" s="191"/>
      <c r="N363" s="19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191"/>
      <c r="H364" s="191"/>
      <c r="I364" s="191"/>
      <c r="J364" s="191"/>
      <c r="K364" s="191"/>
      <c r="L364" s="191"/>
      <c r="M364" s="191"/>
      <c r="N364" s="19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191"/>
      <c r="H365" s="191"/>
      <c r="I365" s="191"/>
      <c r="J365" s="191"/>
      <c r="K365" s="191"/>
      <c r="L365" s="191"/>
      <c r="M365" s="191"/>
      <c r="N365" s="19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191"/>
      <c r="H366" s="191"/>
      <c r="I366" s="191"/>
      <c r="J366" s="191"/>
      <c r="K366" s="191"/>
      <c r="L366" s="191"/>
      <c r="M366" s="191"/>
      <c r="N366" s="19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191"/>
      <c r="H367" s="191"/>
      <c r="I367" s="191"/>
      <c r="J367" s="191"/>
      <c r="K367" s="191"/>
      <c r="L367" s="191"/>
      <c r="M367" s="191"/>
      <c r="N367" s="19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191"/>
      <c r="H368" s="191"/>
      <c r="I368" s="191"/>
      <c r="J368" s="191"/>
      <c r="K368" s="191"/>
      <c r="L368" s="191"/>
      <c r="M368" s="191"/>
      <c r="N368" s="19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191"/>
      <c r="H369" s="191"/>
      <c r="I369" s="191"/>
      <c r="J369" s="191"/>
      <c r="K369" s="191"/>
      <c r="L369" s="191"/>
      <c r="M369" s="191"/>
      <c r="N369" s="19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191"/>
      <c r="H370" s="191"/>
      <c r="I370" s="191"/>
      <c r="J370" s="191"/>
      <c r="K370" s="191"/>
      <c r="L370" s="191"/>
      <c r="M370" s="191"/>
      <c r="N370" s="19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191"/>
      <c r="H371" s="191"/>
      <c r="I371" s="191"/>
      <c r="J371" s="191"/>
      <c r="K371" s="191"/>
      <c r="L371" s="191"/>
      <c r="M371" s="191"/>
      <c r="N371" s="19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191"/>
      <c r="H372" s="191"/>
      <c r="I372" s="191"/>
      <c r="J372" s="191"/>
      <c r="K372" s="191"/>
      <c r="L372" s="191"/>
      <c r="M372" s="191"/>
      <c r="N372" s="19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191"/>
      <c r="H373" s="191"/>
      <c r="I373" s="191"/>
      <c r="J373" s="191"/>
      <c r="K373" s="191"/>
      <c r="L373" s="191"/>
      <c r="M373" s="191"/>
      <c r="N373" s="19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191"/>
      <c r="H374" s="191"/>
      <c r="I374" s="191"/>
      <c r="J374" s="191"/>
      <c r="K374" s="191"/>
      <c r="L374" s="191"/>
      <c r="M374" s="191"/>
      <c r="N374" s="19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191"/>
      <c r="H375" s="191"/>
      <c r="I375" s="191"/>
      <c r="J375" s="191"/>
      <c r="K375" s="191"/>
      <c r="L375" s="191"/>
      <c r="M375" s="191"/>
      <c r="N375" s="19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191"/>
      <c r="H376" s="191"/>
      <c r="I376" s="191"/>
      <c r="J376" s="191"/>
      <c r="K376" s="191"/>
      <c r="L376" s="191"/>
      <c r="M376" s="191"/>
      <c r="N376" s="19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191"/>
      <c r="H377" s="191"/>
      <c r="I377" s="191"/>
      <c r="J377" s="191"/>
      <c r="K377" s="191"/>
      <c r="L377" s="191"/>
      <c r="M377" s="191"/>
      <c r="N377" s="19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191"/>
      <c r="H378" s="191"/>
      <c r="I378" s="191"/>
      <c r="J378" s="191"/>
      <c r="K378" s="191"/>
      <c r="L378" s="191"/>
      <c r="M378" s="191"/>
      <c r="N378" s="19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191"/>
      <c r="H379" s="191"/>
      <c r="I379" s="191"/>
      <c r="J379" s="191"/>
      <c r="K379" s="191"/>
      <c r="L379" s="191"/>
      <c r="M379" s="191"/>
      <c r="N379" s="19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191"/>
      <c r="H380" s="191"/>
      <c r="I380" s="191"/>
      <c r="J380" s="191"/>
      <c r="K380" s="191"/>
      <c r="L380" s="191"/>
      <c r="M380" s="191"/>
      <c r="N380" s="19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191"/>
      <c r="H381" s="191"/>
      <c r="I381" s="191"/>
      <c r="J381" s="191"/>
      <c r="K381" s="191"/>
      <c r="L381" s="191"/>
      <c r="M381" s="191"/>
      <c r="N381" s="19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191"/>
      <c r="H382" s="191"/>
      <c r="I382" s="191"/>
      <c r="J382" s="191"/>
      <c r="K382" s="191"/>
      <c r="L382" s="191"/>
      <c r="M382" s="191"/>
      <c r="N382" s="19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191"/>
      <c r="H383" s="191"/>
      <c r="I383" s="191"/>
      <c r="J383" s="191"/>
      <c r="K383" s="191"/>
      <c r="L383" s="191"/>
      <c r="M383" s="191"/>
      <c r="N383" s="19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191"/>
      <c r="H384" s="191"/>
      <c r="I384" s="191"/>
      <c r="J384" s="191"/>
      <c r="K384" s="191"/>
      <c r="L384" s="191"/>
      <c r="M384" s="191"/>
      <c r="N384" s="19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191"/>
      <c r="H385" s="191"/>
      <c r="I385" s="191"/>
      <c r="J385" s="191"/>
      <c r="K385" s="191"/>
      <c r="L385" s="191"/>
      <c r="M385" s="191"/>
      <c r="N385" s="19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191"/>
      <c r="H386" s="191"/>
      <c r="I386" s="191"/>
      <c r="J386" s="191"/>
      <c r="K386" s="191"/>
      <c r="L386" s="191"/>
      <c r="M386" s="191"/>
      <c r="N386" s="19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191"/>
      <c r="H387" s="191"/>
      <c r="I387" s="191"/>
      <c r="J387" s="191"/>
      <c r="K387" s="191"/>
      <c r="L387" s="191"/>
      <c r="M387" s="191"/>
      <c r="N387" s="19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191"/>
      <c r="H388" s="191"/>
      <c r="I388" s="191"/>
      <c r="J388" s="191"/>
      <c r="K388" s="191"/>
      <c r="L388" s="191"/>
      <c r="M388" s="191"/>
      <c r="N388" s="19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191"/>
      <c r="H389" s="191"/>
      <c r="I389" s="191"/>
      <c r="J389" s="191"/>
      <c r="K389" s="191"/>
      <c r="L389" s="191"/>
      <c r="M389" s="191"/>
      <c r="N389" s="19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191"/>
      <c r="H390" s="191"/>
      <c r="I390" s="191"/>
      <c r="J390" s="191"/>
      <c r="K390" s="191"/>
      <c r="L390" s="191"/>
      <c r="M390" s="191"/>
      <c r="N390" s="19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191"/>
      <c r="H391" s="191"/>
      <c r="I391" s="191"/>
      <c r="J391" s="191"/>
      <c r="K391" s="191"/>
      <c r="L391" s="191"/>
      <c r="M391" s="191"/>
      <c r="N391" s="19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191"/>
      <c r="H392" s="191"/>
      <c r="I392" s="191"/>
      <c r="J392" s="191"/>
      <c r="K392" s="191"/>
      <c r="L392" s="191"/>
      <c r="M392" s="191"/>
      <c r="N392" s="19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191"/>
      <c r="H393" s="191"/>
      <c r="I393" s="191"/>
      <c r="J393" s="191"/>
      <c r="K393" s="191"/>
      <c r="L393" s="191"/>
      <c r="M393" s="191"/>
      <c r="N393" s="19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191"/>
      <c r="H394" s="191"/>
      <c r="I394" s="191"/>
      <c r="J394" s="191"/>
      <c r="K394" s="191"/>
      <c r="L394" s="191"/>
      <c r="M394" s="191"/>
      <c r="N394" s="19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191"/>
      <c r="H395" s="191"/>
      <c r="I395" s="191"/>
      <c r="J395" s="191"/>
      <c r="K395" s="191"/>
      <c r="L395" s="191"/>
      <c r="M395" s="191"/>
      <c r="N395" s="19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191"/>
      <c r="H396" s="191"/>
      <c r="I396" s="191"/>
      <c r="J396" s="191"/>
      <c r="K396" s="191"/>
      <c r="L396" s="191"/>
      <c r="M396" s="191"/>
      <c r="N396" s="19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191"/>
      <c r="H397" s="191"/>
      <c r="I397" s="191"/>
      <c r="J397" s="191"/>
      <c r="K397" s="191"/>
      <c r="L397" s="191"/>
      <c r="M397" s="191"/>
      <c r="N397" s="19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191"/>
      <c r="H398" s="191"/>
      <c r="I398" s="191"/>
      <c r="J398" s="191"/>
      <c r="K398" s="191"/>
      <c r="L398" s="191"/>
      <c r="M398" s="191"/>
      <c r="N398" s="19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191"/>
      <c r="H399" s="191"/>
      <c r="I399" s="191"/>
      <c r="J399" s="191"/>
      <c r="K399" s="191"/>
      <c r="L399" s="191"/>
      <c r="M399" s="191"/>
      <c r="N399" s="19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191"/>
      <c r="H400" s="191"/>
      <c r="I400" s="191"/>
      <c r="J400" s="191"/>
      <c r="K400" s="191"/>
      <c r="L400" s="191"/>
      <c r="M400" s="191"/>
      <c r="N400" s="19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191"/>
      <c r="H401" s="191"/>
      <c r="I401" s="191"/>
      <c r="J401" s="191"/>
      <c r="K401" s="191"/>
      <c r="L401" s="191"/>
      <c r="M401" s="191"/>
      <c r="N401" s="19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191"/>
      <c r="H402" s="191"/>
      <c r="I402" s="191"/>
      <c r="J402" s="191"/>
      <c r="K402" s="191"/>
      <c r="L402" s="191"/>
      <c r="M402" s="191"/>
      <c r="N402" s="19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191"/>
      <c r="H403" s="191"/>
      <c r="I403" s="191"/>
      <c r="J403" s="191"/>
      <c r="K403" s="191"/>
      <c r="L403" s="191"/>
      <c r="M403" s="191"/>
      <c r="N403" s="19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191"/>
      <c r="H404" s="191"/>
      <c r="I404" s="191"/>
      <c r="J404" s="191"/>
      <c r="K404" s="191"/>
      <c r="L404" s="191"/>
      <c r="M404" s="191"/>
      <c r="N404" s="19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191"/>
      <c r="H405" s="191"/>
      <c r="I405" s="191"/>
      <c r="J405" s="191"/>
      <c r="K405" s="191"/>
      <c r="L405" s="191"/>
      <c r="M405" s="191"/>
      <c r="N405" s="19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191"/>
      <c r="H406" s="191"/>
      <c r="I406" s="191"/>
      <c r="J406" s="191"/>
      <c r="K406" s="191"/>
      <c r="L406" s="191"/>
      <c r="M406" s="191"/>
      <c r="N406" s="19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191"/>
      <c r="H407" s="191"/>
      <c r="I407" s="191"/>
      <c r="J407" s="191"/>
      <c r="K407" s="191"/>
      <c r="L407" s="191"/>
      <c r="M407" s="191"/>
      <c r="N407" s="19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191"/>
      <c r="H408" s="191"/>
      <c r="I408" s="191"/>
      <c r="J408" s="191"/>
      <c r="K408" s="191"/>
      <c r="L408" s="191"/>
      <c r="M408" s="191"/>
      <c r="N408" s="19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191"/>
      <c r="H409" s="191"/>
      <c r="I409" s="191"/>
      <c r="J409" s="191"/>
      <c r="K409" s="191"/>
      <c r="L409" s="191"/>
      <c r="M409" s="191"/>
      <c r="N409" s="19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191"/>
      <c r="H410" s="191"/>
      <c r="I410" s="191"/>
      <c r="J410" s="191"/>
      <c r="K410" s="191"/>
      <c r="L410" s="191"/>
      <c r="M410" s="191"/>
      <c r="N410" s="19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191"/>
      <c r="H411" s="191"/>
      <c r="I411" s="191"/>
      <c r="J411" s="191"/>
      <c r="K411" s="191"/>
      <c r="L411" s="191"/>
      <c r="M411" s="191"/>
      <c r="N411" s="19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191"/>
      <c r="H412" s="191"/>
      <c r="I412" s="191"/>
      <c r="J412" s="191"/>
      <c r="K412" s="191"/>
      <c r="L412" s="191"/>
      <c r="M412" s="191"/>
      <c r="N412" s="19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191"/>
      <c r="H413" s="191"/>
      <c r="I413" s="191"/>
      <c r="J413" s="191"/>
      <c r="K413" s="191"/>
      <c r="L413" s="191"/>
      <c r="M413" s="191"/>
      <c r="N413" s="19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191"/>
      <c r="H414" s="191"/>
      <c r="I414" s="191"/>
      <c r="J414" s="191"/>
      <c r="K414" s="191"/>
      <c r="L414" s="191"/>
      <c r="M414" s="191"/>
      <c r="N414" s="19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191"/>
      <c r="H415" s="191"/>
      <c r="I415" s="191"/>
      <c r="J415" s="191"/>
      <c r="K415" s="191"/>
      <c r="L415" s="191"/>
      <c r="M415" s="191"/>
      <c r="N415" s="19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191"/>
      <c r="H416" s="191"/>
      <c r="I416" s="191"/>
      <c r="J416" s="191"/>
      <c r="K416" s="191"/>
      <c r="L416" s="191"/>
      <c r="M416" s="191"/>
      <c r="N416" s="19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191"/>
      <c r="H417" s="191"/>
      <c r="I417" s="191"/>
      <c r="J417" s="191"/>
      <c r="K417" s="191"/>
      <c r="L417" s="191"/>
      <c r="M417" s="191"/>
      <c r="N417" s="19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191"/>
      <c r="H418" s="191"/>
      <c r="I418" s="191"/>
      <c r="J418" s="191"/>
      <c r="K418" s="191"/>
      <c r="L418" s="191"/>
      <c r="M418" s="191"/>
      <c r="N418" s="19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191"/>
      <c r="H419" s="191"/>
      <c r="I419" s="191"/>
      <c r="J419" s="191"/>
      <c r="K419" s="191"/>
      <c r="L419" s="191"/>
      <c r="M419" s="191"/>
      <c r="N419" s="19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191"/>
      <c r="H420" s="191"/>
      <c r="I420" s="191"/>
      <c r="J420" s="191"/>
      <c r="K420" s="191"/>
      <c r="L420" s="191"/>
      <c r="M420" s="191"/>
      <c r="N420" s="19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191"/>
      <c r="H421" s="191"/>
      <c r="I421" s="191"/>
      <c r="J421" s="191"/>
      <c r="K421" s="191"/>
      <c r="L421" s="191"/>
      <c r="M421" s="191"/>
      <c r="N421" s="19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191"/>
      <c r="H422" s="191"/>
      <c r="I422" s="191"/>
      <c r="J422" s="191"/>
      <c r="K422" s="191"/>
      <c r="L422" s="191"/>
      <c r="M422" s="191"/>
      <c r="N422" s="19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191"/>
      <c r="H423" s="191"/>
      <c r="I423" s="191"/>
      <c r="J423" s="191"/>
      <c r="K423" s="191"/>
      <c r="L423" s="191"/>
      <c r="M423" s="191"/>
      <c r="N423" s="19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191"/>
      <c r="H424" s="191"/>
      <c r="I424" s="191"/>
      <c r="J424" s="191"/>
      <c r="K424" s="191"/>
      <c r="L424" s="191"/>
      <c r="M424" s="191"/>
      <c r="N424" s="19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191"/>
      <c r="H425" s="191"/>
      <c r="I425" s="191"/>
      <c r="J425" s="191"/>
      <c r="K425" s="191"/>
      <c r="L425" s="191"/>
      <c r="M425" s="191"/>
      <c r="N425" s="19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191"/>
      <c r="H426" s="191"/>
      <c r="I426" s="191"/>
      <c r="J426" s="191"/>
      <c r="K426" s="191"/>
      <c r="L426" s="191"/>
      <c r="M426" s="191"/>
      <c r="N426" s="19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191"/>
      <c r="H427" s="191"/>
      <c r="I427" s="191"/>
      <c r="J427" s="191"/>
      <c r="K427" s="191"/>
      <c r="L427" s="191"/>
      <c r="M427" s="191"/>
      <c r="N427" s="19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191"/>
      <c r="H428" s="191"/>
      <c r="I428" s="191"/>
      <c r="J428" s="191"/>
      <c r="K428" s="191"/>
      <c r="L428" s="191"/>
      <c r="M428" s="191"/>
      <c r="N428" s="19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191"/>
      <c r="H429" s="191"/>
      <c r="I429" s="191"/>
      <c r="J429" s="191"/>
      <c r="K429" s="191"/>
      <c r="L429" s="191"/>
      <c r="M429" s="191"/>
      <c r="N429" s="19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191"/>
      <c r="H430" s="191"/>
      <c r="I430" s="191"/>
      <c r="J430" s="191"/>
      <c r="K430" s="191"/>
      <c r="L430" s="191"/>
      <c r="M430" s="191"/>
      <c r="N430" s="19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191"/>
      <c r="H431" s="191"/>
      <c r="I431" s="191"/>
      <c r="J431" s="191"/>
      <c r="K431" s="191"/>
      <c r="L431" s="191"/>
      <c r="M431" s="191"/>
      <c r="N431" s="19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191"/>
      <c r="H432" s="191"/>
      <c r="I432" s="191"/>
      <c r="J432" s="191"/>
      <c r="K432" s="191"/>
      <c r="L432" s="191"/>
      <c r="M432" s="191"/>
      <c r="N432" s="19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191"/>
      <c r="H433" s="191"/>
      <c r="I433" s="191"/>
      <c r="J433" s="191"/>
      <c r="K433" s="191"/>
      <c r="L433" s="191"/>
      <c r="M433" s="191"/>
      <c r="N433" s="19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191"/>
      <c r="H434" s="191"/>
      <c r="I434" s="191"/>
      <c r="J434" s="191"/>
      <c r="K434" s="191"/>
      <c r="L434" s="191"/>
      <c r="M434" s="191"/>
      <c r="N434" s="19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191"/>
      <c r="H435" s="191"/>
      <c r="I435" s="191"/>
      <c r="J435" s="191"/>
      <c r="K435" s="191"/>
      <c r="L435" s="191"/>
      <c r="M435" s="191"/>
      <c r="N435" s="19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191"/>
      <c r="H436" s="191"/>
      <c r="I436" s="191"/>
      <c r="J436" s="191"/>
      <c r="K436" s="191"/>
      <c r="L436" s="191"/>
      <c r="M436" s="191"/>
      <c r="N436" s="19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191"/>
      <c r="H437" s="191"/>
      <c r="I437" s="191"/>
      <c r="J437" s="191"/>
      <c r="K437" s="191"/>
      <c r="L437" s="191"/>
      <c r="M437" s="191"/>
      <c r="N437" s="19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191"/>
      <c r="H438" s="191"/>
      <c r="I438" s="191"/>
      <c r="J438" s="191"/>
      <c r="K438" s="191"/>
      <c r="L438" s="191"/>
      <c r="M438" s="191"/>
      <c r="N438" s="19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191"/>
      <c r="H439" s="191"/>
      <c r="I439" s="191"/>
      <c r="J439" s="191"/>
      <c r="K439" s="191"/>
      <c r="L439" s="191"/>
      <c r="M439" s="191"/>
      <c r="N439" s="19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191"/>
      <c r="H440" s="191"/>
      <c r="I440" s="191"/>
      <c r="J440" s="191"/>
      <c r="K440" s="191"/>
      <c r="L440" s="191"/>
      <c r="M440" s="191"/>
      <c r="N440" s="19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191"/>
      <c r="H441" s="191"/>
      <c r="I441" s="191"/>
      <c r="J441" s="191"/>
      <c r="K441" s="191"/>
      <c r="L441" s="191"/>
      <c r="M441" s="191"/>
      <c r="N441" s="19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191"/>
      <c r="H442" s="191"/>
      <c r="I442" s="191"/>
      <c r="J442" s="191"/>
      <c r="K442" s="191"/>
      <c r="L442" s="191"/>
      <c r="M442" s="191"/>
      <c r="N442" s="19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191"/>
      <c r="H443" s="191"/>
      <c r="I443" s="191"/>
      <c r="J443" s="191"/>
      <c r="K443" s="191"/>
      <c r="L443" s="191"/>
      <c r="M443" s="191"/>
      <c r="N443" s="19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191"/>
      <c r="H444" s="191"/>
      <c r="I444" s="191"/>
      <c r="J444" s="191"/>
      <c r="K444" s="191"/>
      <c r="L444" s="191"/>
      <c r="M444" s="191"/>
      <c r="N444" s="19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191"/>
      <c r="H445" s="191"/>
      <c r="I445" s="191"/>
      <c r="J445" s="191"/>
      <c r="K445" s="191"/>
      <c r="L445" s="191"/>
      <c r="M445" s="191"/>
      <c r="N445" s="19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191"/>
      <c r="H446" s="191"/>
      <c r="I446" s="191"/>
      <c r="J446" s="191"/>
      <c r="K446" s="191"/>
      <c r="L446" s="191"/>
      <c r="M446" s="191"/>
      <c r="N446" s="19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191"/>
      <c r="H447" s="191"/>
      <c r="I447" s="191"/>
      <c r="J447" s="191"/>
      <c r="K447" s="191"/>
      <c r="L447" s="191"/>
      <c r="M447" s="191"/>
      <c r="N447" s="19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191"/>
      <c r="H448" s="191"/>
      <c r="I448" s="191"/>
      <c r="J448" s="191"/>
      <c r="K448" s="191"/>
      <c r="L448" s="191"/>
      <c r="M448" s="191"/>
      <c r="N448" s="19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191"/>
      <c r="H449" s="191"/>
      <c r="I449" s="191"/>
      <c r="J449" s="191"/>
      <c r="K449" s="191"/>
      <c r="L449" s="191"/>
      <c r="M449" s="191"/>
      <c r="N449" s="19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191"/>
      <c r="H450" s="191"/>
      <c r="I450" s="191"/>
      <c r="J450" s="191"/>
      <c r="K450" s="191"/>
      <c r="L450" s="191"/>
      <c r="M450" s="191"/>
      <c r="N450" s="19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191"/>
      <c r="H451" s="191"/>
      <c r="I451" s="191"/>
      <c r="J451" s="191"/>
      <c r="K451" s="191"/>
      <c r="L451" s="191"/>
      <c r="M451" s="191"/>
      <c r="N451" s="19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191"/>
      <c r="H452" s="191"/>
      <c r="I452" s="191"/>
      <c r="J452" s="191"/>
      <c r="K452" s="191"/>
      <c r="L452" s="191"/>
      <c r="M452" s="191"/>
      <c r="N452" s="19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191"/>
      <c r="H453" s="191"/>
      <c r="I453" s="191"/>
      <c r="J453" s="191"/>
      <c r="K453" s="191"/>
      <c r="L453" s="191"/>
      <c r="M453" s="191"/>
      <c r="N453" s="19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191"/>
      <c r="H454" s="191"/>
      <c r="I454" s="191"/>
      <c r="J454" s="191"/>
      <c r="K454" s="191"/>
      <c r="L454" s="191"/>
      <c r="M454" s="191"/>
      <c r="N454" s="19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191"/>
      <c r="H455" s="191"/>
      <c r="I455" s="191"/>
      <c r="J455" s="191"/>
      <c r="K455" s="191"/>
      <c r="L455" s="191"/>
      <c r="M455" s="191"/>
      <c r="N455" s="19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191"/>
      <c r="H456" s="191"/>
      <c r="I456" s="191"/>
      <c r="J456" s="191"/>
      <c r="K456" s="191"/>
      <c r="L456" s="191"/>
      <c r="M456" s="191"/>
      <c r="N456" s="19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191"/>
      <c r="H457" s="191"/>
      <c r="I457" s="191"/>
      <c r="J457" s="191"/>
      <c r="K457" s="191"/>
      <c r="L457" s="191"/>
      <c r="M457" s="191"/>
      <c r="N457" s="19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191"/>
      <c r="H458" s="191"/>
      <c r="I458" s="191"/>
      <c r="J458" s="191"/>
      <c r="K458" s="191"/>
      <c r="L458" s="191"/>
      <c r="M458" s="191"/>
      <c r="N458" s="19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191"/>
      <c r="H459" s="191"/>
      <c r="I459" s="191"/>
      <c r="J459" s="191"/>
      <c r="K459" s="191"/>
      <c r="L459" s="191"/>
      <c r="M459" s="191"/>
      <c r="N459" s="19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191"/>
      <c r="H460" s="191"/>
      <c r="I460" s="191"/>
      <c r="J460" s="191"/>
      <c r="K460" s="191"/>
      <c r="L460" s="191"/>
      <c r="M460" s="191"/>
      <c r="N460" s="19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191"/>
      <c r="H461" s="191"/>
      <c r="I461" s="191"/>
      <c r="J461" s="191"/>
      <c r="K461" s="191"/>
      <c r="L461" s="191"/>
      <c r="M461" s="191"/>
      <c r="N461" s="19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191"/>
      <c r="H462" s="191"/>
      <c r="I462" s="191"/>
      <c r="J462" s="191"/>
      <c r="K462" s="191"/>
      <c r="L462" s="191"/>
      <c r="M462" s="191"/>
      <c r="N462" s="19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191"/>
      <c r="H463" s="191"/>
      <c r="I463" s="191"/>
      <c r="J463" s="191"/>
      <c r="K463" s="191"/>
      <c r="L463" s="191"/>
      <c r="M463" s="191"/>
      <c r="N463" s="19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191"/>
      <c r="H464" s="191"/>
      <c r="I464" s="191"/>
      <c r="J464" s="191"/>
      <c r="K464" s="191"/>
      <c r="L464" s="191"/>
      <c r="M464" s="191"/>
      <c r="N464" s="19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191"/>
      <c r="H465" s="191"/>
      <c r="I465" s="191"/>
      <c r="J465" s="191"/>
      <c r="K465" s="191"/>
      <c r="L465" s="191"/>
      <c r="M465" s="191"/>
      <c r="N465" s="19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191"/>
      <c r="H466" s="191"/>
      <c r="I466" s="191"/>
      <c r="J466" s="191"/>
      <c r="K466" s="191"/>
      <c r="L466" s="191"/>
      <c r="M466" s="191"/>
      <c r="N466" s="19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191"/>
      <c r="H467" s="191"/>
      <c r="I467" s="191"/>
      <c r="J467" s="191"/>
      <c r="K467" s="191"/>
      <c r="L467" s="191"/>
      <c r="M467" s="191"/>
      <c r="N467" s="19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191"/>
      <c r="H468" s="191"/>
      <c r="I468" s="191"/>
      <c r="J468" s="191"/>
      <c r="K468" s="191"/>
      <c r="L468" s="191"/>
      <c r="M468" s="191"/>
      <c r="N468" s="19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191"/>
      <c r="H469" s="191"/>
      <c r="I469" s="191"/>
      <c r="J469" s="191"/>
      <c r="K469" s="191"/>
      <c r="L469" s="191"/>
      <c r="M469" s="191"/>
      <c r="N469" s="19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191"/>
      <c r="H470" s="191"/>
      <c r="I470" s="191"/>
      <c r="J470" s="191"/>
      <c r="K470" s="191"/>
      <c r="L470" s="191"/>
      <c r="M470" s="191"/>
      <c r="N470" s="19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191"/>
      <c r="H471" s="191"/>
      <c r="I471" s="191"/>
      <c r="J471" s="191"/>
      <c r="K471" s="191"/>
      <c r="L471" s="191"/>
      <c r="M471" s="191"/>
      <c r="N471" s="19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191"/>
      <c r="H472" s="191"/>
      <c r="I472" s="191"/>
      <c r="J472" s="191"/>
      <c r="K472" s="191"/>
      <c r="L472" s="191"/>
      <c r="M472" s="191"/>
      <c r="N472" s="19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191"/>
      <c r="H473" s="191"/>
      <c r="I473" s="191"/>
      <c r="J473" s="191"/>
      <c r="K473" s="191"/>
      <c r="L473" s="191"/>
      <c r="M473" s="191"/>
      <c r="N473" s="19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191"/>
      <c r="H474" s="191"/>
      <c r="I474" s="191"/>
      <c r="J474" s="191"/>
      <c r="K474" s="191"/>
      <c r="L474" s="191"/>
      <c r="M474" s="191"/>
      <c r="N474" s="19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191"/>
      <c r="H475" s="191"/>
      <c r="I475" s="191"/>
      <c r="J475" s="191"/>
      <c r="K475" s="191"/>
      <c r="L475" s="191"/>
      <c r="M475" s="191"/>
      <c r="N475" s="19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191"/>
      <c r="H476" s="191"/>
      <c r="I476" s="191"/>
      <c r="J476" s="191"/>
      <c r="K476" s="191"/>
      <c r="L476" s="191"/>
      <c r="M476" s="191"/>
      <c r="N476" s="19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191"/>
      <c r="H477" s="191"/>
      <c r="I477" s="191"/>
      <c r="J477" s="191"/>
      <c r="K477" s="191"/>
      <c r="L477" s="191"/>
      <c r="M477" s="191"/>
      <c r="N477" s="19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191"/>
      <c r="H478" s="191"/>
      <c r="I478" s="191"/>
      <c r="J478" s="191"/>
      <c r="K478" s="191"/>
      <c r="L478" s="191"/>
      <c r="M478" s="191"/>
      <c r="N478" s="19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191"/>
      <c r="H479" s="191"/>
      <c r="I479" s="191"/>
      <c r="J479" s="191"/>
      <c r="K479" s="191"/>
      <c r="L479" s="191"/>
      <c r="M479" s="191"/>
      <c r="N479" s="19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191"/>
      <c r="H480" s="191"/>
      <c r="I480" s="191"/>
      <c r="J480" s="191"/>
      <c r="K480" s="191"/>
      <c r="L480" s="191"/>
      <c r="M480" s="191"/>
      <c r="N480" s="19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191"/>
      <c r="H481" s="191"/>
      <c r="I481" s="191"/>
      <c r="J481" s="191"/>
      <c r="K481" s="191"/>
      <c r="L481" s="191"/>
      <c r="M481" s="191"/>
      <c r="N481" s="19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191"/>
      <c r="H482" s="191"/>
      <c r="I482" s="191"/>
      <c r="J482" s="191"/>
      <c r="K482" s="191"/>
      <c r="L482" s="191"/>
      <c r="M482" s="191"/>
      <c r="N482" s="19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191"/>
      <c r="H483" s="191"/>
      <c r="I483" s="191"/>
      <c r="J483" s="191"/>
      <c r="K483" s="191"/>
      <c r="L483" s="191"/>
      <c r="M483" s="191"/>
      <c r="N483" s="19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191"/>
      <c r="H484" s="191"/>
      <c r="I484" s="191"/>
      <c r="J484" s="191"/>
      <c r="K484" s="191"/>
      <c r="L484" s="191"/>
      <c r="M484" s="191"/>
      <c r="N484" s="19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191"/>
      <c r="H485" s="191"/>
      <c r="I485" s="191"/>
      <c r="J485" s="191"/>
      <c r="K485" s="191"/>
      <c r="L485" s="191"/>
      <c r="M485" s="191"/>
      <c r="N485" s="19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191"/>
      <c r="H486" s="191"/>
      <c r="I486" s="191"/>
      <c r="J486" s="191"/>
      <c r="K486" s="191"/>
      <c r="L486" s="191"/>
      <c r="M486" s="191"/>
      <c r="N486" s="19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191"/>
      <c r="H487" s="191"/>
      <c r="I487" s="191"/>
      <c r="J487" s="191"/>
      <c r="K487" s="191"/>
      <c r="L487" s="191"/>
      <c r="M487" s="191"/>
      <c r="N487" s="19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191"/>
      <c r="H488" s="191"/>
      <c r="I488" s="191"/>
      <c r="J488" s="191"/>
      <c r="K488" s="191"/>
      <c r="L488" s="191"/>
      <c r="M488" s="191"/>
      <c r="N488" s="19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191"/>
      <c r="H489" s="191"/>
      <c r="I489" s="191"/>
      <c r="J489" s="191"/>
      <c r="K489" s="191"/>
      <c r="L489" s="191"/>
      <c r="M489" s="191"/>
      <c r="N489" s="19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191"/>
      <c r="H490" s="191"/>
      <c r="I490" s="191"/>
      <c r="J490" s="191"/>
      <c r="K490" s="191"/>
      <c r="L490" s="191"/>
      <c r="M490" s="191"/>
      <c r="N490" s="19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191"/>
      <c r="H491" s="191"/>
      <c r="I491" s="191"/>
      <c r="J491" s="191"/>
      <c r="K491" s="191"/>
      <c r="L491" s="191"/>
      <c r="M491" s="191"/>
      <c r="N491" s="19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191"/>
      <c r="H492" s="191"/>
      <c r="I492" s="191"/>
      <c r="J492" s="191"/>
      <c r="K492" s="191"/>
      <c r="L492" s="191"/>
      <c r="M492" s="191"/>
      <c r="N492" s="19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191"/>
      <c r="H493" s="191"/>
      <c r="I493" s="191"/>
      <c r="J493" s="191"/>
      <c r="K493" s="191"/>
      <c r="L493" s="191"/>
      <c r="M493" s="191"/>
      <c r="N493" s="19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191"/>
      <c r="H494" s="191"/>
      <c r="I494" s="191"/>
      <c r="J494" s="191"/>
      <c r="K494" s="191"/>
      <c r="L494" s="191"/>
      <c r="M494" s="191"/>
      <c r="N494" s="19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191"/>
      <c r="H495" s="191"/>
      <c r="I495" s="191"/>
      <c r="J495" s="191"/>
      <c r="K495" s="191"/>
      <c r="L495" s="191"/>
      <c r="M495" s="191"/>
      <c r="N495" s="19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191"/>
      <c r="H496" s="191"/>
      <c r="I496" s="191"/>
      <c r="J496" s="191"/>
      <c r="K496" s="191"/>
      <c r="L496" s="191"/>
      <c r="M496" s="191"/>
      <c r="N496" s="19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191"/>
      <c r="H497" s="191"/>
      <c r="I497" s="191"/>
      <c r="J497" s="191"/>
      <c r="K497" s="191"/>
      <c r="L497" s="191"/>
      <c r="M497" s="191"/>
      <c r="N497" s="19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191"/>
      <c r="H498" s="191"/>
      <c r="I498" s="191"/>
      <c r="J498" s="191"/>
      <c r="K498" s="191"/>
      <c r="L498" s="191"/>
      <c r="M498" s="191"/>
      <c r="N498" s="19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191"/>
      <c r="H499" s="191"/>
      <c r="I499" s="191"/>
      <c r="J499" s="191"/>
      <c r="K499" s="191"/>
      <c r="L499" s="191"/>
      <c r="M499" s="191"/>
      <c r="N499" s="19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191"/>
      <c r="H500" s="191"/>
      <c r="I500" s="191"/>
      <c r="J500" s="191"/>
      <c r="K500" s="191"/>
      <c r="L500" s="191"/>
      <c r="M500" s="191"/>
      <c r="N500" s="19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191"/>
      <c r="H501" s="191"/>
      <c r="I501" s="191"/>
      <c r="J501" s="191"/>
      <c r="K501" s="191"/>
      <c r="L501" s="191"/>
      <c r="M501" s="191"/>
      <c r="N501" s="19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191"/>
      <c r="H502" s="191"/>
      <c r="I502" s="191"/>
      <c r="J502" s="191"/>
      <c r="K502" s="191"/>
      <c r="L502" s="191"/>
      <c r="M502" s="191"/>
      <c r="N502" s="19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191"/>
      <c r="H503" s="191"/>
      <c r="I503" s="191"/>
      <c r="J503" s="191"/>
      <c r="K503" s="191"/>
      <c r="L503" s="191"/>
      <c r="M503" s="191"/>
      <c r="N503" s="19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191"/>
      <c r="H504" s="191"/>
      <c r="I504" s="191"/>
      <c r="J504" s="191"/>
      <c r="K504" s="191"/>
      <c r="L504" s="191"/>
      <c r="M504" s="191"/>
      <c r="N504" s="19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191"/>
      <c r="H505" s="191"/>
      <c r="I505" s="191"/>
      <c r="J505" s="191"/>
      <c r="K505" s="191"/>
      <c r="L505" s="191"/>
      <c r="M505" s="191"/>
      <c r="N505" s="19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191"/>
      <c r="H506" s="191"/>
      <c r="I506" s="191"/>
      <c r="J506" s="191"/>
      <c r="K506" s="191"/>
      <c r="L506" s="191"/>
      <c r="M506" s="191"/>
      <c r="N506" s="19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191"/>
      <c r="H507" s="191"/>
      <c r="I507" s="191"/>
      <c r="J507" s="191"/>
      <c r="K507" s="191"/>
      <c r="L507" s="191"/>
      <c r="M507" s="191"/>
      <c r="N507" s="19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191"/>
      <c r="H508" s="191"/>
      <c r="I508" s="191"/>
      <c r="J508" s="191"/>
      <c r="K508" s="191"/>
      <c r="L508" s="191"/>
      <c r="M508" s="191"/>
      <c r="N508" s="19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191"/>
      <c r="H509" s="191"/>
      <c r="I509" s="191"/>
      <c r="J509" s="191"/>
      <c r="K509" s="191"/>
      <c r="L509" s="191"/>
      <c r="M509" s="191"/>
      <c r="N509" s="19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191"/>
      <c r="H510" s="191"/>
      <c r="I510" s="191"/>
      <c r="J510" s="191"/>
      <c r="K510" s="191"/>
      <c r="L510" s="191"/>
      <c r="M510" s="191"/>
      <c r="N510" s="19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191"/>
      <c r="H511" s="191"/>
      <c r="I511" s="191"/>
      <c r="J511" s="191"/>
      <c r="K511" s="191"/>
      <c r="L511" s="191"/>
      <c r="M511" s="191"/>
      <c r="N511" s="19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191"/>
      <c r="H512" s="191"/>
      <c r="I512" s="191"/>
      <c r="J512" s="191"/>
      <c r="K512" s="191"/>
      <c r="L512" s="191"/>
      <c r="M512" s="191"/>
      <c r="N512" s="19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191"/>
      <c r="H513" s="191"/>
      <c r="I513" s="191"/>
      <c r="J513" s="191"/>
      <c r="K513" s="191"/>
      <c r="L513" s="191"/>
      <c r="M513" s="191"/>
      <c r="N513" s="19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191"/>
      <c r="H514" s="191"/>
      <c r="I514" s="191"/>
      <c r="J514" s="191"/>
      <c r="K514" s="191"/>
      <c r="L514" s="191"/>
      <c r="M514" s="191"/>
      <c r="N514" s="19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191"/>
      <c r="H515" s="191"/>
      <c r="I515" s="191"/>
      <c r="J515" s="191"/>
      <c r="K515" s="191"/>
      <c r="L515" s="191"/>
      <c r="M515" s="191"/>
      <c r="N515" s="19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191"/>
      <c r="H516" s="191"/>
      <c r="I516" s="191"/>
      <c r="J516" s="191"/>
      <c r="K516" s="191"/>
      <c r="L516" s="191"/>
      <c r="M516" s="191"/>
      <c r="N516" s="19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191"/>
      <c r="H517" s="191"/>
      <c r="I517" s="191"/>
      <c r="J517" s="191"/>
      <c r="K517" s="191"/>
      <c r="L517" s="191"/>
      <c r="M517" s="191"/>
      <c r="N517" s="19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191"/>
      <c r="H518" s="191"/>
      <c r="I518" s="191"/>
      <c r="J518" s="191"/>
      <c r="K518" s="191"/>
      <c r="L518" s="191"/>
      <c r="M518" s="191"/>
      <c r="N518" s="19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191"/>
      <c r="H519" s="191"/>
      <c r="I519" s="191"/>
      <c r="J519" s="191"/>
      <c r="K519" s="191"/>
      <c r="L519" s="191"/>
      <c r="M519" s="191"/>
      <c r="N519" s="19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191"/>
      <c r="H520" s="191"/>
      <c r="I520" s="191"/>
      <c r="J520" s="191"/>
      <c r="K520" s="191"/>
      <c r="L520" s="191"/>
      <c r="M520" s="191"/>
      <c r="N520" s="19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191"/>
      <c r="H521" s="191"/>
      <c r="I521" s="191"/>
      <c r="J521" s="191"/>
      <c r="K521" s="191"/>
      <c r="L521" s="191"/>
      <c r="M521" s="191"/>
      <c r="N521" s="19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191"/>
      <c r="H522" s="191"/>
      <c r="I522" s="191"/>
      <c r="J522" s="191"/>
      <c r="K522" s="191"/>
      <c r="L522" s="191"/>
      <c r="M522" s="191"/>
      <c r="N522" s="19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191"/>
      <c r="H523" s="191"/>
      <c r="I523" s="191"/>
      <c r="J523" s="191"/>
      <c r="K523" s="191"/>
      <c r="L523" s="191"/>
      <c r="M523" s="191"/>
      <c r="N523" s="19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191"/>
      <c r="H524" s="191"/>
      <c r="I524" s="191"/>
      <c r="J524" s="191"/>
      <c r="K524" s="191"/>
      <c r="L524" s="191"/>
      <c r="M524" s="191"/>
      <c r="N524" s="19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191"/>
      <c r="H525" s="191"/>
      <c r="I525" s="191"/>
      <c r="J525" s="191"/>
      <c r="K525" s="191"/>
      <c r="L525" s="191"/>
      <c r="M525" s="191"/>
      <c r="N525" s="19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191"/>
      <c r="H526" s="191"/>
      <c r="I526" s="191"/>
      <c r="J526" s="191"/>
      <c r="K526" s="191"/>
      <c r="L526" s="191"/>
      <c r="M526" s="191"/>
      <c r="N526" s="19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191"/>
      <c r="H527" s="191"/>
      <c r="I527" s="191"/>
      <c r="J527" s="191"/>
      <c r="K527" s="191"/>
      <c r="L527" s="191"/>
      <c r="M527" s="191"/>
      <c r="N527" s="19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191"/>
      <c r="H528" s="191"/>
      <c r="I528" s="191"/>
      <c r="J528" s="191"/>
      <c r="K528" s="191"/>
      <c r="L528" s="191"/>
      <c r="M528" s="191"/>
      <c r="N528" s="19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191"/>
      <c r="H529" s="191"/>
      <c r="I529" s="191"/>
      <c r="J529" s="191"/>
      <c r="K529" s="191"/>
      <c r="L529" s="191"/>
      <c r="M529" s="191"/>
      <c r="N529" s="19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191"/>
      <c r="H530" s="191"/>
      <c r="I530" s="191"/>
      <c r="J530" s="191"/>
      <c r="K530" s="191"/>
      <c r="L530" s="191"/>
      <c r="M530" s="191"/>
      <c r="N530" s="19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191"/>
      <c r="H531" s="191"/>
      <c r="I531" s="191"/>
      <c r="J531" s="191"/>
      <c r="K531" s="191"/>
      <c r="L531" s="191"/>
      <c r="M531" s="191"/>
      <c r="N531" s="19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191"/>
      <c r="H532" s="191"/>
      <c r="I532" s="191"/>
      <c r="J532" s="191"/>
      <c r="K532" s="191"/>
      <c r="L532" s="191"/>
      <c r="M532" s="191"/>
      <c r="N532" s="19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191"/>
      <c r="H533" s="191"/>
      <c r="I533" s="191"/>
      <c r="J533" s="191"/>
      <c r="K533" s="191"/>
      <c r="L533" s="191"/>
      <c r="M533" s="191"/>
      <c r="N533" s="19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191"/>
      <c r="H534" s="191"/>
      <c r="I534" s="191"/>
      <c r="J534" s="191"/>
      <c r="K534" s="191"/>
      <c r="L534" s="191"/>
      <c r="M534" s="191"/>
      <c r="N534" s="19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191"/>
      <c r="H535" s="191"/>
      <c r="I535" s="191"/>
      <c r="J535" s="191"/>
      <c r="K535" s="191"/>
      <c r="L535" s="191"/>
      <c r="M535" s="191"/>
      <c r="N535" s="19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191"/>
      <c r="H536" s="191"/>
      <c r="I536" s="191"/>
      <c r="J536" s="191"/>
      <c r="K536" s="191"/>
      <c r="L536" s="191"/>
      <c r="M536" s="191"/>
      <c r="N536" s="19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191"/>
      <c r="H537" s="191"/>
      <c r="I537" s="191"/>
      <c r="J537" s="191"/>
      <c r="K537" s="191"/>
      <c r="L537" s="191"/>
      <c r="M537" s="191"/>
      <c r="N537" s="19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191"/>
      <c r="H538" s="191"/>
      <c r="I538" s="191"/>
      <c r="J538" s="191"/>
      <c r="K538" s="191"/>
      <c r="L538" s="191"/>
      <c r="M538" s="191"/>
      <c r="N538" s="19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191"/>
      <c r="H539" s="191"/>
      <c r="I539" s="191"/>
      <c r="J539" s="191"/>
      <c r="K539" s="191"/>
      <c r="L539" s="191"/>
      <c r="M539" s="191"/>
      <c r="N539" s="19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191"/>
      <c r="H540" s="191"/>
      <c r="I540" s="191"/>
      <c r="J540" s="191"/>
      <c r="K540" s="191"/>
      <c r="L540" s="191"/>
      <c r="M540" s="191"/>
      <c r="N540" s="19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191"/>
      <c r="H541" s="191"/>
      <c r="I541" s="191"/>
      <c r="J541" s="191"/>
      <c r="K541" s="191"/>
      <c r="L541" s="191"/>
      <c r="M541" s="191"/>
      <c r="N541" s="19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191"/>
      <c r="H542" s="191"/>
      <c r="I542" s="191"/>
      <c r="J542" s="191"/>
      <c r="K542" s="191"/>
      <c r="L542" s="191"/>
      <c r="M542" s="191"/>
      <c r="N542" s="19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191"/>
      <c r="H543" s="191"/>
      <c r="I543" s="191"/>
      <c r="J543" s="191"/>
      <c r="K543" s="191"/>
      <c r="L543" s="191"/>
      <c r="M543" s="191"/>
      <c r="N543" s="19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191"/>
      <c r="H544" s="191"/>
      <c r="I544" s="191"/>
      <c r="J544" s="191"/>
      <c r="K544" s="191"/>
      <c r="L544" s="191"/>
      <c r="M544" s="191"/>
      <c r="N544" s="19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191"/>
      <c r="H545" s="191"/>
      <c r="I545" s="191"/>
      <c r="J545" s="191"/>
      <c r="K545" s="191"/>
      <c r="L545" s="191"/>
      <c r="M545" s="191"/>
      <c r="N545" s="19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191"/>
      <c r="H546" s="191"/>
      <c r="I546" s="191"/>
      <c r="J546" s="191"/>
      <c r="K546" s="191"/>
      <c r="L546" s="191"/>
      <c r="M546" s="191"/>
      <c r="N546" s="19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191"/>
      <c r="H547" s="191"/>
      <c r="I547" s="191"/>
      <c r="J547" s="191"/>
      <c r="K547" s="191"/>
      <c r="L547" s="191"/>
      <c r="M547" s="191"/>
      <c r="N547" s="19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191"/>
      <c r="H548" s="191"/>
      <c r="I548" s="191"/>
      <c r="J548" s="191"/>
      <c r="K548" s="191"/>
      <c r="L548" s="191"/>
      <c r="M548" s="191"/>
      <c r="N548" s="19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191"/>
      <c r="H549" s="191"/>
      <c r="I549" s="191"/>
      <c r="J549" s="191"/>
      <c r="K549" s="191"/>
      <c r="L549" s="191"/>
      <c r="M549" s="191"/>
      <c r="N549" s="19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191"/>
      <c r="H550" s="191"/>
      <c r="I550" s="191"/>
      <c r="J550" s="191"/>
      <c r="K550" s="191"/>
      <c r="L550" s="191"/>
      <c r="M550" s="191"/>
      <c r="N550" s="19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191"/>
      <c r="H551" s="191"/>
      <c r="I551" s="191"/>
      <c r="J551" s="191"/>
      <c r="K551" s="191"/>
      <c r="L551" s="191"/>
      <c r="M551" s="191"/>
      <c r="N551" s="19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191"/>
      <c r="H552" s="191"/>
      <c r="I552" s="191"/>
      <c r="J552" s="191"/>
      <c r="K552" s="191"/>
      <c r="L552" s="191"/>
      <c r="M552" s="191"/>
      <c r="N552" s="19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191"/>
      <c r="H553" s="191"/>
      <c r="I553" s="191"/>
      <c r="J553" s="191"/>
      <c r="K553" s="191"/>
      <c r="L553" s="191"/>
      <c r="M553" s="191"/>
      <c r="N553" s="19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191"/>
      <c r="H554" s="191"/>
      <c r="I554" s="191"/>
      <c r="J554" s="191"/>
      <c r="K554" s="191"/>
      <c r="L554" s="191"/>
      <c r="M554" s="191"/>
      <c r="N554" s="19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191"/>
      <c r="H555" s="191"/>
      <c r="I555" s="191"/>
      <c r="J555" s="191"/>
      <c r="K555" s="191"/>
      <c r="L555" s="191"/>
      <c r="M555" s="191"/>
      <c r="N555" s="19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191"/>
      <c r="H556" s="191"/>
      <c r="I556" s="191"/>
      <c r="J556" s="191"/>
      <c r="K556" s="191"/>
      <c r="L556" s="191"/>
      <c r="M556" s="191"/>
      <c r="N556" s="19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191"/>
      <c r="H557" s="191"/>
      <c r="I557" s="191"/>
      <c r="J557" s="191"/>
      <c r="K557" s="191"/>
      <c r="L557" s="191"/>
      <c r="M557" s="191"/>
      <c r="N557" s="19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191"/>
      <c r="H558" s="191"/>
      <c r="I558" s="191"/>
      <c r="J558" s="191"/>
      <c r="K558" s="191"/>
      <c r="L558" s="191"/>
      <c r="M558" s="191"/>
      <c r="N558" s="19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191"/>
      <c r="H559" s="191"/>
      <c r="I559" s="191"/>
      <c r="J559" s="191"/>
      <c r="K559" s="191"/>
      <c r="L559" s="191"/>
      <c r="M559" s="191"/>
      <c r="N559" s="19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191"/>
      <c r="H560" s="191"/>
      <c r="I560" s="191"/>
      <c r="J560" s="191"/>
      <c r="K560" s="191"/>
      <c r="L560" s="191"/>
      <c r="M560" s="191"/>
      <c r="N560" s="19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191"/>
      <c r="H561" s="191"/>
      <c r="I561" s="191"/>
      <c r="J561" s="191"/>
      <c r="K561" s="191"/>
      <c r="L561" s="191"/>
      <c r="M561" s="191"/>
      <c r="N561" s="19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191"/>
      <c r="H562" s="191"/>
      <c r="I562" s="191"/>
      <c r="J562" s="191"/>
      <c r="K562" s="191"/>
      <c r="L562" s="191"/>
      <c r="M562" s="191"/>
      <c r="N562" s="19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191"/>
      <c r="H563" s="191"/>
      <c r="I563" s="191"/>
      <c r="J563" s="191"/>
      <c r="K563" s="191"/>
      <c r="L563" s="191"/>
      <c r="M563" s="191"/>
      <c r="N563" s="19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191"/>
      <c r="H564" s="191"/>
      <c r="I564" s="191"/>
      <c r="J564" s="191"/>
      <c r="K564" s="191"/>
      <c r="L564" s="191"/>
      <c r="M564" s="191"/>
      <c r="N564" s="19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191"/>
      <c r="H565" s="191"/>
      <c r="I565" s="191"/>
      <c r="J565" s="191"/>
      <c r="K565" s="191"/>
      <c r="L565" s="191"/>
      <c r="M565" s="191"/>
      <c r="N565" s="19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191"/>
      <c r="H566" s="191"/>
      <c r="I566" s="191"/>
      <c r="J566" s="191"/>
      <c r="K566" s="191"/>
      <c r="L566" s="191"/>
      <c r="M566" s="191"/>
      <c r="N566" s="19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191"/>
      <c r="H567" s="191"/>
      <c r="I567" s="191"/>
      <c r="J567" s="191"/>
      <c r="K567" s="191"/>
      <c r="L567" s="191"/>
      <c r="M567" s="191"/>
      <c r="N567" s="19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3" max="3" width="8.88"/>
    <col customWidth="1" min="4" max="4" width="7.0"/>
    <col customWidth="1" min="5" max="5" width="20.63"/>
    <col customWidth="1" min="6" max="6" width="8.88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6.13"/>
  </cols>
  <sheetData>
    <row r="1">
      <c r="A1" s="1"/>
      <c r="B1" s="2" t="s">
        <v>0</v>
      </c>
      <c r="C1" s="4">
        <f>AVERAGE(C98:C118)</f>
        <v>306.05</v>
      </c>
      <c r="D1" s="1"/>
      <c r="E1" s="2" t="s">
        <v>0</v>
      </c>
      <c r="F1" s="4">
        <f>AVERAGE(F98:F118)</f>
        <v>351.3785714</v>
      </c>
      <c r="G1" s="1">
        <f>STDEV(F74:F93)</f>
        <v>12.70313342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193"/>
      <c r="T1" s="7" t="s">
        <v>5</v>
      </c>
      <c r="U1" s="7" t="s">
        <v>161</v>
      </c>
      <c r="V1" s="7" t="s">
        <v>162</v>
      </c>
      <c r="W1" s="7" t="s">
        <v>11</v>
      </c>
      <c r="X1" s="13" t="s">
        <v>12</v>
      </c>
      <c r="Y1" s="110" t="s">
        <v>14</v>
      </c>
      <c r="Z1" s="1"/>
      <c r="AA1" s="1"/>
      <c r="AB1" s="1"/>
      <c r="AC1" s="1"/>
    </row>
    <row r="2">
      <c r="A2" s="1"/>
      <c r="B2" s="17" t="s">
        <v>20</v>
      </c>
      <c r="C2" s="19">
        <f>AVERAGE(C88:C118)</f>
        <v>309.8274194</v>
      </c>
      <c r="D2" s="1"/>
      <c r="E2" s="17" t="s">
        <v>20</v>
      </c>
      <c r="F2" s="19">
        <f>AVERAGE(F88:F118)</f>
        <v>356.3564516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0.8386400734</v>
      </c>
      <c r="O2" s="7" t="s">
        <v>25</v>
      </c>
      <c r="P2" s="29">
        <f>AVERAGE(K88:K117)</f>
        <v>0.8699767588</v>
      </c>
      <c r="Q2" s="29">
        <f>MAX(K88:K118)</f>
        <v>0.8902506964</v>
      </c>
      <c r="R2" s="29">
        <f>MIN(K88:K118)</f>
        <v>0.838553569</v>
      </c>
      <c r="S2" s="199">
        <f t="shared" ref="S2:S5" si="1">Q2-R2</f>
        <v>0.05169712735</v>
      </c>
      <c r="T2" s="1">
        <f>MATCH(MAX(K11:K116), K11:K116, 0)</f>
        <v>86</v>
      </c>
      <c r="U2" s="1">
        <f t="array" ref="U2">INDEX(C11:C116, MATCH(MAX(K11:K116), K11:K116, 0))</f>
        <v>319.6</v>
      </c>
      <c r="V2" s="1">
        <f t="array" ref="V2">INDEX(F11:F116, MATCH(MAX(K11:K116), K11:K116, 0))</f>
        <v>359</v>
      </c>
      <c r="W2" s="54">
        <f t="shared" ref="W2:W3" si="2">U2/V2</f>
        <v>0.8902506964</v>
      </c>
      <c r="X2" s="7" t="s">
        <v>2</v>
      </c>
      <c r="Y2" s="110">
        <v>2711.0</v>
      </c>
      <c r="Z2" s="1"/>
      <c r="AA2" s="1"/>
      <c r="AB2" s="1"/>
      <c r="AC2" s="1"/>
    </row>
    <row r="3">
      <c r="A3" s="1">
        <f>STDEV(C75:C93)</f>
        <v>5.230396427</v>
      </c>
      <c r="B3" s="58" t="s">
        <v>61</v>
      </c>
      <c r="C3" s="61">
        <f>max(C98:C118)</f>
        <v>315.75</v>
      </c>
      <c r="D3" s="65">
        <f>C1+A3*2</f>
        <v>316.5107929</v>
      </c>
      <c r="E3" s="58" t="s">
        <v>61</v>
      </c>
      <c r="F3" s="61">
        <f>max(F98:F118)</f>
        <v>360.7</v>
      </c>
      <c r="G3" s="65">
        <f>F1+G1*2</f>
        <v>376.7848383</v>
      </c>
      <c r="H3" s="1"/>
      <c r="I3" s="1"/>
      <c r="J3" s="1"/>
      <c r="K3" s="1"/>
      <c r="L3" s="1"/>
      <c r="M3" s="7" t="s">
        <v>64</v>
      </c>
      <c r="N3" s="25">
        <f>CORREL(C58:C118,F58:F118)</f>
        <v>0.6380547282</v>
      </c>
      <c r="O3" s="7" t="s">
        <v>67</v>
      </c>
      <c r="P3" s="29">
        <f>AVERAGE((K58:K117))</f>
        <v>0.8407687815</v>
      </c>
      <c r="Q3" s="29">
        <f>MAX(K58:K118)</f>
        <v>0.8902506964</v>
      </c>
      <c r="R3" s="29">
        <f>MIN(K58:K118)</f>
        <v>0.7811717576</v>
      </c>
      <c r="S3" s="199">
        <f t="shared" si="1"/>
        <v>0.1090789387</v>
      </c>
      <c r="T3" s="1">
        <f>MATCH(Min(K11:K116), K11:K116, 0)</f>
        <v>26</v>
      </c>
      <c r="U3" s="1">
        <f t="array" ref="U3">INDEX(C11:C116, MATCH(Min(K11:K116), K11:K116, 0))</f>
        <v>289.1</v>
      </c>
      <c r="V3" s="1">
        <f t="array" ref="V3">INDEX(F11:F116, MATCH(MIN(K11:K116), K11:K116, 0))</f>
        <v>382</v>
      </c>
      <c r="W3" s="54">
        <f t="shared" si="2"/>
        <v>0.7568062827</v>
      </c>
      <c r="X3" s="7" t="s">
        <v>3</v>
      </c>
      <c r="Y3" s="193"/>
      <c r="Z3" s="1"/>
      <c r="AA3" s="1"/>
      <c r="AB3" s="1"/>
      <c r="AC3" s="1"/>
    </row>
    <row r="4">
      <c r="A4" s="1"/>
      <c r="B4" s="58" t="s">
        <v>73</v>
      </c>
      <c r="C4" s="61">
        <f>MIN(C98:C118)</f>
        <v>296.95</v>
      </c>
      <c r="D4" s="65">
        <f>C1-A3*2</f>
        <v>295.5892071</v>
      </c>
      <c r="E4" s="58" t="s">
        <v>73</v>
      </c>
      <c r="F4" s="61">
        <f>MIN(F98:F118)</f>
        <v>342.35</v>
      </c>
      <c r="G4" s="65">
        <f>F1-G1*2</f>
        <v>325.9723046</v>
      </c>
      <c r="H4" s="1"/>
      <c r="I4" s="1"/>
      <c r="J4" s="1"/>
      <c r="K4" s="1"/>
      <c r="L4" s="1"/>
      <c r="M4" s="7" t="s">
        <v>77</v>
      </c>
      <c r="N4" s="25">
        <f>CORREL(C28:C118,F28:F118)</f>
        <v>0.268969883</v>
      </c>
      <c r="O4" s="7" t="s">
        <v>79</v>
      </c>
      <c r="P4" s="29">
        <f>AVERAGE(K28:K117)</f>
        <v>0.8178931531</v>
      </c>
      <c r="Q4" s="29">
        <f>MAX(K28:K118)</f>
        <v>0.8902506964</v>
      </c>
      <c r="R4" s="29">
        <f>MIN(K28:K118)</f>
        <v>0.7568062827</v>
      </c>
      <c r="S4" s="199">
        <f t="shared" si="1"/>
        <v>0.1334444137</v>
      </c>
      <c r="T4" s="1"/>
      <c r="U4" s="1"/>
      <c r="V4" s="1"/>
      <c r="W4" s="54"/>
      <c r="X4" s="1"/>
      <c r="Y4" s="193"/>
      <c r="Z4" s="1"/>
      <c r="AA4" s="1"/>
      <c r="AB4" s="1"/>
      <c r="AC4" s="1"/>
    </row>
    <row r="5">
      <c r="A5" s="1"/>
      <c r="B5" s="58" t="s">
        <v>81</v>
      </c>
      <c r="C5" s="61">
        <f>max(C108:C118)</f>
        <v>315.75</v>
      </c>
      <c r="D5" s="65">
        <f>C1+A3</f>
        <v>311.2803964</v>
      </c>
      <c r="E5" s="58" t="s">
        <v>81</v>
      </c>
      <c r="F5" s="61">
        <f>max(F108:F118)</f>
        <v>360.7</v>
      </c>
      <c r="G5" s="65">
        <f>F1+G1</f>
        <v>364.0817048</v>
      </c>
      <c r="H5" s="1"/>
      <c r="I5" s="1"/>
      <c r="J5" s="1"/>
      <c r="K5" s="1"/>
      <c r="L5" s="1"/>
      <c r="M5" s="7" t="s">
        <v>82</v>
      </c>
      <c r="N5" s="25">
        <f>CORREL(C11:C118,F11:F118)</f>
        <v>0.261533297</v>
      </c>
      <c r="O5" s="7" t="s">
        <v>83</v>
      </c>
      <c r="P5" s="29">
        <f>AVERAGE(K11:K117)</f>
        <v>0.8113071599</v>
      </c>
      <c r="Q5" s="29">
        <f>MAX(K11:K118)</f>
        <v>0.8902506964</v>
      </c>
      <c r="R5" s="29">
        <f>MIN(K11:K118)</f>
        <v>0.7568062827</v>
      </c>
      <c r="S5" s="199">
        <f t="shared" si="1"/>
        <v>0.1334444137</v>
      </c>
      <c r="T5" s="96" t="s">
        <v>161</v>
      </c>
      <c r="U5" s="96">
        <v>1.0</v>
      </c>
      <c r="V5" s="99">
        <f>U2*U7*U5</f>
        <v>575280</v>
      </c>
      <c r="W5" s="101">
        <f>V2*U6*U8</f>
        <v>726975</v>
      </c>
      <c r="X5" s="99"/>
      <c r="Y5" s="193"/>
      <c r="Z5" s="1"/>
      <c r="AA5" s="1"/>
      <c r="AB5" s="1"/>
      <c r="AC5" s="1"/>
    </row>
    <row r="6">
      <c r="A6" s="1"/>
      <c r="B6" s="58" t="s">
        <v>87</v>
      </c>
      <c r="C6" s="61">
        <f>MIN(C108:C118)</f>
        <v>296.95</v>
      </c>
      <c r="D6" s="65">
        <f>C1-A3</f>
        <v>300.8196036</v>
      </c>
      <c r="E6" s="58" t="s">
        <v>87</v>
      </c>
      <c r="F6" s="61">
        <f>MIN(F108:F118)</f>
        <v>342.35</v>
      </c>
      <c r="G6" s="65">
        <f>F1-G1</f>
        <v>338.675438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93"/>
      <c r="T6" s="96" t="s">
        <v>162</v>
      </c>
      <c r="U6" s="96">
        <v>1.0</v>
      </c>
      <c r="V6" s="99">
        <f>U3*U5*U7</f>
        <v>520380</v>
      </c>
      <c r="W6" s="99">
        <f>V3*U6*U8</f>
        <v>773550</v>
      </c>
      <c r="X6" s="99"/>
      <c r="Y6" s="193"/>
      <c r="Z6" s="1"/>
      <c r="AA6" s="1"/>
      <c r="AB6" s="1"/>
      <c r="AC6" s="1"/>
    </row>
    <row r="7">
      <c r="A7" s="1"/>
      <c r="B7" s="7" t="s">
        <v>88</v>
      </c>
      <c r="C7" s="1">
        <f>max(C88:C118)</f>
        <v>324.05</v>
      </c>
      <c r="D7" s="1"/>
      <c r="E7" s="7" t="s">
        <v>88</v>
      </c>
      <c r="F7" s="1">
        <f>max(F88:F118)</f>
        <v>375.5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93"/>
      <c r="T7" s="7" t="s">
        <v>161</v>
      </c>
      <c r="U7" s="7">
        <v>1800.0</v>
      </c>
      <c r="V7" s="1"/>
      <c r="W7" s="1"/>
      <c r="X7" s="1"/>
      <c r="Y7" s="193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306.05</v>
      </c>
      <c r="D8" s="1"/>
      <c r="E8" s="58" t="s">
        <v>90</v>
      </c>
      <c r="F8" s="107">
        <f>AVERAGE(F98:F118)</f>
        <v>351.3785714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93"/>
      <c r="T8" s="7" t="s">
        <v>162</v>
      </c>
      <c r="U8" s="7">
        <v>2025.0</v>
      </c>
      <c r="V8" s="1"/>
      <c r="W8" s="1"/>
      <c r="X8" s="1"/>
      <c r="Y8" s="193"/>
      <c r="Z8" s="1"/>
      <c r="AA8" s="1"/>
      <c r="AB8" s="1"/>
      <c r="AC8" s="1"/>
    </row>
    <row r="9">
      <c r="A9" s="1"/>
      <c r="B9" s="13" t="s">
        <v>115</v>
      </c>
      <c r="C9" s="1"/>
      <c r="D9" s="1"/>
      <c r="E9" s="13" t="s">
        <v>116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93"/>
      <c r="T9" s="1"/>
      <c r="U9" s="1"/>
      <c r="V9" s="1"/>
      <c r="W9" s="1"/>
      <c r="X9" s="1"/>
      <c r="Y9" s="193"/>
      <c r="Z9" s="1"/>
      <c r="AA9" s="1"/>
      <c r="AB9" s="1"/>
      <c r="AC9" s="1"/>
    </row>
    <row r="10">
      <c r="A10" s="1"/>
      <c r="B10" s="1" t="str">
        <f>IFERROR(__xludf.DUMMYFUNCTION("GOOGLEFINANCE(B9,""price"",TODAY()-166,TODAY())"),"Date")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IFERROR(__xludf.DUMMYFUNCTION("GOOGLEFINANCE(E9,""price"",TODAY()-166,TODAY())"),"Date")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157</v>
      </c>
      <c r="M10" s="7" t="s">
        <v>158</v>
      </c>
      <c r="N10" s="7" t="s">
        <v>159</v>
      </c>
      <c r="O10" s="7" t="s">
        <v>160</v>
      </c>
      <c r="P10" s="7" t="s">
        <v>99</v>
      </c>
      <c r="Q10" s="1"/>
      <c r="R10" s="1"/>
      <c r="S10" s="193"/>
      <c r="T10" s="1"/>
      <c r="U10" s="1"/>
      <c r="V10" s="1"/>
      <c r="W10" s="1"/>
      <c r="X10" s="1"/>
      <c r="Y10" s="110" t="s">
        <v>1</v>
      </c>
      <c r="Z10" s="111" t="s">
        <v>161</v>
      </c>
      <c r="AA10" s="111" t="s">
        <v>162</v>
      </c>
      <c r="AB10" s="1"/>
      <c r="AC10" s="1"/>
    </row>
    <row r="11">
      <c r="A11" s="1"/>
      <c r="B11" s="112">
        <f>IFERROR(__xludf.DUMMYFUNCTION("""COMPUTED_VALUE"""),46146.64583333333)</f>
        <v>46146.64583</v>
      </c>
      <c r="C11" s="1">
        <f>IFERROR(__xludf.DUMMYFUNCTION("""COMPUTED_VALUE"""),301.7)</f>
        <v>301.7</v>
      </c>
      <c r="D11" s="1"/>
      <c r="E11" s="112">
        <f>IFERROR(__xludf.DUMMYFUNCTION("""COMPUTED_VALUE"""),46146.64583333333)</f>
        <v>46146.64583</v>
      </c>
      <c r="F11" s="1">
        <f>IFERROR(__xludf.DUMMYFUNCTION("""COMPUTED_VALUE"""),373.85)</f>
        <v>373.85</v>
      </c>
      <c r="G11" s="1"/>
      <c r="H11" s="29">
        <f t="shared" ref="H11:H124" si="3">C11/F11</f>
        <v>0.8070081584</v>
      </c>
      <c r="I11" s="1">
        <f t="shared" ref="I11:I119" si="4">C11-F11</f>
        <v>-72.15</v>
      </c>
      <c r="J11" s="113">
        <f t="shared" ref="J11:J119" si="5">((I11-$I$125)/$I$126)</f>
        <v>-0.001515732747</v>
      </c>
      <c r="K11" s="29">
        <f t="shared" ref="K11:K119" si="6">H11</f>
        <v>0.8070081584</v>
      </c>
      <c r="L11" s="1"/>
      <c r="M11" s="1"/>
      <c r="N11" s="1"/>
      <c r="O11" s="1"/>
      <c r="P11" s="1"/>
      <c r="Q11" s="1"/>
      <c r="R11" s="1"/>
      <c r="S11" s="193"/>
      <c r="T11" s="1"/>
      <c r="U11" s="1"/>
      <c r="V11" s="1">
        <f>V5-V6</f>
        <v>54900</v>
      </c>
      <c r="W11" s="54">
        <f>W6-W5</f>
        <v>46575</v>
      </c>
      <c r="X11" s="101">
        <f>V11+W11</f>
        <v>101475</v>
      </c>
      <c r="Y11" s="110" t="s">
        <v>101</v>
      </c>
      <c r="Z11" s="115">
        <f>AVERAGE(C88,C118)</f>
        <v>305.75</v>
      </c>
      <c r="AA11" s="115">
        <f>AVERAGE(F88,F118)</f>
        <v>357.125</v>
      </c>
      <c r="AB11" s="1"/>
      <c r="AC11" s="1"/>
    </row>
    <row r="12">
      <c r="A12" s="1"/>
      <c r="B12" s="112">
        <f>IFERROR(__xludf.DUMMYFUNCTION("""COMPUTED_VALUE"""),46147.64583333333)</f>
        <v>46147.64583</v>
      </c>
      <c r="C12" s="1">
        <f>IFERROR(__xludf.DUMMYFUNCTION("""COMPUTED_VALUE"""),298.5)</f>
        <v>298.5</v>
      </c>
      <c r="D12" s="1"/>
      <c r="E12" s="112">
        <f>IFERROR(__xludf.DUMMYFUNCTION("""COMPUTED_VALUE"""),46147.64583333333)</f>
        <v>46147.64583</v>
      </c>
      <c r="F12" s="1">
        <f>IFERROR(__xludf.DUMMYFUNCTION("""COMPUTED_VALUE"""),373.9)</f>
        <v>373.9</v>
      </c>
      <c r="G12" s="1"/>
      <c r="H12" s="29">
        <f t="shared" si="3"/>
        <v>0.7983418026</v>
      </c>
      <c r="I12" s="1">
        <f t="shared" si="4"/>
        <v>-75.4</v>
      </c>
      <c r="J12" s="113">
        <f t="shared" si="5"/>
        <v>-0.175949239</v>
      </c>
      <c r="K12" s="29">
        <f t="shared" si="6"/>
        <v>0.7983418026</v>
      </c>
      <c r="L12" s="1"/>
      <c r="M12" s="1"/>
      <c r="N12" s="1"/>
      <c r="O12" s="1"/>
      <c r="P12" s="1"/>
      <c r="Q12" s="1"/>
      <c r="R12" s="1"/>
      <c r="S12" s="193"/>
      <c r="T12" s="7" t="s">
        <v>103</v>
      </c>
      <c r="U12" s="116">
        <f>S2/3</f>
        <v>0.01723237578</v>
      </c>
      <c r="V12" s="1"/>
      <c r="W12" s="1"/>
      <c r="X12" s="1"/>
      <c r="Y12" s="110" t="s">
        <v>104</v>
      </c>
      <c r="Z12" s="115">
        <f>AVERAGE(C58,C118)</f>
        <v>305.125</v>
      </c>
      <c r="AA12" s="115">
        <f>AVERAGE(F58,F118)</f>
        <v>373.15</v>
      </c>
      <c r="AB12" s="1"/>
      <c r="AC12" s="1"/>
    </row>
    <row r="13">
      <c r="A13" s="1"/>
      <c r="B13" s="112">
        <f>IFERROR(__xludf.DUMMYFUNCTION("""COMPUTED_VALUE"""),46148.64583333333)</f>
        <v>46148.64583</v>
      </c>
      <c r="C13" s="1">
        <f>IFERROR(__xludf.DUMMYFUNCTION("""COMPUTED_VALUE"""),314.05)</f>
        <v>314.05</v>
      </c>
      <c r="D13" s="1"/>
      <c r="E13" s="112">
        <f>IFERROR(__xludf.DUMMYFUNCTION("""COMPUTED_VALUE"""),46148.64583333333)</f>
        <v>46148.64583</v>
      </c>
      <c r="F13" s="1">
        <f>IFERROR(__xludf.DUMMYFUNCTION("""COMPUTED_VALUE"""),399.2)</f>
        <v>399.2</v>
      </c>
      <c r="G13" s="1"/>
      <c r="H13" s="29">
        <f t="shared" si="3"/>
        <v>0.7866983968</v>
      </c>
      <c r="I13" s="1">
        <f t="shared" si="4"/>
        <v>-85.15</v>
      </c>
      <c r="J13" s="113">
        <f t="shared" si="5"/>
        <v>-0.6992497578</v>
      </c>
      <c r="K13" s="29">
        <f t="shared" si="6"/>
        <v>0.7866983968</v>
      </c>
      <c r="L13" s="1"/>
      <c r="M13" s="1"/>
      <c r="N13" s="1"/>
      <c r="O13" s="25"/>
      <c r="P13" s="1"/>
      <c r="Q13" s="1"/>
      <c r="R13" s="1"/>
      <c r="S13" s="193"/>
      <c r="T13" s="117"/>
      <c r="U13" s="118">
        <f>(X11*U12)/S2</f>
        <v>33825</v>
      </c>
      <c r="V13" s="117"/>
      <c r="W13" s="117"/>
      <c r="X13" s="119">
        <f>X11/(R2/U12)</f>
        <v>2085.323344</v>
      </c>
      <c r="Y13" s="110" t="s">
        <v>105</v>
      </c>
      <c r="Z13" s="115">
        <f>AVERAGE(C28,C118)</f>
        <v>303.825</v>
      </c>
      <c r="AA13" s="115">
        <f>AVERAGE(F28,F118)</f>
        <v>376.95</v>
      </c>
      <c r="AB13" s="1"/>
      <c r="AC13" s="1"/>
    </row>
    <row r="14">
      <c r="A14" s="1"/>
      <c r="B14" s="112">
        <f>IFERROR(__xludf.DUMMYFUNCTION("""COMPUTED_VALUE"""),46149.64583333333)</f>
        <v>46149.64583</v>
      </c>
      <c r="C14" s="1">
        <f>IFERROR(__xludf.DUMMYFUNCTION("""COMPUTED_VALUE"""),307.6)</f>
        <v>307.6</v>
      </c>
      <c r="D14" s="1"/>
      <c r="E14" s="112">
        <f>IFERROR(__xludf.DUMMYFUNCTION("""COMPUTED_VALUE"""),46149.64583333333)</f>
        <v>46149.64583</v>
      </c>
      <c r="F14" s="1">
        <f>IFERROR(__xludf.DUMMYFUNCTION("""COMPUTED_VALUE"""),396.5)</f>
        <v>396.5</v>
      </c>
      <c r="G14" s="1"/>
      <c r="H14" s="29">
        <f t="shared" si="3"/>
        <v>0.7757881463</v>
      </c>
      <c r="I14" s="1">
        <f t="shared" si="4"/>
        <v>-88.9</v>
      </c>
      <c r="J14" s="113">
        <f t="shared" si="5"/>
        <v>-0.9005191881</v>
      </c>
      <c r="K14" s="29">
        <f t="shared" si="6"/>
        <v>0.7757881463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12">
        <f>IFERROR(__xludf.DUMMYFUNCTION("""COMPUTED_VALUE"""),46150.64583333333)</f>
        <v>46150.64583</v>
      </c>
      <c r="C15" s="1">
        <f>IFERROR(__xludf.DUMMYFUNCTION("""COMPUTED_VALUE"""),302.75)</f>
        <v>302.75</v>
      </c>
      <c r="D15" s="1"/>
      <c r="E15" s="112">
        <f>IFERROR(__xludf.DUMMYFUNCTION("""COMPUTED_VALUE"""),46150.64583333333)</f>
        <v>46150.64583</v>
      </c>
      <c r="F15" s="1">
        <f>IFERROR(__xludf.DUMMYFUNCTION("""COMPUTED_VALUE"""),387.0)</f>
        <v>387</v>
      </c>
      <c r="G15" s="1"/>
      <c r="H15" s="29">
        <f t="shared" si="3"/>
        <v>0.7822997416</v>
      </c>
      <c r="I15" s="1">
        <f t="shared" si="4"/>
        <v>-84.25</v>
      </c>
      <c r="J15" s="113">
        <f t="shared" si="5"/>
        <v>-0.6509450945</v>
      </c>
      <c r="K15" s="29">
        <f t="shared" si="6"/>
        <v>0.7822997416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12">
        <f>IFERROR(__xludf.DUMMYFUNCTION("""COMPUTED_VALUE"""),46153.64583333333)</f>
        <v>46153.64583</v>
      </c>
      <c r="C16" s="1">
        <f>IFERROR(__xludf.DUMMYFUNCTION("""COMPUTED_VALUE"""),294.45)</f>
        <v>294.45</v>
      </c>
      <c r="D16" s="1"/>
      <c r="E16" s="112">
        <f>IFERROR(__xludf.DUMMYFUNCTION("""COMPUTED_VALUE"""),46153.64583333333)</f>
        <v>46153.64583</v>
      </c>
      <c r="F16" s="1">
        <f>IFERROR(__xludf.DUMMYFUNCTION("""COMPUTED_VALUE"""),377.8)</f>
        <v>377.8</v>
      </c>
      <c r="G16" s="1"/>
      <c r="H16" s="29">
        <f t="shared" si="3"/>
        <v>0.7793806247</v>
      </c>
      <c r="I16" s="1">
        <f t="shared" si="4"/>
        <v>-83.35</v>
      </c>
      <c r="J16" s="113">
        <f t="shared" si="5"/>
        <v>-0.6026404312</v>
      </c>
      <c r="K16" s="29">
        <f t="shared" si="6"/>
        <v>0.7793806247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12">
        <f>IFERROR(__xludf.DUMMYFUNCTION("""COMPUTED_VALUE"""),46154.64583333333)</f>
        <v>46154.64583</v>
      </c>
      <c r="C17" s="1">
        <f>IFERROR(__xludf.DUMMYFUNCTION("""COMPUTED_VALUE"""),287.85)</f>
        <v>287.85</v>
      </c>
      <c r="D17" s="1"/>
      <c r="E17" s="112">
        <f>IFERROR(__xludf.DUMMYFUNCTION("""COMPUTED_VALUE"""),46154.64583333333)</f>
        <v>46154.64583</v>
      </c>
      <c r="F17" s="1">
        <f>IFERROR(__xludf.DUMMYFUNCTION("""COMPUTED_VALUE"""),369.9)</f>
        <v>369.9</v>
      </c>
      <c r="G17" s="1"/>
      <c r="H17" s="29">
        <f t="shared" si="3"/>
        <v>0.7781832928</v>
      </c>
      <c r="I17" s="1">
        <f t="shared" si="4"/>
        <v>-82.05</v>
      </c>
      <c r="J17" s="113">
        <f t="shared" si="5"/>
        <v>-0.5328670287</v>
      </c>
      <c r="K17" s="29">
        <f t="shared" si="6"/>
        <v>0.7781832928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12">
        <f>IFERROR(__xludf.DUMMYFUNCTION("""COMPUTED_VALUE"""),46155.64583333333)</f>
        <v>46155.64583</v>
      </c>
      <c r="C18" s="1">
        <f>IFERROR(__xludf.DUMMYFUNCTION("""COMPUTED_VALUE"""),297.1)</f>
        <v>297.1</v>
      </c>
      <c r="D18" s="1"/>
      <c r="E18" s="112">
        <f>IFERROR(__xludf.DUMMYFUNCTION("""COMPUTED_VALUE"""),46155.64583333333)</f>
        <v>46155.64583</v>
      </c>
      <c r="F18" s="1">
        <f>IFERROR(__xludf.DUMMYFUNCTION("""COMPUTED_VALUE"""),390.1)</f>
        <v>390.1</v>
      </c>
      <c r="G18" s="1"/>
      <c r="H18" s="29">
        <f t="shared" si="3"/>
        <v>0.7615995898</v>
      </c>
      <c r="I18" s="1">
        <f t="shared" si="4"/>
        <v>-93</v>
      </c>
      <c r="J18" s="113">
        <f t="shared" si="5"/>
        <v>-1.120573765</v>
      </c>
      <c r="K18" s="29">
        <f t="shared" si="6"/>
        <v>0.7615995898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IFERROR(__xludf.DUMMYFUNCTION("""COMPUTED_VALUE"""),46156.64583333333)</f>
        <v>46156.64583</v>
      </c>
      <c r="C19" s="1">
        <f>IFERROR(__xludf.DUMMYFUNCTION("""COMPUTED_VALUE"""),295.0)</f>
        <v>295</v>
      </c>
      <c r="D19" s="1"/>
      <c r="E19" s="112">
        <f>IFERROR(__xludf.DUMMYFUNCTION("""COMPUTED_VALUE"""),46156.64583333333)</f>
        <v>46156.64583</v>
      </c>
      <c r="F19" s="1">
        <f>IFERROR(__xludf.DUMMYFUNCTION("""COMPUTED_VALUE"""),377.55)</f>
        <v>377.55</v>
      </c>
      <c r="G19" s="1"/>
      <c r="H19" s="29">
        <f t="shared" si="3"/>
        <v>0.7813534631</v>
      </c>
      <c r="I19" s="1">
        <f t="shared" si="4"/>
        <v>-82.55</v>
      </c>
      <c r="J19" s="113">
        <f t="shared" si="5"/>
        <v>-0.5597029528</v>
      </c>
      <c r="K19" s="29">
        <f t="shared" si="6"/>
        <v>0.7813534631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IFERROR(__xludf.DUMMYFUNCTION("""COMPUTED_VALUE"""),46157.64583333333)</f>
        <v>46157.64583</v>
      </c>
      <c r="C20" s="1">
        <f>IFERROR(__xludf.DUMMYFUNCTION("""COMPUTED_VALUE"""),284.45)</f>
        <v>284.45</v>
      </c>
      <c r="D20" s="1"/>
      <c r="E20" s="112">
        <f>IFERROR(__xludf.DUMMYFUNCTION("""COMPUTED_VALUE"""),46157.64583333333)</f>
        <v>46157.64583</v>
      </c>
      <c r="F20" s="1">
        <f>IFERROR(__xludf.DUMMYFUNCTION("""COMPUTED_VALUE"""),366.4)</f>
        <v>366.4</v>
      </c>
      <c r="G20" s="1"/>
      <c r="H20" s="29">
        <f t="shared" si="3"/>
        <v>0.7763373362</v>
      </c>
      <c r="I20" s="1">
        <f t="shared" si="4"/>
        <v>-81.95</v>
      </c>
      <c r="J20" s="113">
        <f t="shared" si="5"/>
        <v>-0.5274998439</v>
      </c>
      <c r="K20" s="29">
        <f t="shared" si="6"/>
        <v>0.7763373362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IFERROR(__xludf.DUMMYFUNCTION("""COMPUTED_VALUE"""),46160.64583333333)</f>
        <v>46160.64583</v>
      </c>
      <c r="C21" s="1">
        <f>IFERROR(__xludf.DUMMYFUNCTION("""COMPUTED_VALUE"""),280.8)</f>
        <v>280.8</v>
      </c>
      <c r="D21" s="1"/>
      <c r="E21" s="112">
        <f>IFERROR(__xludf.DUMMYFUNCTION("""COMPUTED_VALUE"""),46160.64583333333)</f>
        <v>46160.64583</v>
      </c>
      <c r="F21" s="1">
        <f>IFERROR(__xludf.DUMMYFUNCTION("""COMPUTED_VALUE"""),358.9)</f>
        <v>358.9</v>
      </c>
      <c r="G21" s="1"/>
      <c r="H21" s="29">
        <f t="shared" si="3"/>
        <v>0.7823906381</v>
      </c>
      <c r="I21" s="1">
        <f t="shared" si="4"/>
        <v>-78.1</v>
      </c>
      <c r="J21" s="113">
        <f t="shared" si="5"/>
        <v>-0.3208632288</v>
      </c>
      <c r="K21" s="29">
        <f t="shared" si="6"/>
        <v>0.7823906381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IFERROR(__xludf.DUMMYFUNCTION("""COMPUTED_VALUE"""),46161.64583333333)</f>
        <v>46161.64583</v>
      </c>
      <c r="C22" s="1">
        <f>IFERROR(__xludf.DUMMYFUNCTION("""COMPUTED_VALUE"""),286.45)</f>
        <v>286.45</v>
      </c>
      <c r="D22" s="1"/>
      <c r="E22" s="112">
        <f>IFERROR(__xludf.DUMMYFUNCTION("""COMPUTED_VALUE"""),46161.64583333333)</f>
        <v>46161.64583</v>
      </c>
      <c r="F22" s="1">
        <f>IFERROR(__xludf.DUMMYFUNCTION("""COMPUTED_VALUE"""),371.0)</f>
        <v>371</v>
      </c>
      <c r="G22" s="1"/>
      <c r="H22" s="29">
        <f t="shared" si="3"/>
        <v>0.7721024259</v>
      </c>
      <c r="I22" s="1">
        <f t="shared" si="4"/>
        <v>-84.55</v>
      </c>
      <c r="J22" s="113">
        <f t="shared" si="5"/>
        <v>-0.6670466489</v>
      </c>
      <c r="K22" s="29">
        <f t="shared" si="6"/>
        <v>0.7721024259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IFERROR(__xludf.DUMMYFUNCTION("""COMPUTED_VALUE"""),46162.64583333333)</f>
        <v>46162.64583</v>
      </c>
      <c r="C23" s="1">
        <f>IFERROR(__xludf.DUMMYFUNCTION("""COMPUTED_VALUE"""),293.75)</f>
        <v>293.75</v>
      </c>
      <c r="D23" s="1"/>
      <c r="E23" s="112">
        <f>IFERROR(__xludf.DUMMYFUNCTION("""COMPUTED_VALUE"""),46162.64583333333)</f>
        <v>46162.64583</v>
      </c>
      <c r="F23" s="1">
        <f>IFERROR(__xludf.DUMMYFUNCTION("""COMPUTED_VALUE"""),382.75)</f>
        <v>382.75</v>
      </c>
      <c r="G23" s="1"/>
      <c r="H23" s="29">
        <f t="shared" si="3"/>
        <v>0.7674722404</v>
      </c>
      <c r="I23" s="1">
        <f t="shared" si="4"/>
        <v>-89</v>
      </c>
      <c r="J23" s="113">
        <f t="shared" si="5"/>
        <v>-0.9058863729</v>
      </c>
      <c r="K23" s="29">
        <f t="shared" si="6"/>
        <v>0.7674722404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IFERROR(__xludf.DUMMYFUNCTION("""COMPUTED_VALUE"""),46163.64583333333)</f>
        <v>46163.64583</v>
      </c>
      <c r="C24" s="1">
        <f>IFERROR(__xludf.DUMMYFUNCTION("""COMPUTED_VALUE"""),296.4)</f>
        <v>296.4</v>
      </c>
      <c r="D24" s="1"/>
      <c r="E24" s="112">
        <f>IFERROR(__xludf.DUMMYFUNCTION("""COMPUTED_VALUE"""),46163.64583333333)</f>
        <v>46163.64583</v>
      </c>
      <c r="F24" s="1">
        <f>IFERROR(__xludf.DUMMYFUNCTION("""COMPUTED_VALUE"""),388.8)</f>
        <v>388.8</v>
      </c>
      <c r="G24" s="1"/>
      <c r="H24" s="29">
        <f t="shared" si="3"/>
        <v>0.762345679</v>
      </c>
      <c r="I24" s="1">
        <f t="shared" si="4"/>
        <v>-92.4</v>
      </c>
      <c r="J24" s="113">
        <f t="shared" si="5"/>
        <v>-1.088370656</v>
      </c>
      <c r="K24" s="29">
        <f t="shared" si="6"/>
        <v>0.762345679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IFERROR(__xludf.DUMMYFUNCTION("""COMPUTED_VALUE"""),46164.64583333333)</f>
        <v>46164.64583</v>
      </c>
      <c r="C25" s="1">
        <f>IFERROR(__xludf.DUMMYFUNCTION("""COMPUTED_VALUE"""),295.6)</f>
        <v>295.6</v>
      </c>
      <c r="D25" s="1"/>
      <c r="E25" s="112">
        <f>IFERROR(__xludf.DUMMYFUNCTION("""COMPUTED_VALUE"""),46164.64583333333)</f>
        <v>46164.64583</v>
      </c>
      <c r="F25" s="1">
        <f>IFERROR(__xludf.DUMMYFUNCTION("""COMPUTED_VALUE"""),389.65)</f>
        <v>389.65</v>
      </c>
      <c r="G25" s="1"/>
      <c r="H25" s="29">
        <f t="shared" si="3"/>
        <v>0.7586295393</v>
      </c>
      <c r="I25" s="1">
        <f t="shared" si="4"/>
        <v>-94.05</v>
      </c>
      <c r="J25" s="113">
        <f t="shared" si="5"/>
        <v>-1.176929206</v>
      </c>
      <c r="K25" s="29">
        <f t="shared" si="6"/>
        <v>0.7586295393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IFERROR(__xludf.DUMMYFUNCTION("""COMPUTED_VALUE"""),46167.64583333333)</f>
        <v>46167.64583</v>
      </c>
      <c r="C26" s="1">
        <f>IFERROR(__xludf.DUMMYFUNCTION("""COMPUTED_VALUE"""),308.25)</f>
        <v>308.25</v>
      </c>
      <c r="D26" s="1"/>
      <c r="E26" s="112">
        <f>IFERROR(__xludf.DUMMYFUNCTION("""COMPUTED_VALUE"""),46167.64583333333)</f>
        <v>46167.64583</v>
      </c>
      <c r="F26" s="1">
        <f>IFERROR(__xludf.DUMMYFUNCTION("""COMPUTED_VALUE"""),403.35)</f>
        <v>403.35</v>
      </c>
      <c r="G26" s="1"/>
      <c r="H26" s="29">
        <f t="shared" si="3"/>
        <v>0.7642246188</v>
      </c>
      <c r="I26" s="1">
        <f t="shared" si="4"/>
        <v>-95.1</v>
      </c>
      <c r="J26" s="113">
        <f t="shared" si="5"/>
        <v>-1.233284646</v>
      </c>
      <c r="K26" s="29">
        <f t="shared" si="6"/>
        <v>0.7642246188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IFERROR(__xludf.DUMMYFUNCTION("""COMPUTED_VALUE"""),46168.64583333333)</f>
        <v>46168.64583</v>
      </c>
      <c r="C27" s="1">
        <f>IFERROR(__xludf.DUMMYFUNCTION("""COMPUTED_VALUE"""),304.6)</f>
        <v>304.6</v>
      </c>
      <c r="D27" s="1"/>
      <c r="E27" s="112">
        <f>IFERROR(__xludf.DUMMYFUNCTION("""COMPUTED_VALUE"""),46168.64583333333)</f>
        <v>46168.64583</v>
      </c>
      <c r="F27" s="1">
        <f>IFERROR(__xludf.DUMMYFUNCTION("""COMPUTED_VALUE"""),398.0)</f>
        <v>398</v>
      </c>
      <c r="G27" s="1"/>
      <c r="H27" s="29">
        <f t="shared" si="3"/>
        <v>0.7653266332</v>
      </c>
      <c r="I27" s="1">
        <f t="shared" si="4"/>
        <v>-93.4</v>
      </c>
      <c r="J27" s="113">
        <f t="shared" si="5"/>
        <v>-1.142042504</v>
      </c>
      <c r="K27" s="29">
        <f t="shared" si="6"/>
        <v>0.7653266332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0.8695299393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IFERROR(__xludf.DUMMYFUNCTION("""COMPUTED_VALUE"""),46169.64583333333)</f>
        <v>46169.64583</v>
      </c>
      <c r="C28" s="1">
        <f>IFERROR(__xludf.DUMMYFUNCTION("""COMPUTED_VALUE"""),307.15)</f>
        <v>307.15</v>
      </c>
      <c r="D28" s="1"/>
      <c r="E28" s="112">
        <f>IFERROR(__xludf.DUMMYFUNCTION("""COMPUTED_VALUE"""),46169.64583333333)</f>
        <v>46169.64583</v>
      </c>
      <c r="F28" s="1">
        <f>IFERROR(__xludf.DUMMYFUNCTION("""COMPUTED_VALUE"""),402.9)</f>
        <v>402.9</v>
      </c>
      <c r="G28" s="1"/>
      <c r="H28" s="29">
        <f t="shared" si="3"/>
        <v>0.7623479772</v>
      </c>
      <c r="I28" s="1">
        <f t="shared" si="4"/>
        <v>-95.75</v>
      </c>
      <c r="J28" s="113">
        <f t="shared" si="5"/>
        <v>-1.268171347</v>
      </c>
      <c r="K28" s="29">
        <f t="shared" si="6"/>
        <v>0.7623479772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0.8902506964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IFERROR(__xludf.DUMMYFUNCTION("""COMPUTED_VALUE"""),46171.64583333333)</f>
        <v>46171.64583</v>
      </c>
      <c r="C29" s="1">
        <f>IFERROR(__xludf.DUMMYFUNCTION("""COMPUTED_VALUE"""),298.1)</f>
        <v>298.1</v>
      </c>
      <c r="D29" s="1"/>
      <c r="E29" s="112">
        <f>IFERROR(__xludf.DUMMYFUNCTION("""COMPUTED_VALUE"""),46171.64583333333)</f>
        <v>46171.64583</v>
      </c>
      <c r="F29" s="1">
        <f>IFERROR(__xludf.DUMMYFUNCTION("""COMPUTED_VALUE"""),393.85)</f>
        <v>393.85</v>
      </c>
      <c r="G29" s="1"/>
      <c r="H29" s="29">
        <f t="shared" si="3"/>
        <v>0.7568871398</v>
      </c>
      <c r="I29" s="1">
        <f t="shared" si="4"/>
        <v>-95.75</v>
      </c>
      <c r="J29" s="113">
        <f t="shared" si="5"/>
        <v>-1.268171347</v>
      </c>
      <c r="K29" s="29">
        <f t="shared" si="6"/>
        <v>0.7568871398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IFERROR(__xludf.DUMMYFUNCTION("""COMPUTED_VALUE"""),46174.64583333333)</f>
        <v>46174.64583</v>
      </c>
      <c r="C30" s="1">
        <f>IFERROR(__xludf.DUMMYFUNCTION("""COMPUTED_VALUE"""),296.85)</f>
        <v>296.85</v>
      </c>
      <c r="D30" s="1"/>
      <c r="E30" s="112">
        <f>IFERROR(__xludf.DUMMYFUNCTION("""COMPUTED_VALUE"""),46174.64583333333)</f>
        <v>46174.64583</v>
      </c>
      <c r="F30" s="1">
        <f>IFERROR(__xludf.DUMMYFUNCTION("""COMPUTED_VALUE"""),388.6)</f>
        <v>388.6</v>
      </c>
      <c r="G30" s="1"/>
      <c r="H30" s="29">
        <f t="shared" si="3"/>
        <v>0.7638960371</v>
      </c>
      <c r="I30" s="1">
        <f t="shared" si="4"/>
        <v>-91.75</v>
      </c>
      <c r="J30" s="113">
        <f t="shared" si="5"/>
        <v>-1.053483955</v>
      </c>
      <c r="K30" s="29">
        <f t="shared" si="6"/>
        <v>0.7638960371</v>
      </c>
      <c r="L30" s="1">
        <f t="shared" ref="L30:L119" si="7">AVERAGE(C11:C30)</f>
        <v>297.57</v>
      </c>
      <c r="M30" s="25">
        <f t="shared" ref="M30:M119" si="8">(C30-L30)/C30</f>
        <v>-0.002425467408</v>
      </c>
      <c r="N30" s="65">
        <f t="shared" ref="N30:N119" si="9">AVERAGE(F11:F30)</f>
        <v>384.5</v>
      </c>
      <c r="O30" s="25">
        <f t="shared" ref="O30:O119" si="10">(F30-N30)/F30</f>
        <v>0.0105506948</v>
      </c>
      <c r="P30" s="25">
        <f t="shared" ref="P30:P119" si="11">M30-O30</f>
        <v>-0.01297616221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IFERROR(__xludf.DUMMYFUNCTION("""COMPUTED_VALUE"""),46175.64583333333)</f>
        <v>46175.64583</v>
      </c>
      <c r="C31" s="1">
        <f>IFERROR(__xludf.DUMMYFUNCTION("""COMPUTED_VALUE"""),294.4)</f>
        <v>294.4</v>
      </c>
      <c r="D31" s="1"/>
      <c r="E31" s="112">
        <f>IFERROR(__xludf.DUMMYFUNCTION("""COMPUTED_VALUE"""),46175.64583333333)</f>
        <v>46175.64583</v>
      </c>
      <c r="F31" s="1">
        <f>IFERROR(__xludf.DUMMYFUNCTION("""COMPUTED_VALUE"""),383.75)</f>
        <v>383.75</v>
      </c>
      <c r="G31" s="1"/>
      <c r="H31" s="29">
        <f t="shared" si="3"/>
        <v>0.7671661238</v>
      </c>
      <c r="I31" s="1">
        <f t="shared" si="4"/>
        <v>-89.35</v>
      </c>
      <c r="J31" s="113">
        <f t="shared" si="5"/>
        <v>-0.9246715197</v>
      </c>
      <c r="K31" s="29">
        <f t="shared" si="6"/>
        <v>0.7671661238</v>
      </c>
      <c r="L31" s="65">
        <f t="shared" si="7"/>
        <v>297.205</v>
      </c>
      <c r="M31" s="25">
        <f t="shared" si="8"/>
        <v>-0.009527853261</v>
      </c>
      <c r="N31" s="65">
        <f t="shared" si="9"/>
        <v>384.995</v>
      </c>
      <c r="O31" s="25">
        <f t="shared" si="10"/>
        <v>-0.003244299674</v>
      </c>
      <c r="P31" s="25">
        <f t="shared" si="11"/>
        <v>-0.006283553587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IFERROR(__xludf.DUMMYFUNCTION("""COMPUTED_VALUE"""),46176.64583333333)</f>
        <v>46176.64583</v>
      </c>
      <c r="C32" s="1">
        <f>IFERROR(__xludf.DUMMYFUNCTION("""COMPUTED_VALUE"""),292.1)</f>
        <v>292.1</v>
      </c>
      <c r="D32" s="1"/>
      <c r="E32" s="112">
        <f>IFERROR(__xludf.DUMMYFUNCTION("""COMPUTED_VALUE"""),46176.64583333333)</f>
        <v>46176.64583</v>
      </c>
      <c r="F32" s="1">
        <f>IFERROR(__xludf.DUMMYFUNCTION("""COMPUTED_VALUE"""),384.1)</f>
        <v>384.1</v>
      </c>
      <c r="G32" s="1"/>
      <c r="H32" s="29">
        <f t="shared" si="3"/>
        <v>0.7604790419</v>
      </c>
      <c r="I32" s="1">
        <f t="shared" si="4"/>
        <v>-92</v>
      </c>
      <c r="J32" s="113">
        <f t="shared" si="5"/>
        <v>-1.066901917</v>
      </c>
      <c r="K32" s="29">
        <f t="shared" si="6"/>
        <v>0.7604790419</v>
      </c>
      <c r="L32" s="65">
        <f t="shared" si="7"/>
        <v>296.885</v>
      </c>
      <c r="M32" s="25">
        <f t="shared" si="8"/>
        <v>-0.01638137624</v>
      </c>
      <c r="N32" s="65">
        <f t="shared" si="9"/>
        <v>385.505</v>
      </c>
      <c r="O32" s="25">
        <f t="shared" si="10"/>
        <v>-0.003657901588</v>
      </c>
      <c r="P32" s="25">
        <f t="shared" si="11"/>
        <v>-0.01272347465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IFERROR(__xludf.DUMMYFUNCTION("""COMPUTED_VALUE"""),46177.64583333333)</f>
        <v>46177.64583</v>
      </c>
      <c r="C33" s="1">
        <f>IFERROR(__xludf.DUMMYFUNCTION("""COMPUTED_VALUE"""),295.15)</f>
        <v>295.15</v>
      </c>
      <c r="D33" s="1"/>
      <c r="E33" s="112">
        <f>IFERROR(__xludf.DUMMYFUNCTION("""COMPUTED_VALUE"""),46177.64583333333)</f>
        <v>46177.64583</v>
      </c>
      <c r="F33" s="1">
        <f>IFERROR(__xludf.DUMMYFUNCTION("""COMPUTED_VALUE"""),387.0)</f>
        <v>387</v>
      </c>
      <c r="G33" s="1"/>
      <c r="H33" s="29">
        <f t="shared" si="3"/>
        <v>0.7626614987</v>
      </c>
      <c r="I33" s="1">
        <f t="shared" si="4"/>
        <v>-91.85</v>
      </c>
      <c r="J33" s="113">
        <f t="shared" si="5"/>
        <v>-1.05885114</v>
      </c>
      <c r="K33" s="29">
        <f t="shared" si="6"/>
        <v>0.7626614987</v>
      </c>
      <c r="L33" s="65">
        <f t="shared" si="7"/>
        <v>295.94</v>
      </c>
      <c r="M33" s="25">
        <f t="shared" si="8"/>
        <v>-0.002676605116</v>
      </c>
      <c r="N33" s="65">
        <f t="shared" si="9"/>
        <v>384.895</v>
      </c>
      <c r="O33" s="25">
        <f t="shared" si="10"/>
        <v>0.005439276486</v>
      </c>
      <c r="P33" s="25">
        <f t="shared" si="11"/>
        <v>-0.008115881602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IFERROR(__xludf.DUMMYFUNCTION("""COMPUTED_VALUE"""),46178.64583333333)</f>
        <v>46178.64583</v>
      </c>
      <c r="C34" s="1">
        <f>IFERROR(__xludf.DUMMYFUNCTION("""COMPUTED_VALUE"""),295.0)</f>
        <v>295</v>
      </c>
      <c r="D34" s="1"/>
      <c r="E34" s="112">
        <f>IFERROR(__xludf.DUMMYFUNCTION("""COMPUTED_VALUE"""),46178.64583333333)</f>
        <v>46178.64583</v>
      </c>
      <c r="F34" s="1">
        <f>IFERROR(__xludf.DUMMYFUNCTION("""COMPUTED_VALUE"""),385.05)</f>
        <v>385.05</v>
      </c>
      <c r="G34" s="1"/>
      <c r="H34" s="29">
        <f t="shared" si="3"/>
        <v>0.7661342683</v>
      </c>
      <c r="I34" s="1">
        <f t="shared" si="4"/>
        <v>-90.05</v>
      </c>
      <c r="J34" s="113">
        <f t="shared" si="5"/>
        <v>-0.9622418134</v>
      </c>
      <c r="K34" s="29">
        <f t="shared" si="6"/>
        <v>0.7661342683</v>
      </c>
      <c r="L34" s="65">
        <f t="shared" si="7"/>
        <v>295.31</v>
      </c>
      <c r="M34" s="25">
        <f t="shared" si="8"/>
        <v>-0.001050847458</v>
      </c>
      <c r="N34" s="65">
        <f t="shared" si="9"/>
        <v>384.3225</v>
      </c>
      <c r="O34" s="25">
        <f t="shared" si="10"/>
        <v>0.001889365018</v>
      </c>
      <c r="P34" s="25">
        <f t="shared" si="11"/>
        <v>-0.002940212475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IFERROR(__xludf.DUMMYFUNCTION("""COMPUTED_VALUE"""),46181.64583333333)</f>
        <v>46181.64583</v>
      </c>
      <c r="C35" s="1">
        <f>IFERROR(__xludf.DUMMYFUNCTION("""COMPUTED_VALUE"""),285.15)</f>
        <v>285.15</v>
      </c>
      <c r="D35" s="1"/>
      <c r="E35" s="112">
        <f>IFERROR(__xludf.DUMMYFUNCTION("""COMPUTED_VALUE"""),46181.64583333333)</f>
        <v>46181.64583</v>
      </c>
      <c r="F35" s="1">
        <f>IFERROR(__xludf.DUMMYFUNCTION("""COMPUTED_VALUE"""),372.75)</f>
        <v>372.75</v>
      </c>
      <c r="G35" s="1"/>
      <c r="H35" s="29">
        <f t="shared" si="3"/>
        <v>0.7649899396</v>
      </c>
      <c r="I35" s="1">
        <f t="shared" si="4"/>
        <v>-87.6</v>
      </c>
      <c r="J35" s="113">
        <f t="shared" si="5"/>
        <v>-0.8307457856</v>
      </c>
      <c r="K35" s="29">
        <f t="shared" si="6"/>
        <v>0.7649899396</v>
      </c>
      <c r="L35" s="65">
        <f t="shared" si="7"/>
        <v>294.43</v>
      </c>
      <c r="M35" s="25">
        <f t="shared" si="8"/>
        <v>-0.03254427494</v>
      </c>
      <c r="N35" s="65">
        <f t="shared" si="9"/>
        <v>383.61</v>
      </c>
      <c r="O35" s="25">
        <f t="shared" si="10"/>
        <v>-0.02913480885</v>
      </c>
      <c r="P35" s="25">
        <f t="shared" si="11"/>
        <v>-0.00340946609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IFERROR(__xludf.DUMMYFUNCTION("""COMPUTED_VALUE"""),46182.64583333333)</f>
        <v>46182.64583</v>
      </c>
      <c r="C36" s="1">
        <f>IFERROR(__xludf.DUMMYFUNCTION("""COMPUTED_VALUE"""),289.1)</f>
        <v>289.1</v>
      </c>
      <c r="D36" s="1"/>
      <c r="E36" s="112">
        <f>IFERROR(__xludf.DUMMYFUNCTION("""COMPUTED_VALUE"""),46182.64583333333)</f>
        <v>46182.64583</v>
      </c>
      <c r="F36" s="1">
        <f>IFERROR(__xludf.DUMMYFUNCTION("""COMPUTED_VALUE"""),382.0)</f>
        <v>382</v>
      </c>
      <c r="G36" s="1"/>
      <c r="H36" s="29">
        <f t="shared" si="3"/>
        <v>0.7568062827</v>
      </c>
      <c r="I36" s="1">
        <f t="shared" si="4"/>
        <v>-92.9</v>
      </c>
      <c r="J36" s="113">
        <f t="shared" si="5"/>
        <v>-1.11520658</v>
      </c>
      <c r="K36" s="29">
        <f t="shared" si="6"/>
        <v>0.7568062827</v>
      </c>
      <c r="L36" s="65">
        <f t="shared" si="7"/>
        <v>294.1625</v>
      </c>
      <c r="M36" s="25">
        <f t="shared" si="8"/>
        <v>-0.01751124178</v>
      </c>
      <c r="N36" s="65">
        <f t="shared" si="9"/>
        <v>383.82</v>
      </c>
      <c r="O36" s="25">
        <f t="shared" si="10"/>
        <v>-0.004764397906</v>
      </c>
      <c r="P36" s="25">
        <f t="shared" si="11"/>
        <v>-0.01274684388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IFERROR(__xludf.DUMMYFUNCTION("""COMPUTED_VALUE"""),46183.64583333333)</f>
        <v>46183.64583</v>
      </c>
      <c r="C37" s="1">
        <f>IFERROR(__xludf.DUMMYFUNCTION("""COMPUTED_VALUE"""),288.0)</f>
        <v>288</v>
      </c>
      <c r="D37" s="1"/>
      <c r="E37" s="112">
        <f>IFERROR(__xludf.DUMMYFUNCTION("""COMPUTED_VALUE"""),46183.64583333333)</f>
        <v>46183.64583</v>
      </c>
      <c r="F37" s="1">
        <f>IFERROR(__xludf.DUMMYFUNCTION("""COMPUTED_VALUE"""),374.4)</f>
        <v>374.4</v>
      </c>
      <c r="G37" s="1"/>
      <c r="H37" s="29">
        <f t="shared" si="3"/>
        <v>0.7692307692</v>
      </c>
      <c r="I37" s="1">
        <f t="shared" si="4"/>
        <v>-86.4</v>
      </c>
      <c r="J37" s="113">
        <f t="shared" si="5"/>
        <v>-0.7663395679</v>
      </c>
      <c r="K37" s="29">
        <f t="shared" si="6"/>
        <v>0.7692307692</v>
      </c>
      <c r="L37" s="65">
        <f t="shared" si="7"/>
        <v>294.17</v>
      </c>
      <c r="M37" s="25">
        <f t="shared" si="8"/>
        <v>-0.02142361111</v>
      </c>
      <c r="N37" s="65">
        <f t="shared" si="9"/>
        <v>384.045</v>
      </c>
      <c r="O37" s="25">
        <f t="shared" si="10"/>
        <v>-0.02576121795</v>
      </c>
      <c r="P37" s="25">
        <f t="shared" si="11"/>
        <v>0.004337606838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IFERROR(__xludf.DUMMYFUNCTION("""COMPUTED_VALUE"""),46184.64583333333)</f>
        <v>46184.64583</v>
      </c>
      <c r="C38" s="1">
        <f>IFERROR(__xludf.DUMMYFUNCTION("""COMPUTED_VALUE"""),286.35)</f>
        <v>286.35</v>
      </c>
      <c r="D38" s="1"/>
      <c r="E38" s="112">
        <f>IFERROR(__xludf.DUMMYFUNCTION("""COMPUTED_VALUE"""),46184.64583333333)</f>
        <v>46184.64583</v>
      </c>
      <c r="F38" s="1">
        <f>IFERROR(__xludf.DUMMYFUNCTION("""COMPUTED_VALUE"""),365.7)</f>
        <v>365.7</v>
      </c>
      <c r="G38" s="1"/>
      <c r="H38" s="29">
        <f t="shared" si="3"/>
        <v>0.7830188679</v>
      </c>
      <c r="I38" s="1">
        <f t="shared" si="4"/>
        <v>-79.35</v>
      </c>
      <c r="J38" s="113">
        <f t="shared" si="5"/>
        <v>-0.3879530389</v>
      </c>
      <c r="K38" s="29">
        <f t="shared" si="6"/>
        <v>0.7830188679</v>
      </c>
      <c r="L38" s="65">
        <f t="shared" si="7"/>
        <v>293.6325</v>
      </c>
      <c r="M38" s="25">
        <f t="shared" si="8"/>
        <v>-0.02543216344</v>
      </c>
      <c r="N38" s="65">
        <f t="shared" si="9"/>
        <v>382.825</v>
      </c>
      <c r="O38" s="25">
        <f t="shared" si="10"/>
        <v>-0.04682800109</v>
      </c>
      <c r="P38" s="25">
        <f t="shared" si="11"/>
        <v>0.02139583766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IFERROR(__xludf.DUMMYFUNCTION("""COMPUTED_VALUE"""),46185.64583333333)</f>
        <v>46185.64583</v>
      </c>
      <c r="C39" s="1">
        <f>IFERROR(__xludf.DUMMYFUNCTION("""COMPUTED_VALUE"""),302.35)</f>
        <v>302.35</v>
      </c>
      <c r="D39" s="1"/>
      <c r="E39" s="112">
        <f>IFERROR(__xludf.DUMMYFUNCTION("""COMPUTED_VALUE"""),46185.64583333333)</f>
        <v>46185.64583</v>
      </c>
      <c r="F39" s="1">
        <f>IFERROR(__xludf.DUMMYFUNCTION("""COMPUTED_VALUE"""),388.9)</f>
        <v>388.9</v>
      </c>
      <c r="G39" s="1"/>
      <c r="H39" s="29">
        <f t="shared" si="3"/>
        <v>0.7774492157</v>
      </c>
      <c r="I39" s="1">
        <f t="shared" si="4"/>
        <v>-86.55</v>
      </c>
      <c r="J39" s="113">
        <f t="shared" si="5"/>
        <v>-0.7743903451</v>
      </c>
      <c r="K39" s="29">
        <f t="shared" si="6"/>
        <v>0.7774492157</v>
      </c>
      <c r="L39" s="65">
        <f t="shared" si="7"/>
        <v>294</v>
      </c>
      <c r="M39" s="25">
        <f t="shared" si="8"/>
        <v>0.02761700017</v>
      </c>
      <c r="N39" s="65">
        <f t="shared" si="9"/>
        <v>383.3925</v>
      </c>
      <c r="O39" s="25">
        <f t="shared" si="10"/>
        <v>0.01416173824</v>
      </c>
      <c r="P39" s="25">
        <f t="shared" si="11"/>
        <v>0.01345526193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IFERROR(__xludf.DUMMYFUNCTION("""COMPUTED_VALUE"""),46188.64583333333)</f>
        <v>46188.64583</v>
      </c>
      <c r="C40" s="1">
        <f>IFERROR(__xludf.DUMMYFUNCTION("""COMPUTED_VALUE"""),310.6)</f>
        <v>310.6</v>
      </c>
      <c r="D40" s="1"/>
      <c r="E40" s="112">
        <f>IFERROR(__xludf.DUMMYFUNCTION("""COMPUTED_VALUE"""),46188.64583333333)</f>
        <v>46188.64583</v>
      </c>
      <c r="F40" s="1">
        <f>IFERROR(__xludf.DUMMYFUNCTION("""COMPUTED_VALUE"""),401.65)</f>
        <v>401.65</v>
      </c>
      <c r="G40" s="1"/>
      <c r="H40" s="29">
        <f t="shared" si="3"/>
        <v>0.7733100959</v>
      </c>
      <c r="I40" s="1">
        <f t="shared" si="4"/>
        <v>-91.05</v>
      </c>
      <c r="J40" s="113">
        <f t="shared" si="5"/>
        <v>-1.015913661</v>
      </c>
      <c r="K40" s="29">
        <f t="shared" si="6"/>
        <v>0.7733100959</v>
      </c>
      <c r="L40" s="65">
        <f t="shared" si="7"/>
        <v>295.3075</v>
      </c>
      <c r="M40" s="25">
        <f t="shared" si="8"/>
        <v>0.04923535093</v>
      </c>
      <c r="N40" s="65">
        <f t="shared" si="9"/>
        <v>385.155</v>
      </c>
      <c r="O40" s="25">
        <f t="shared" si="10"/>
        <v>0.04106809411</v>
      </c>
      <c r="P40" s="25">
        <f t="shared" si="11"/>
        <v>0.008167256822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IFERROR(__xludf.DUMMYFUNCTION("""COMPUTED_VALUE"""),46189.64583333333)</f>
        <v>46189.64583</v>
      </c>
      <c r="C41" s="1">
        <f>IFERROR(__xludf.DUMMYFUNCTION("""COMPUTED_VALUE"""),312.1)</f>
        <v>312.1</v>
      </c>
      <c r="D41" s="1"/>
      <c r="E41" s="112">
        <f>IFERROR(__xludf.DUMMYFUNCTION("""COMPUTED_VALUE"""),46189.64583333333)</f>
        <v>46189.64583</v>
      </c>
      <c r="F41" s="1">
        <f>IFERROR(__xludf.DUMMYFUNCTION("""COMPUTED_VALUE"""),401.8)</f>
        <v>401.8</v>
      </c>
      <c r="G41" s="1"/>
      <c r="H41" s="29">
        <f t="shared" si="3"/>
        <v>0.7767546043</v>
      </c>
      <c r="I41" s="1">
        <f t="shared" si="4"/>
        <v>-89.7</v>
      </c>
      <c r="J41" s="113">
        <f t="shared" si="5"/>
        <v>-0.9434566665</v>
      </c>
      <c r="K41" s="29">
        <f t="shared" si="6"/>
        <v>0.7767546043</v>
      </c>
      <c r="L41" s="65">
        <f t="shared" si="7"/>
        <v>296.8725</v>
      </c>
      <c r="M41" s="25">
        <f t="shared" si="8"/>
        <v>0.04879045178</v>
      </c>
      <c r="N41" s="65">
        <f t="shared" si="9"/>
        <v>387.3</v>
      </c>
      <c r="O41" s="25">
        <f t="shared" si="10"/>
        <v>0.03608760577</v>
      </c>
      <c r="P41" s="25">
        <f t="shared" si="11"/>
        <v>0.012702846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IFERROR(__xludf.DUMMYFUNCTION("""COMPUTED_VALUE"""),46190.64583333333)</f>
        <v>46190.64583</v>
      </c>
      <c r="C42" s="1">
        <f>IFERROR(__xludf.DUMMYFUNCTION("""COMPUTED_VALUE"""),317.95)</f>
        <v>317.95</v>
      </c>
      <c r="D42" s="1"/>
      <c r="E42" s="112">
        <f>IFERROR(__xludf.DUMMYFUNCTION("""COMPUTED_VALUE"""),46190.64583333333)</f>
        <v>46190.64583</v>
      </c>
      <c r="F42" s="1">
        <f>IFERROR(__xludf.DUMMYFUNCTION("""COMPUTED_VALUE"""),402.65)</f>
        <v>402.65</v>
      </c>
      <c r="G42" s="1"/>
      <c r="H42" s="29">
        <f t="shared" si="3"/>
        <v>0.7896436111</v>
      </c>
      <c r="I42" s="1">
        <f t="shared" si="4"/>
        <v>-84.7</v>
      </c>
      <c r="J42" s="113">
        <f t="shared" si="5"/>
        <v>-0.6750974261</v>
      </c>
      <c r="K42" s="29">
        <f t="shared" si="6"/>
        <v>0.7896436111</v>
      </c>
      <c r="L42" s="65">
        <f t="shared" si="7"/>
        <v>298.4475</v>
      </c>
      <c r="M42" s="25">
        <f t="shared" si="8"/>
        <v>0.06133826073</v>
      </c>
      <c r="N42" s="65">
        <f t="shared" si="9"/>
        <v>388.8825</v>
      </c>
      <c r="O42" s="25">
        <f t="shared" si="10"/>
        <v>0.0341922265</v>
      </c>
      <c r="P42" s="25">
        <f t="shared" si="11"/>
        <v>0.02714603423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IFERROR(__xludf.DUMMYFUNCTION("""COMPUTED_VALUE"""),46191.64583333333)</f>
        <v>46191.64583</v>
      </c>
      <c r="C43" s="1">
        <f>IFERROR(__xludf.DUMMYFUNCTION("""COMPUTED_VALUE"""),316.3)</f>
        <v>316.3</v>
      </c>
      <c r="D43" s="1"/>
      <c r="E43" s="112">
        <f>IFERROR(__xludf.DUMMYFUNCTION("""COMPUTED_VALUE"""),46191.64583333333)</f>
        <v>46191.64583</v>
      </c>
      <c r="F43" s="1">
        <f>IFERROR(__xludf.DUMMYFUNCTION("""COMPUTED_VALUE"""),401.6)</f>
        <v>401.6</v>
      </c>
      <c r="G43" s="1"/>
      <c r="H43" s="29">
        <f t="shared" si="3"/>
        <v>0.7875996016</v>
      </c>
      <c r="I43" s="1">
        <f t="shared" si="4"/>
        <v>-85.3</v>
      </c>
      <c r="J43" s="113">
        <f t="shared" si="5"/>
        <v>-0.707300535</v>
      </c>
      <c r="K43" s="29">
        <f t="shared" si="6"/>
        <v>0.7875996016</v>
      </c>
      <c r="L43" s="65">
        <f t="shared" si="7"/>
        <v>299.575</v>
      </c>
      <c r="M43" s="25">
        <f t="shared" si="8"/>
        <v>0.05287701549</v>
      </c>
      <c r="N43" s="65">
        <f t="shared" si="9"/>
        <v>389.825</v>
      </c>
      <c r="O43" s="25">
        <f t="shared" si="10"/>
        <v>0.02932021912</v>
      </c>
      <c r="P43" s="25">
        <f t="shared" si="11"/>
        <v>0.02355679637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IFERROR(__xludf.DUMMYFUNCTION("""COMPUTED_VALUE"""),46192.64583333333)</f>
        <v>46192.64583</v>
      </c>
      <c r="C44" s="1">
        <f>IFERROR(__xludf.DUMMYFUNCTION("""COMPUTED_VALUE"""),306.6)</f>
        <v>306.6</v>
      </c>
      <c r="D44" s="1"/>
      <c r="E44" s="112">
        <f>IFERROR(__xludf.DUMMYFUNCTION("""COMPUTED_VALUE"""),46192.64583333333)</f>
        <v>46192.64583</v>
      </c>
      <c r="F44" s="1">
        <f>IFERROR(__xludf.DUMMYFUNCTION("""COMPUTED_VALUE"""),392.1)</f>
        <v>392.1</v>
      </c>
      <c r="G44" s="1"/>
      <c r="H44" s="29">
        <f t="shared" si="3"/>
        <v>0.7819433818</v>
      </c>
      <c r="I44" s="1">
        <f t="shared" si="4"/>
        <v>-85.5</v>
      </c>
      <c r="J44" s="113">
        <f t="shared" si="5"/>
        <v>-0.7180349046</v>
      </c>
      <c r="K44" s="29">
        <f t="shared" si="6"/>
        <v>0.7819433818</v>
      </c>
      <c r="L44" s="65">
        <f t="shared" si="7"/>
        <v>300.085</v>
      </c>
      <c r="M44" s="25">
        <f t="shared" si="8"/>
        <v>0.02124918461</v>
      </c>
      <c r="N44" s="65">
        <f t="shared" si="9"/>
        <v>389.99</v>
      </c>
      <c r="O44" s="25">
        <f t="shared" si="10"/>
        <v>0.005381280286</v>
      </c>
      <c r="P44" s="25">
        <f t="shared" si="11"/>
        <v>0.01586790432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IFERROR(__xludf.DUMMYFUNCTION("""COMPUTED_VALUE"""),46195.64583333333)</f>
        <v>46195.64583</v>
      </c>
      <c r="C45" s="1">
        <f>IFERROR(__xludf.DUMMYFUNCTION("""COMPUTED_VALUE"""),308.6)</f>
        <v>308.6</v>
      </c>
      <c r="D45" s="1"/>
      <c r="E45" s="112">
        <f>IFERROR(__xludf.DUMMYFUNCTION("""COMPUTED_VALUE"""),46195.64583333333)</f>
        <v>46195.64583</v>
      </c>
      <c r="F45" s="1">
        <f>IFERROR(__xludf.DUMMYFUNCTION("""COMPUTED_VALUE"""),393.25)</f>
        <v>393.25</v>
      </c>
      <c r="G45" s="1"/>
      <c r="H45" s="29">
        <f t="shared" si="3"/>
        <v>0.7847425302</v>
      </c>
      <c r="I45" s="1">
        <f t="shared" si="4"/>
        <v>-84.65</v>
      </c>
      <c r="J45" s="113">
        <f t="shared" si="5"/>
        <v>-0.6724138337</v>
      </c>
      <c r="K45" s="29">
        <f t="shared" si="6"/>
        <v>0.7847425302</v>
      </c>
      <c r="L45" s="65">
        <f t="shared" si="7"/>
        <v>300.735</v>
      </c>
      <c r="M45" s="25">
        <f t="shared" si="8"/>
        <v>0.0254860661</v>
      </c>
      <c r="N45" s="65">
        <f t="shared" si="9"/>
        <v>390.17</v>
      </c>
      <c r="O45" s="25">
        <f t="shared" si="10"/>
        <v>0.007832167832</v>
      </c>
      <c r="P45" s="25">
        <f t="shared" si="11"/>
        <v>0.01765389827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IFERROR(__xludf.DUMMYFUNCTION("""COMPUTED_VALUE"""),46196.64583333333)</f>
        <v>46196.64583</v>
      </c>
      <c r="C46" s="1">
        <f>IFERROR(__xludf.DUMMYFUNCTION("""COMPUTED_VALUE"""),308.55)</f>
        <v>308.55</v>
      </c>
      <c r="D46" s="1"/>
      <c r="E46" s="112">
        <f>IFERROR(__xludf.DUMMYFUNCTION("""COMPUTED_VALUE"""),46196.64583333333)</f>
        <v>46196.64583</v>
      </c>
      <c r="F46" s="1">
        <f>IFERROR(__xludf.DUMMYFUNCTION("""COMPUTED_VALUE"""),396.75)</f>
        <v>396.75</v>
      </c>
      <c r="G46" s="1"/>
      <c r="H46" s="29">
        <f t="shared" si="3"/>
        <v>0.7776937618</v>
      </c>
      <c r="I46" s="1">
        <f t="shared" si="4"/>
        <v>-88.2</v>
      </c>
      <c r="J46" s="113">
        <f t="shared" si="5"/>
        <v>-0.8629488944</v>
      </c>
      <c r="K46" s="29">
        <f t="shared" si="6"/>
        <v>0.7776937618</v>
      </c>
      <c r="L46" s="65">
        <f t="shared" si="7"/>
        <v>300.75</v>
      </c>
      <c r="M46" s="25">
        <f t="shared" si="8"/>
        <v>0.0252795333</v>
      </c>
      <c r="N46" s="65">
        <f t="shared" si="9"/>
        <v>389.84</v>
      </c>
      <c r="O46" s="25">
        <f t="shared" si="10"/>
        <v>0.01741650914</v>
      </c>
      <c r="P46" s="25">
        <f t="shared" si="11"/>
        <v>0.007863024164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IFERROR(__xludf.DUMMYFUNCTION("""COMPUTED_VALUE"""),46197.64583333333)</f>
        <v>46197.64583</v>
      </c>
      <c r="C47" s="1">
        <f>IFERROR(__xludf.DUMMYFUNCTION("""COMPUTED_VALUE"""),315.7)</f>
        <v>315.7</v>
      </c>
      <c r="D47" s="1"/>
      <c r="E47" s="112">
        <f>IFERROR(__xludf.DUMMYFUNCTION("""COMPUTED_VALUE"""),46197.64583333333)</f>
        <v>46197.64583</v>
      </c>
      <c r="F47" s="1">
        <f>IFERROR(__xludf.DUMMYFUNCTION("""COMPUTED_VALUE"""),412.9)</f>
        <v>412.9</v>
      </c>
      <c r="G47" s="1"/>
      <c r="H47" s="29">
        <f t="shared" si="3"/>
        <v>0.7645919109</v>
      </c>
      <c r="I47" s="1">
        <f t="shared" si="4"/>
        <v>-97.2</v>
      </c>
      <c r="J47" s="113">
        <f t="shared" si="5"/>
        <v>-1.345995527</v>
      </c>
      <c r="K47" s="29">
        <f t="shared" si="6"/>
        <v>0.7645919109</v>
      </c>
      <c r="L47" s="65">
        <f t="shared" si="7"/>
        <v>301.305</v>
      </c>
      <c r="M47" s="25">
        <f t="shared" si="8"/>
        <v>0.04559708584</v>
      </c>
      <c r="N47" s="65">
        <f t="shared" si="9"/>
        <v>390.585</v>
      </c>
      <c r="O47" s="25">
        <f t="shared" si="10"/>
        <v>0.05404456285</v>
      </c>
      <c r="P47" s="25">
        <f t="shared" si="11"/>
        <v>-0.008447477007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IFERROR(__xludf.DUMMYFUNCTION("""COMPUTED_VALUE"""),46198.64583333333)</f>
        <v>46198.64583</v>
      </c>
      <c r="C48" s="1">
        <f>IFERROR(__xludf.DUMMYFUNCTION("""COMPUTED_VALUE"""),309.75)</f>
        <v>309.75</v>
      </c>
      <c r="D48" s="1"/>
      <c r="E48" s="112">
        <f>IFERROR(__xludf.DUMMYFUNCTION("""COMPUTED_VALUE"""),46198.64583333333)</f>
        <v>46198.64583</v>
      </c>
      <c r="F48" s="1">
        <f>IFERROR(__xludf.DUMMYFUNCTION("""COMPUTED_VALUE"""),409.25)</f>
        <v>409.25</v>
      </c>
      <c r="G48" s="1"/>
      <c r="H48" s="29">
        <f t="shared" si="3"/>
        <v>0.7568723274</v>
      </c>
      <c r="I48" s="1">
        <f t="shared" si="4"/>
        <v>-99.5</v>
      </c>
      <c r="J48" s="113">
        <f t="shared" si="5"/>
        <v>-1.469440778</v>
      </c>
      <c r="K48" s="29">
        <f t="shared" si="6"/>
        <v>0.7568723274</v>
      </c>
      <c r="L48" s="65">
        <f t="shared" si="7"/>
        <v>301.435</v>
      </c>
      <c r="M48" s="25">
        <f t="shared" si="8"/>
        <v>0.02684422922</v>
      </c>
      <c r="N48" s="65">
        <f t="shared" si="9"/>
        <v>390.9025</v>
      </c>
      <c r="O48" s="25">
        <f t="shared" si="10"/>
        <v>0.04483200977</v>
      </c>
      <c r="P48" s="25">
        <f t="shared" si="11"/>
        <v>-0.01798778056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IFERROR(__xludf.DUMMYFUNCTION("""COMPUTED_VALUE"""),46202.64583333333)</f>
        <v>46202.64583</v>
      </c>
      <c r="C49" s="1">
        <f>IFERROR(__xludf.DUMMYFUNCTION("""COMPUTED_VALUE"""),300.8)</f>
        <v>300.8</v>
      </c>
      <c r="D49" s="1"/>
      <c r="E49" s="112">
        <f>IFERROR(__xludf.DUMMYFUNCTION("""COMPUTED_VALUE"""),46202.64583333333)</f>
        <v>46202.64583</v>
      </c>
      <c r="F49" s="1">
        <f>IFERROR(__xludf.DUMMYFUNCTION("""COMPUTED_VALUE"""),389.6)</f>
        <v>389.6</v>
      </c>
      <c r="G49" s="1"/>
      <c r="H49" s="29">
        <f t="shared" si="3"/>
        <v>0.772073922</v>
      </c>
      <c r="I49" s="1">
        <f t="shared" si="4"/>
        <v>-88.8</v>
      </c>
      <c r="J49" s="113">
        <f t="shared" si="5"/>
        <v>-0.8951520033</v>
      </c>
      <c r="K49" s="29">
        <f t="shared" si="6"/>
        <v>0.772073922</v>
      </c>
      <c r="L49" s="65">
        <f t="shared" si="7"/>
        <v>301.57</v>
      </c>
      <c r="M49" s="25">
        <f t="shared" si="8"/>
        <v>-0.002559840426</v>
      </c>
      <c r="N49" s="65">
        <f t="shared" si="9"/>
        <v>390.69</v>
      </c>
      <c r="O49" s="25">
        <f t="shared" si="10"/>
        <v>-0.002797741273</v>
      </c>
      <c r="P49" s="25">
        <f t="shared" si="11"/>
        <v>0.0002379008476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IFERROR(__xludf.DUMMYFUNCTION("""COMPUTED_VALUE"""),46203.64583333333)</f>
        <v>46203.64583</v>
      </c>
      <c r="C50" s="1">
        <f>IFERROR(__xludf.DUMMYFUNCTION("""COMPUTED_VALUE"""),303.55)</f>
        <v>303.55</v>
      </c>
      <c r="D50" s="1"/>
      <c r="E50" s="112">
        <f>IFERROR(__xludf.DUMMYFUNCTION("""COMPUTED_VALUE"""),46203.64583333333)</f>
        <v>46203.64583</v>
      </c>
      <c r="F50" s="1">
        <f>IFERROR(__xludf.DUMMYFUNCTION("""COMPUTED_VALUE"""),394.45)</f>
        <v>394.45</v>
      </c>
      <c r="G50" s="1"/>
      <c r="H50" s="29">
        <f t="shared" si="3"/>
        <v>0.7695525415</v>
      </c>
      <c r="I50" s="1">
        <f t="shared" si="4"/>
        <v>-90.9</v>
      </c>
      <c r="J50" s="113">
        <f t="shared" si="5"/>
        <v>-1.007862884</v>
      </c>
      <c r="K50" s="29">
        <f t="shared" si="6"/>
        <v>0.7695525415</v>
      </c>
      <c r="L50" s="65">
        <f t="shared" si="7"/>
        <v>301.905</v>
      </c>
      <c r="M50" s="25">
        <f t="shared" si="8"/>
        <v>0.005419206062</v>
      </c>
      <c r="N50" s="65">
        <f t="shared" si="9"/>
        <v>390.9825</v>
      </c>
      <c r="O50" s="25">
        <f t="shared" si="10"/>
        <v>0.008790721257</v>
      </c>
      <c r="P50" s="25">
        <f t="shared" si="11"/>
        <v>-0.003371515196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IFERROR(__xludf.DUMMYFUNCTION("""COMPUTED_VALUE"""),46204.64583333333)</f>
        <v>46204.64583</v>
      </c>
      <c r="C51" s="1">
        <f>IFERROR(__xludf.DUMMYFUNCTION("""COMPUTED_VALUE"""),304.2)</f>
        <v>304.2</v>
      </c>
      <c r="D51" s="1"/>
      <c r="E51" s="112">
        <f>IFERROR(__xludf.DUMMYFUNCTION("""COMPUTED_VALUE"""),46204.64583333333)</f>
        <v>46204.64583</v>
      </c>
      <c r="F51" s="1">
        <f>IFERROR(__xludf.DUMMYFUNCTION("""COMPUTED_VALUE"""),392.1)</f>
        <v>392.1</v>
      </c>
      <c r="G51" s="1"/>
      <c r="H51" s="29">
        <f t="shared" si="3"/>
        <v>0.7758224943</v>
      </c>
      <c r="I51" s="1">
        <f t="shared" si="4"/>
        <v>-87.9</v>
      </c>
      <c r="J51" s="113">
        <f t="shared" si="5"/>
        <v>-0.84684734</v>
      </c>
      <c r="K51" s="29">
        <f t="shared" si="6"/>
        <v>0.7758224943</v>
      </c>
      <c r="L51" s="65">
        <f t="shared" si="7"/>
        <v>302.395</v>
      </c>
      <c r="M51" s="25">
        <f t="shared" si="8"/>
        <v>0.005933596318</v>
      </c>
      <c r="N51" s="65">
        <f t="shared" si="9"/>
        <v>391.4</v>
      </c>
      <c r="O51" s="25">
        <f t="shared" si="10"/>
        <v>0.001785258863</v>
      </c>
      <c r="P51" s="25">
        <f t="shared" si="11"/>
        <v>0.004148337456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IFERROR(__xludf.DUMMYFUNCTION("""COMPUTED_VALUE"""),46205.64583333333)</f>
        <v>46205.64583</v>
      </c>
      <c r="C52" s="1">
        <f>IFERROR(__xludf.DUMMYFUNCTION("""COMPUTED_VALUE"""),310.45)</f>
        <v>310.45</v>
      </c>
      <c r="D52" s="1"/>
      <c r="E52" s="112">
        <f>IFERROR(__xludf.DUMMYFUNCTION("""COMPUTED_VALUE"""),46205.64583333333)</f>
        <v>46205.64583</v>
      </c>
      <c r="F52" s="1">
        <f>IFERROR(__xludf.DUMMYFUNCTION("""COMPUTED_VALUE"""),399.55)</f>
        <v>399.55</v>
      </c>
      <c r="G52" s="1"/>
      <c r="H52" s="29">
        <f t="shared" si="3"/>
        <v>0.776999124</v>
      </c>
      <c r="I52" s="1">
        <f t="shared" si="4"/>
        <v>-89.1</v>
      </c>
      <c r="J52" s="113">
        <f t="shared" si="5"/>
        <v>-0.9112535577</v>
      </c>
      <c r="K52" s="29">
        <f t="shared" si="6"/>
        <v>0.776999124</v>
      </c>
      <c r="L52" s="65">
        <f t="shared" si="7"/>
        <v>303.3125</v>
      </c>
      <c r="M52" s="25">
        <f t="shared" si="8"/>
        <v>0.02299081978</v>
      </c>
      <c r="N52" s="65">
        <f t="shared" si="9"/>
        <v>392.1725</v>
      </c>
      <c r="O52" s="25">
        <f t="shared" si="10"/>
        <v>0.01846452259</v>
      </c>
      <c r="P52" s="25">
        <f t="shared" si="11"/>
        <v>0.00452629719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IFERROR(__xludf.DUMMYFUNCTION("""COMPUTED_VALUE"""),46206.64583333333)</f>
        <v>46206.64583</v>
      </c>
      <c r="C53" s="1">
        <f>IFERROR(__xludf.DUMMYFUNCTION("""COMPUTED_VALUE"""),308.15)</f>
        <v>308.15</v>
      </c>
      <c r="D53" s="1"/>
      <c r="E53" s="112">
        <f>IFERROR(__xludf.DUMMYFUNCTION("""COMPUTED_VALUE"""),46206.64583333333)</f>
        <v>46206.64583</v>
      </c>
      <c r="F53" s="1">
        <f>IFERROR(__xludf.DUMMYFUNCTION("""COMPUTED_VALUE"""),399.25)</f>
        <v>399.25</v>
      </c>
      <c r="G53" s="1"/>
      <c r="H53" s="29">
        <f t="shared" si="3"/>
        <v>0.7718221666</v>
      </c>
      <c r="I53" s="1">
        <f t="shared" si="4"/>
        <v>-91.1</v>
      </c>
      <c r="J53" s="113">
        <f t="shared" si="5"/>
        <v>-1.018597254</v>
      </c>
      <c r="K53" s="29">
        <f t="shared" si="6"/>
        <v>0.7718221666</v>
      </c>
      <c r="L53" s="65">
        <f t="shared" si="7"/>
        <v>303.9625</v>
      </c>
      <c r="M53" s="25">
        <f t="shared" si="8"/>
        <v>0.01358916112</v>
      </c>
      <c r="N53" s="65">
        <f t="shared" si="9"/>
        <v>392.785</v>
      </c>
      <c r="O53" s="25">
        <f t="shared" si="10"/>
        <v>0.01619286162</v>
      </c>
      <c r="P53" s="25">
        <f t="shared" si="11"/>
        <v>-0.002603700493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IFERROR(__xludf.DUMMYFUNCTION("""COMPUTED_VALUE"""),46209.64583333333)</f>
        <v>46209.64583</v>
      </c>
      <c r="C54" s="1">
        <f>IFERROR(__xludf.DUMMYFUNCTION("""COMPUTED_VALUE"""),308.15)</f>
        <v>308.15</v>
      </c>
      <c r="D54" s="1"/>
      <c r="E54" s="112">
        <f>IFERROR(__xludf.DUMMYFUNCTION("""COMPUTED_VALUE"""),46209.64583333333)</f>
        <v>46209.64583</v>
      </c>
      <c r="F54" s="1">
        <f>IFERROR(__xludf.DUMMYFUNCTION("""COMPUTED_VALUE"""),400.35)</f>
        <v>400.35</v>
      </c>
      <c r="G54" s="1"/>
      <c r="H54" s="29">
        <f t="shared" si="3"/>
        <v>0.7697015112</v>
      </c>
      <c r="I54" s="1">
        <f t="shared" si="4"/>
        <v>-92.2</v>
      </c>
      <c r="J54" s="113">
        <f t="shared" si="5"/>
        <v>-1.077636287</v>
      </c>
      <c r="K54" s="29">
        <f t="shared" si="6"/>
        <v>0.7697015112</v>
      </c>
      <c r="L54" s="65">
        <f t="shared" si="7"/>
        <v>304.62</v>
      </c>
      <c r="M54" s="25">
        <f t="shared" si="8"/>
        <v>0.01145546</v>
      </c>
      <c r="N54" s="65">
        <f t="shared" si="9"/>
        <v>393.55</v>
      </c>
      <c r="O54" s="25">
        <f t="shared" si="10"/>
        <v>0.016985138</v>
      </c>
      <c r="P54" s="25">
        <f t="shared" si="11"/>
        <v>-0.005529678001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IFERROR(__xludf.DUMMYFUNCTION("""COMPUTED_VALUE"""),46210.64583333333)</f>
        <v>46210.64583</v>
      </c>
      <c r="C55" s="1">
        <f>IFERROR(__xludf.DUMMYFUNCTION("""COMPUTED_VALUE"""),313.95)</f>
        <v>313.95</v>
      </c>
      <c r="D55" s="1"/>
      <c r="E55" s="112">
        <f>IFERROR(__xludf.DUMMYFUNCTION("""COMPUTED_VALUE"""),46210.64583333333)</f>
        <v>46210.64583</v>
      </c>
      <c r="F55" s="1">
        <f>IFERROR(__xludf.DUMMYFUNCTION("""COMPUTED_VALUE"""),405.95)</f>
        <v>405.95</v>
      </c>
      <c r="G55" s="1"/>
      <c r="H55" s="29">
        <f t="shared" si="3"/>
        <v>0.7733711048</v>
      </c>
      <c r="I55" s="1">
        <f t="shared" si="4"/>
        <v>-92</v>
      </c>
      <c r="J55" s="113">
        <f t="shared" si="5"/>
        <v>-1.066901917</v>
      </c>
      <c r="K55" s="29">
        <f t="shared" si="6"/>
        <v>0.7733711048</v>
      </c>
      <c r="L55" s="65">
        <f t="shared" si="7"/>
        <v>306.06</v>
      </c>
      <c r="M55" s="25">
        <f t="shared" si="8"/>
        <v>0.02513139035</v>
      </c>
      <c r="N55" s="65">
        <f t="shared" si="9"/>
        <v>395.21</v>
      </c>
      <c r="O55" s="25">
        <f t="shared" si="10"/>
        <v>0.02645646016</v>
      </c>
      <c r="P55" s="25">
        <f t="shared" si="11"/>
        <v>-0.001325069806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IFERROR(__xludf.DUMMYFUNCTION("""COMPUTED_VALUE"""),46211.64583333333)</f>
        <v>46211.64583</v>
      </c>
      <c r="C56" s="1">
        <f>IFERROR(__xludf.DUMMYFUNCTION("""COMPUTED_VALUE"""),303.55)</f>
        <v>303.55</v>
      </c>
      <c r="D56" s="1"/>
      <c r="E56" s="112">
        <f>IFERROR(__xludf.DUMMYFUNCTION("""COMPUTED_VALUE"""),46211.64583333333)</f>
        <v>46211.64583</v>
      </c>
      <c r="F56" s="1">
        <f>IFERROR(__xludf.DUMMYFUNCTION("""COMPUTED_VALUE"""),386.85)</f>
        <v>386.85</v>
      </c>
      <c r="G56" s="1"/>
      <c r="H56" s="29">
        <f t="shared" si="3"/>
        <v>0.7846710611</v>
      </c>
      <c r="I56" s="1">
        <f t="shared" si="4"/>
        <v>-83.3</v>
      </c>
      <c r="J56" s="113">
        <f t="shared" si="5"/>
        <v>-0.5999568388</v>
      </c>
      <c r="K56" s="29">
        <f t="shared" si="6"/>
        <v>0.7846710611</v>
      </c>
      <c r="L56" s="65">
        <f t="shared" si="7"/>
        <v>306.7825</v>
      </c>
      <c r="M56" s="25">
        <f t="shared" si="8"/>
        <v>-0.01064898699</v>
      </c>
      <c r="N56" s="65">
        <f t="shared" si="9"/>
        <v>395.4525</v>
      </c>
      <c r="O56" s="25">
        <f t="shared" si="10"/>
        <v>-0.02223730128</v>
      </c>
      <c r="P56" s="25">
        <f t="shared" si="11"/>
        <v>0.01158831429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IFERROR(__xludf.DUMMYFUNCTION("""COMPUTED_VALUE"""),46212.64583333333)</f>
        <v>46212.64583</v>
      </c>
      <c r="C57" s="1">
        <f>IFERROR(__xludf.DUMMYFUNCTION("""COMPUTED_VALUE"""),308.2)</f>
        <v>308.2</v>
      </c>
      <c r="D57" s="1"/>
      <c r="E57" s="112">
        <f>IFERROR(__xludf.DUMMYFUNCTION("""COMPUTED_VALUE"""),46212.64583333333)</f>
        <v>46212.64583</v>
      </c>
      <c r="F57" s="1">
        <f>IFERROR(__xludf.DUMMYFUNCTION("""COMPUTED_VALUE"""),392.1)</f>
        <v>392.1</v>
      </c>
      <c r="G57" s="1"/>
      <c r="H57" s="29">
        <f t="shared" si="3"/>
        <v>0.7860239735</v>
      </c>
      <c r="I57" s="1">
        <f t="shared" si="4"/>
        <v>-83.9</v>
      </c>
      <c r="J57" s="113">
        <f t="shared" si="5"/>
        <v>-0.6321599477</v>
      </c>
      <c r="K57" s="29">
        <f t="shared" si="6"/>
        <v>0.7860239735</v>
      </c>
      <c r="L57" s="65">
        <f t="shared" si="7"/>
        <v>307.7925</v>
      </c>
      <c r="M57" s="25">
        <f t="shared" si="8"/>
        <v>0.001322193381</v>
      </c>
      <c r="N57" s="65">
        <f t="shared" si="9"/>
        <v>396.3375</v>
      </c>
      <c r="O57" s="25">
        <f t="shared" si="10"/>
        <v>-0.01080719204</v>
      </c>
      <c r="P57" s="25">
        <f t="shared" si="11"/>
        <v>0.01212938542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IFERROR(__xludf.DUMMYFUNCTION("""COMPUTED_VALUE"""),46213.64583333333)</f>
        <v>46213.64583</v>
      </c>
      <c r="C58" s="1">
        <f>IFERROR(__xludf.DUMMYFUNCTION("""COMPUTED_VALUE"""),309.75)</f>
        <v>309.75</v>
      </c>
      <c r="D58" s="1"/>
      <c r="E58" s="112">
        <f>IFERROR(__xludf.DUMMYFUNCTION("""COMPUTED_VALUE"""),46213.64583333333)</f>
        <v>46213.64583</v>
      </c>
      <c r="F58" s="1">
        <f>IFERROR(__xludf.DUMMYFUNCTION("""COMPUTED_VALUE"""),395.3)</f>
        <v>395.3</v>
      </c>
      <c r="G58" s="1"/>
      <c r="H58" s="29">
        <f t="shared" si="3"/>
        <v>0.7835820896</v>
      </c>
      <c r="I58" s="1">
        <f t="shared" si="4"/>
        <v>-85.55</v>
      </c>
      <c r="J58" s="113">
        <f t="shared" si="5"/>
        <v>-0.720718497</v>
      </c>
      <c r="K58" s="29">
        <f t="shared" si="6"/>
        <v>0.7835820896</v>
      </c>
      <c r="L58" s="65">
        <f t="shared" si="7"/>
        <v>308.9625</v>
      </c>
      <c r="M58" s="25">
        <f t="shared" si="8"/>
        <v>0.002542372881</v>
      </c>
      <c r="N58" s="65">
        <f t="shared" si="9"/>
        <v>397.8175</v>
      </c>
      <c r="O58" s="25">
        <f t="shared" si="10"/>
        <v>-0.006368580825</v>
      </c>
      <c r="P58" s="25">
        <f t="shared" si="11"/>
        <v>0.008910953706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IFERROR(__xludf.DUMMYFUNCTION("""COMPUTED_VALUE"""),46216.64583333333)</f>
        <v>46216.64583</v>
      </c>
      <c r="C59" s="1">
        <f>IFERROR(__xludf.DUMMYFUNCTION("""COMPUTED_VALUE"""),307.55)</f>
        <v>307.55</v>
      </c>
      <c r="D59" s="1"/>
      <c r="E59" s="112">
        <f>IFERROR(__xludf.DUMMYFUNCTION("""COMPUTED_VALUE"""),46216.64583333333)</f>
        <v>46216.64583</v>
      </c>
      <c r="F59" s="1">
        <f>IFERROR(__xludf.DUMMYFUNCTION("""COMPUTED_VALUE"""),391.6)</f>
        <v>391.6</v>
      </c>
      <c r="G59" s="1"/>
      <c r="H59" s="29">
        <f t="shared" si="3"/>
        <v>0.7853677222</v>
      </c>
      <c r="I59" s="1">
        <f t="shared" si="4"/>
        <v>-84.05</v>
      </c>
      <c r="J59" s="113">
        <f t="shared" si="5"/>
        <v>-0.6402107249</v>
      </c>
      <c r="K59" s="29">
        <f t="shared" si="6"/>
        <v>0.7853677222</v>
      </c>
      <c r="L59" s="65">
        <f t="shared" si="7"/>
        <v>309.2225</v>
      </c>
      <c r="M59" s="25">
        <f t="shared" si="8"/>
        <v>-0.00543814014</v>
      </c>
      <c r="N59" s="65">
        <f t="shared" si="9"/>
        <v>397.9525</v>
      </c>
      <c r="O59" s="25">
        <f t="shared" si="10"/>
        <v>-0.01622191011</v>
      </c>
      <c r="P59" s="25">
        <f t="shared" si="11"/>
        <v>0.01078376997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IFERROR(__xludf.DUMMYFUNCTION("""COMPUTED_VALUE"""),46217.64583333333)</f>
        <v>46217.64583</v>
      </c>
      <c r="C60" s="1">
        <f>IFERROR(__xludf.DUMMYFUNCTION("""COMPUTED_VALUE"""),305.35)</f>
        <v>305.35</v>
      </c>
      <c r="D60" s="1"/>
      <c r="E60" s="112">
        <f>IFERROR(__xludf.DUMMYFUNCTION("""COMPUTED_VALUE"""),46217.64583333333)</f>
        <v>46217.64583</v>
      </c>
      <c r="F60" s="1">
        <f>IFERROR(__xludf.DUMMYFUNCTION("""COMPUTED_VALUE"""),386.0)</f>
        <v>386</v>
      </c>
      <c r="G60" s="1"/>
      <c r="H60" s="29">
        <f t="shared" si="3"/>
        <v>0.7910621762</v>
      </c>
      <c r="I60" s="1">
        <f t="shared" si="4"/>
        <v>-80.65</v>
      </c>
      <c r="J60" s="113">
        <f t="shared" si="5"/>
        <v>-0.4577264414</v>
      </c>
      <c r="K60" s="29">
        <f t="shared" si="6"/>
        <v>0.7910621762</v>
      </c>
      <c r="L60" s="65">
        <f t="shared" si="7"/>
        <v>308.96</v>
      </c>
      <c r="M60" s="25">
        <f t="shared" si="8"/>
        <v>-0.01182249877</v>
      </c>
      <c r="N60" s="65">
        <f t="shared" si="9"/>
        <v>397.17</v>
      </c>
      <c r="O60" s="25">
        <f t="shared" si="10"/>
        <v>-0.02893782383</v>
      </c>
      <c r="P60" s="25">
        <f t="shared" si="11"/>
        <v>0.01711532506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IFERROR(__xludf.DUMMYFUNCTION("""COMPUTED_VALUE"""),46218.64583333333)</f>
        <v>46218.64583</v>
      </c>
      <c r="C61" s="1">
        <f>IFERROR(__xludf.DUMMYFUNCTION("""COMPUTED_VALUE"""),309.6)</f>
        <v>309.6</v>
      </c>
      <c r="D61" s="1"/>
      <c r="E61" s="112">
        <f>IFERROR(__xludf.DUMMYFUNCTION("""COMPUTED_VALUE"""),46218.64583333333)</f>
        <v>46218.64583</v>
      </c>
      <c r="F61" s="1">
        <f>IFERROR(__xludf.DUMMYFUNCTION("""COMPUTED_VALUE"""),394.4)</f>
        <v>394.4</v>
      </c>
      <c r="G61" s="1"/>
      <c r="H61" s="29">
        <f t="shared" si="3"/>
        <v>0.784989858</v>
      </c>
      <c r="I61" s="1">
        <f t="shared" si="4"/>
        <v>-84.8</v>
      </c>
      <c r="J61" s="113">
        <f t="shared" si="5"/>
        <v>-0.6804646109</v>
      </c>
      <c r="K61" s="29">
        <f t="shared" si="6"/>
        <v>0.784989858</v>
      </c>
      <c r="L61" s="65">
        <f t="shared" si="7"/>
        <v>308.835</v>
      </c>
      <c r="M61" s="25">
        <f t="shared" si="8"/>
        <v>0.002470930233</v>
      </c>
      <c r="N61" s="65">
        <f t="shared" si="9"/>
        <v>396.8</v>
      </c>
      <c r="O61" s="25">
        <f t="shared" si="10"/>
        <v>-0.006085192698</v>
      </c>
      <c r="P61" s="25">
        <f t="shared" si="11"/>
        <v>0.00855612293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IFERROR(__xludf.DUMMYFUNCTION("""COMPUTED_VALUE"""),46219.64583333333)</f>
        <v>46219.64583</v>
      </c>
      <c r="C62" s="1">
        <f>IFERROR(__xludf.DUMMYFUNCTION("""COMPUTED_VALUE"""),312.0)</f>
        <v>312</v>
      </c>
      <c r="D62" s="1"/>
      <c r="E62" s="112">
        <f>IFERROR(__xludf.DUMMYFUNCTION("""COMPUTED_VALUE"""),46219.64583333333)</f>
        <v>46219.64583</v>
      </c>
      <c r="F62" s="1">
        <f>IFERROR(__xludf.DUMMYFUNCTION("""COMPUTED_VALUE"""),399.4)</f>
        <v>399.4</v>
      </c>
      <c r="G62" s="1"/>
      <c r="H62" s="29">
        <f t="shared" si="3"/>
        <v>0.7811717576</v>
      </c>
      <c r="I62" s="1">
        <f t="shared" si="4"/>
        <v>-87.4</v>
      </c>
      <c r="J62" s="113">
        <f t="shared" si="5"/>
        <v>-0.8200114159</v>
      </c>
      <c r="K62" s="29">
        <f t="shared" si="6"/>
        <v>0.7811717576</v>
      </c>
      <c r="L62" s="65">
        <f t="shared" si="7"/>
        <v>308.5375</v>
      </c>
      <c r="M62" s="25">
        <f t="shared" si="8"/>
        <v>0.01109775641</v>
      </c>
      <c r="N62" s="65">
        <f t="shared" si="9"/>
        <v>396.6375</v>
      </c>
      <c r="O62" s="25">
        <f t="shared" si="10"/>
        <v>0.006916624937</v>
      </c>
      <c r="P62" s="25">
        <f t="shared" si="11"/>
        <v>0.004181131473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IFERROR(__xludf.DUMMYFUNCTION("""COMPUTED_VALUE"""),46220.64583333333)</f>
        <v>46220.64583</v>
      </c>
      <c r="C63" s="1">
        <f>IFERROR(__xludf.DUMMYFUNCTION("""COMPUTED_VALUE"""),315.55)</f>
        <v>315.55</v>
      </c>
      <c r="D63" s="1"/>
      <c r="E63" s="112">
        <f>IFERROR(__xludf.DUMMYFUNCTION("""COMPUTED_VALUE"""),46220.64583333333)</f>
        <v>46220.64583</v>
      </c>
      <c r="F63" s="1">
        <f>IFERROR(__xludf.DUMMYFUNCTION("""COMPUTED_VALUE"""),400.4)</f>
        <v>400.4</v>
      </c>
      <c r="G63" s="1"/>
      <c r="H63" s="29">
        <f t="shared" si="3"/>
        <v>0.7880869131</v>
      </c>
      <c r="I63" s="1">
        <f t="shared" si="4"/>
        <v>-84.85</v>
      </c>
      <c r="J63" s="113">
        <f t="shared" si="5"/>
        <v>-0.6831482033</v>
      </c>
      <c r="K63" s="29">
        <f t="shared" si="6"/>
        <v>0.7880869131</v>
      </c>
      <c r="L63" s="65">
        <f t="shared" si="7"/>
        <v>308.5</v>
      </c>
      <c r="M63" s="25">
        <f t="shared" si="8"/>
        <v>0.02234194264</v>
      </c>
      <c r="N63" s="65">
        <f t="shared" si="9"/>
        <v>396.5775</v>
      </c>
      <c r="O63" s="25">
        <f t="shared" si="10"/>
        <v>0.009546703297</v>
      </c>
      <c r="P63" s="25">
        <f t="shared" si="11"/>
        <v>0.01279523934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IFERROR(__xludf.DUMMYFUNCTION("""COMPUTED_VALUE"""),46223.64583333333)</f>
        <v>46223.64583</v>
      </c>
      <c r="C64" s="1">
        <f>IFERROR(__xludf.DUMMYFUNCTION("""COMPUTED_VALUE"""),317.6)</f>
        <v>317.6</v>
      </c>
      <c r="D64" s="1"/>
      <c r="E64" s="112">
        <f>IFERROR(__xludf.DUMMYFUNCTION("""COMPUTED_VALUE"""),46223.64583333333)</f>
        <v>46223.64583</v>
      </c>
      <c r="F64" s="1">
        <f>IFERROR(__xludf.DUMMYFUNCTION("""COMPUTED_VALUE"""),405.4)</f>
        <v>405.4</v>
      </c>
      <c r="G64" s="1"/>
      <c r="H64" s="29">
        <f t="shared" si="3"/>
        <v>0.783423779</v>
      </c>
      <c r="I64" s="1">
        <f t="shared" si="4"/>
        <v>-87.8</v>
      </c>
      <c r="J64" s="113">
        <f t="shared" si="5"/>
        <v>-0.8414801552</v>
      </c>
      <c r="K64" s="29">
        <f t="shared" si="6"/>
        <v>0.783423779</v>
      </c>
      <c r="L64" s="65">
        <f t="shared" si="7"/>
        <v>309.05</v>
      </c>
      <c r="M64" s="25">
        <f t="shared" si="8"/>
        <v>0.02692065491</v>
      </c>
      <c r="N64" s="65">
        <f t="shared" si="9"/>
        <v>397.2425</v>
      </c>
      <c r="O64" s="25">
        <f t="shared" si="10"/>
        <v>0.02012210163</v>
      </c>
      <c r="P64" s="25">
        <f t="shared" si="11"/>
        <v>0.006798553284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IFERROR(__xludf.DUMMYFUNCTION("""COMPUTED_VALUE"""),46224.64583333333)</f>
        <v>46224.64583</v>
      </c>
      <c r="C65" s="1">
        <f>IFERROR(__xludf.DUMMYFUNCTION("""COMPUTED_VALUE"""),319.35)</f>
        <v>319.35</v>
      </c>
      <c r="D65" s="1"/>
      <c r="E65" s="112">
        <f>IFERROR(__xludf.DUMMYFUNCTION("""COMPUTED_VALUE"""),46224.64583333333)</f>
        <v>46224.64583</v>
      </c>
      <c r="F65" s="1">
        <f>IFERROR(__xludf.DUMMYFUNCTION("""COMPUTED_VALUE"""),406.95)</f>
        <v>406.95</v>
      </c>
      <c r="G65" s="1"/>
      <c r="H65" s="29">
        <f t="shared" si="3"/>
        <v>0.7847401401</v>
      </c>
      <c r="I65" s="1">
        <f t="shared" si="4"/>
        <v>-87.6</v>
      </c>
      <c r="J65" s="113">
        <f t="shared" si="5"/>
        <v>-0.8307457856</v>
      </c>
      <c r="K65" s="29">
        <f t="shared" si="6"/>
        <v>0.7847401401</v>
      </c>
      <c r="L65" s="65">
        <f t="shared" si="7"/>
        <v>309.5875</v>
      </c>
      <c r="M65" s="25">
        <f t="shared" si="8"/>
        <v>0.03056990762</v>
      </c>
      <c r="N65" s="65">
        <f t="shared" si="9"/>
        <v>397.9275</v>
      </c>
      <c r="O65" s="25">
        <f t="shared" si="10"/>
        <v>0.02217102838</v>
      </c>
      <c r="P65" s="25">
        <f t="shared" si="11"/>
        <v>0.008398879243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IFERROR(__xludf.DUMMYFUNCTION("""COMPUTED_VALUE"""),46225.64583333333)</f>
        <v>46225.64583</v>
      </c>
      <c r="C66" s="1">
        <f>IFERROR(__xludf.DUMMYFUNCTION("""COMPUTED_VALUE"""),314.0)</f>
        <v>314</v>
      </c>
      <c r="D66" s="1"/>
      <c r="E66" s="112">
        <f>IFERROR(__xludf.DUMMYFUNCTION("""COMPUTED_VALUE"""),46225.64583333333)</f>
        <v>46225.64583</v>
      </c>
      <c r="F66" s="1">
        <f>IFERROR(__xludf.DUMMYFUNCTION("""COMPUTED_VALUE"""),395.2)</f>
        <v>395.2</v>
      </c>
      <c r="G66" s="1"/>
      <c r="H66" s="29">
        <f t="shared" si="3"/>
        <v>0.794534413</v>
      </c>
      <c r="I66" s="1">
        <f t="shared" si="4"/>
        <v>-81.2</v>
      </c>
      <c r="J66" s="113">
        <f t="shared" si="5"/>
        <v>-0.4872459579</v>
      </c>
      <c r="K66" s="29">
        <f t="shared" si="6"/>
        <v>0.794534413</v>
      </c>
      <c r="L66" s="65">
        <f t="shared" si="7"/>
        <v>309.86</v>
      </c>
      <c r="M66" s="25">
        <f t="shared" si="8"/>
        <v>0.01318471338</v>
      </c>
      <c r="N66" s="65">
        <f t="shared" si="9"/>
        <v>397.85</v>
      </c>
      <c r="O66" s="25">
        <f t="shared" si="10"/>
        <v>-0.006705465587</v>
      </c>
      <c r="P66" s="25">
        <f t="shared" si="11"/>
        <v>0.01989017896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IFERROR(__xludf.DUMMYFUNCTION("""COMPUTED_VALUE"""),46226.64583333333)</f>
        <v>46226.64583</v>
      </c>
      <c r="C67" s="1">
        <f>IFERROR(__xludf.DUMMYFUNCTION("""COMPUTED_VALUE"""),309.85)</f>
        <v>309.85</v>
      </c>
      <c r="D67" s="1"/>
      <c r="E67" s="112">
        <f>IFERROR(__xludf.DUMMYFUNCTION("""COMPUTED_VALUE"""),46226.64583333333)</f>
        <v>46226.64583</v>
      </c>
      <c r="F67" s="1">
        <f>IFERROR(__xludf.DUMMYFUNCTION("""COMPUTED_VALUE"""),385.15)</f>
        <v>385.15</v>
      </c>
      <c r="G67" s="1"/>
      <c r="H67" s="29">
        <f t="shared" si="3"/>
        <v>0.8044917565</v>
      </c>
      <c r="I67" s="1">
        <f t="shared" si="4"/>
        <v>-75.3</v>
      </c>
      <c r="J67" s="113">
        <f t="shared" si="5"/>
        <v>-0.1705820542</v>
      </c>
      <c r="K67" s="29">
        <f t="shared" si="6"/>
        <v>0.8044917565</v>
      </c>
      <c r="L67" s="65">
        <f t="shared" si="7"/>
        <v>309.5675</v>
      </c>
      <c r="M67" s="25">
        <f t="shared" si="8"/>
        <v>0.000911731483</v>
      </c>
      <c r="N67" s="65">
        <f t="shared" si="9"/>
        <v>396.4625</v>
      </c>
      <c r="O67" s="25">
        <f t="shared" si="10"/>
        <v>-0.02937167337</v>
      </c>
      <c r="P67" s="25">
        <f t="shared" si="11"/>
        <v>0.03028340486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IFERROR(__xludf.DUMMYFUNCTION("""COMPUTED_VALUE"""),46227.64583333333)</f>
        <v>46227.64583</v>
      </c>
      <c r="C68" s="1">
        <f>IFERROR(__xludf.DUMMYFUNCTION("""COMPUTED_VALUE"""),310.15)</f>
        <v>310.15</v>
      </c>
      <c r="D68" s="1"/>
      <c r="E68" s="112">
        <f>IFERROR(__xludf.DUMMYFUNCTION("""COMPUTED_VALUE"""),46227.64583333333)</f>
        <v>46227.64583</v>
      </c>
      <c r="F68" s="1">
        <f>IFERROR(__xludf.DUMMYFUNCTION("""COMPUTED_VALUE"""),381.1)</f>
        <v>381.1</v>
      </c>
      <c r="G68" s="1"/>
      <c r="H68" s="29">
        <f t="shared" si="3"/>
        <v>0.8138283915</v>
      </c>
      <c r="I68" s="1">
        <f t="shared" si="4"/>
        <v>-70.95</v>
      </c>
      <c r="J68" s="113">
        <f t="shared" si="5"/>
        <v>0.06289048495</v>
      </c>
      <c r="K68" s="29">
        <f t="shared" si="6"/>
        <v>0.8138283915</v>
      </c>
      <c r="L68" s="65">
        <f t="shared" si="7"/>
        <v>309.5875</v>
      </c>
      <c r="M68" s="25">
        <f t="shared" si="8"/>
        <v>0.001813638562</v>
      </c>
      <c r="N68" s="65">
        <f t="shared" si="9"/>
        <v>395.055</v>
      </c>
      <c r="O68" s="25">
        <f t="shared" si="10"/>
        <v>-0.03661768565</v>
      </c>
      <c r="P68" s="25">
        <f t="shared" si="11"/>
        <v>0.03843132421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IFERROR(__xludf.DUMMYFUNCTION("""COMPUTED_VALUE"""),46230.64583333333)</f>
        <v>46230.64583</v>
      </c>
      <c r="C69" s="1">
        <f>IFERROR(__xludf.DUMMYFUNCTION("""COMPUTED_VALUE"""),316.25)</f>
        <v>316.25</v>
      </c>
      <c r="D69" s="1"/>
      <c r="E69" s="112">
        <f>IFERROR(__xludf.DUMMYFUNCTION("""COMPUTED_VALUE"""),46230.64583333333)</f>
        <v>46230.64583</v>
      </c>
      <c r="F69" s="1">
        <f>IFERROR(__xludf.DUMMYFUNCTION("""COMPUTED_VALUE"""),393.95)</f>
        <v>393.95</v>
      </c>
      <c r="G69" s="1"/>
      <c r="H69" s="29">
        <f t="shared" si="3"/>
        <v>0.8027668486</v>
      </c>
      <c r="I69" s="1">
        <f t="shared" si="4"/>
        <v>-77.7</v>
      </c>
      <c r="J69" s="113">
        <f t="shared" si="5"/>
        <v>-0.2993944896</v>
      </c>
      <c r="K69" s="29">
        <f t="shared" si="6"/>
        <v>0.8027668486</v>
      </c>
      <c r="L69" s="65">
        <f t="shared" si="7"/>
        <v>310.36</v>
      </c>
      <c r="M69" s="25">
        <f t="shared" si="8"/>
        <v>0.01862450593</v>
      </c>
      <c r="N69" s="65">
        <f t="shared" si="9"/>
        <v>395.2725</v>
      </c>
      <c r="O69" s="25">
        <f t="shared" si="10"/>
        <v>-0.003357025003</v>
      </c>
      <c r="P69" s="25">
        <f t="shared" si="11"/>
        <v>0.02198153093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IFERROR(__xludf.DUMMYFUNCTION("""COMPUTED_VALUE"""),46231.64583333333)</f>
        <v>46231.64583</v>
      </c>
      <c r="C70" s="1">
        <f>IFERROR(__xludf.DUMMYFUNCTION("""COMPUTED_VALUE"""),320.05)</f>
        <v>320.05</v>
      </c>
      <c r="D70" s="1"/>
      <c r="E70" s="112">
        <f>IFERROR(__xludf.DUMMYFUNCTION("""COMPUTED_VALUE"""),46231.64583333333)</f>
        <v>46231.64583</v>
      </c>
      <c r="F70" s="1">
        <f>IFERROR(__xludf.DUMMYFUNCTION("""COMPUTED_VALUE"""),400.05)</f>
        <v>400.05</v>
      </c>
      <c r="G70" s="1"/>
      <c r="H70" s="29">
        <f t="shared" si="3"/>
        <v>0.8000249969</v>
      </c>
      <c r="I70" s="1">
        <f t="shared" si="4"/>
        <v>-80</v>
      </c>
      <c r="J70" s="113">
        <f t="shared" si="5"/>
        <v>-0.4228397402</v>
      </c>
      <c r="K70" s="29">
        <f t="shared" si="6"/>
        <v>0.8000249969</v>
      </c>
      <c r="L70" s="65">
        <f t="shared" si="7"/>
        <v>311.185</v>
      </c>
      <c r="M70" s="25">
        <f t="shared" si="8"/>
        <v>0.02769879706</v>
      </c>
      <c r="N70" s="65">
        <f t="shared" si="9"/>
        <v>395.5525</v>
      </c>
      <c r="O70" s="25">
        <f t="shared" si="10"/>
        <v>0.01124234471</v>
      </c>
      <c r="P70" s="25">
        <f t="shared" si="11"/>
        <v>0.01645645236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IFERROR(__xludf.DUMMYFUNCTION("""COMPUTED_VALUE"""),46232.64583333333)</f>
        <v>46232.64583</v>
      </c>
      <c r="C71" s="1">
        <f>IFERROR(__xludf.DUMMYFUNCTION("""COMPUTED_VALUE"""),317.4)</f>
        <v>317.4</v>
      </c>
      <c r="D71" s="1"/>
      <c r="E71" s="112">
        <f>IFERROR(__xludf.DUMMYFUNCTION("""COMPUTED_VALUE"""),46232.64583333333)</f>
        <v>46232.64583</v>
      </c>
      <c r="F71" s="1">
        <f>IFERROR(__xludf.DUMMYFUNCTION("""COMPUTED_VALUE"""),392.75)</f>
        <v>392.75</v>
      </c>
      <c r="G71" s="1"/>
      <c r="H71" s="29">
        <f t="shared" si="3"/>
        <v>0.8081476766</v>
      </c>
      <c r="I71" s="1">
        <f t="shared" si="4"/>
        <v>-75.35</v>
      </c>
      <c r="J71" s="113">
        <f t="shared" si="5"/>
        <v>-0.1732656466</v>
      </c>
      <c r="K71" s="29">
        <f t="shared" si="6"/>
        <v>0.8081476766</v>
      </c>
      <c r="L71" s="65">
        <f t="shared" si="7"/>
        <v>311.845</v>
      </c>
      <c r="M71" s="25">
        <f t="shared" si="8"/>
        <v>0.0175015753</v>
      </c>
      <c r="N71" s="65">
        <f t="shared" si="9"/>
        <v>395.585</v>
      </c>
      <c r="O71" s="25">
        <f t="shared" si="10"/>
        <v>-0.007218332272</v>
      </c>
      <c r="P71" s="25">
        <f t="shared" si="11"/>
        <v>0.02471990757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IFERROR(__xludf.DUMMYFUNCTION("""COMPUTED_VALUE"""),46233.64583333333)</f>
        <v>46233.64583</v>
      </c>
      <c r="C72" s="1">
        <f>IFERROR(__xludf.DUMMYFUNCTION("""COMPUTED_VALUE"""),315.8)</f>
        <v>315.8</v>
      </c>
      <c r="D72" s="1"/>
      <c r="E72" s="112">
        <f>IFERROR(__xludf.DUMMYFUNCTION("""COMPUTED_VALUE"""),46233.64583333333)</f>
        <v>46233.64583</v>
      </c>
      <c r="F72" s="1">
        <f>IFERROR(__xludf.DUMMYFUNCTION("""COMPUTED_VALUE"""),388.45)</f>
        <v>388.45</v>
      </c>
      <c r="G72" s="1"/>
      <c r="H72" s="29">
        <f t="shared" si="3"/>
        <v>0.8129746428</v>
      </c>
      <c r="I72" s="1">
        <f t="shared" si="4"/>
        <v>-72.65</v>
      </c>
      <c r="J72" s="113">
        <f t="shared" si="5"/>
        <v>-0.02835165679</v>
      </c>
      <c r="K72" s="29">
        <f t="shared" si="6"/>
        <v>0.8129746428</v>
      </c>
      <c r="L72" s="65">
        <f t="shared" si="7"/>
        <v>312.1125</v>
      </c>
      <c r="M72" s="25">
        <f t="shared" si="8"/>
        <v>0.01167669411</v>
      </c>
      <c r="N72" s="65">
        <f t="shared" si="9"/>
        <v>395.03</v>
      </c>
      <c r="O72" s="25">
        <f t="shared" si="10"/>
        <v>-0.016939117</v>
      </c>
      <c r="P72" s="25">
        <f t="shared" si="11"/>
        <v>0.02861581111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IFERROR(__xludf.DUMMYFUNCTION("""COMPUTED_VALUE"""),46234.64583333333)</f>
        <v>46234.64583</v>
      </c>
      <c r="C73" s="1">
        <f>IFERROR(__xludf.DUMMYFUNCTION("""COMPUTED_VALUE"""),319.75)</f>
        <v>319.75</v>
      </c>
      <c r="D73" s="1"/>
      <c r="E73" s="112">
        <f>IFERROR(__xludf.DUMMYFUNCTION("""COMPUTED_VALUE"""),46234.64583333333)</f>
        <v>46234.64583</v>
      </c>
      <c r="F73" s="1">
        <f>IFERROR(__xludf.DUMMYFUNCTION("""COMPUTED_VALUE"""),389.75)</f>
        <v>389.75</v>
      </c>
      <c r="G73" s="1"/>
      <c r="H73" s="29">
        <f t="shared" si="3"/>
        <v>0.8203976908</v>
      </c>
      <c r="I73" s="1">
        <f t="shared" si="4"/>
        <v>-70</v>
      </c>
      <c r="J73" s="113">
        <f t="shared" si="5"/>
        <v>0.1138787406</v>
      </c>
      <c r="K73" s="29">
        <f t="shared" si="6"/>
        <v>0.8203976908</v>
      </c>
      <c r="L73" s="65">
        <f t="shared" si="7"/>
        <v>312.6925</v>
      </c>
      <c r="M73" s="25">
        <f t="shared" si="8"/>
        <v>0.0220719312</v>
      </c>
      <c r="N73" s="65">
        <f t="shared" si="9"/>
        <v>394.555</v>
      </c>
      <c r="O73" s="25">
        <f t="shared" si="10"/>
        <v>-0.01232841565</v>
      </c>
      <c r="P73" s="25">
        <f t="shared" si="11"/>
        <v>0.03440034685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IFERROR(__xludf.DUMMYFUNCTION("""COMPUTED_VALUE"""),46237.64583333333)</f>
        <v>46237.64583</v>
      </c>
      <c r="C74" s="1">
        <f>IFERROR(__xludf.DUMMYFUNCTION("""COMPUTED_VALUE"""),329.95)</f>
        <v>329.95</v>
      </c>
      <c r="D74" s="1"/>
      <c r="E74" s="112">
        <f>IFERROR(__xludf.DUMMYFUNCTION("""COMPUTED_VALUE"""),46237.64583333333)</f>
        <v>46237.64583</v>
      </c>
      <c r="F74" s="1">
        <f>IFERROR(__xludf.DUMMYFUNCTION("""COMPUTED_VALUE"""),395.0)</f>
        <v>395</v>
      </c>
      <c r="G74" s="1"/>
      <c r="H74" s="29">
        <f t="shared" si="3"/>
        <v>0.8353164557</v>
      </c>
      <c r="I74" s="1">
        <f t="shared" si="4"/>
        <v>-65.05</v>
      </c>
      <c r="J74" s="113">
        <f t="shared" si="5"/>
        <v>0.3795543886</v>
      </c>
      <c r="K74" s="29">
        <f t="shared" si="6"/>
        <v>0.8353164557</v>
      </c>
      <c r="L74" s="65">
        <f t="shared" si="7"/>
        <v>313.7825</v>
      </c>
      <c r="M74" s="25">
        <f t="shared" si="8"/>
        <v>0.04899984846</v>
      </c>
      <c r="N74" s="65">
        <f t="shared" si="9"/>
        <v>394.2875</v>
      </c>
      <c r="O74" s="25">
        <f t="shared" si="10"/>
        <v>0.001803797468</v>
      </c>
      <c r="P74" s="25">
        <f t="shared" si="11"/>
        <v>0.04719605099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IFERROR(__xludf.DUMMYFUNCTION("""COMPUTED_VALUE"""),46238.64583333333)</f>
        <v>46238.64583</v>
      </c>
      <c r="C75" s="1">
        <f>IFERROR(__xludf.DUMMYFUNCTION("""COMPUTED_VALUE"""),324.0)</f>
        <v>324</v>
      </c>
      <c r="D75" s="1"/>
      <c r="E75" s="112">
        <f>IFERROR(__xludf.DUMMYFUNCTION("""COMPUTED_VALUE"""),46238.64583333333)</f>
        <v>46238.64583</v>
      </c>
      <c r="F75" s="1">
        <f>IFERROR(__xludf.DUMMYFUNCTION("""COMPUTED_VALUE"""),391.5)</f>
        <v>391.5</v>
      </c>
      <c r="G75" s="1"/>
      <c r="H75" s="29">
        <f t="shared" si="3"/>
        <v>0.8275862069</v>
      </c>
      <c r="I75" s="1">
        <f t="shared" si="4"/>
        <v>-67.5</v>
      </c>
      <c r="J75" s="113">
        <f t="shared" si="5"/>
        <v>0.2480583608</v>
      </c>
      <c r="K75" s="29">
        <f t="shared" si="6"/>
        <v>0.8275862069</v>
      </c>
      <c r="L75" s="65">
        <f t="shared" si="7"/>
        <v>314.285</v>
      </c>
      <c r="M75" s="25">
        <f t="shared" si="8"/>
        <v>0.0299845679</v>
      </c>
      <c r="N75" s="65">
        <f t="shared" si="9"/>
        <v>393.565</v>
      </c>
      <c r="O75" s="25">
        <f t="shared" si="10"/>
        <v>-0.00527458493</v>
      </c>
      <c r="P75" s="25">
        <f t="shared" si="11"/>
        <v>0.03525915283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IFERROR(__xludf.DUMMYFUNCTION("""COMPUTED_VALUE"""),46239.64583333333)</f>
        <v>46239.64583</v>
      </c>
      <c r="C76" s="1">
        <f>IFERROR(__xludf.DUMMYFUNCTION("""COMPUTED_VALUE"""),326.25)</f>
        <v>326.25</v>
      </c>
      <c r="D76" s="1"/>
      <c r="E76" s="112">
        <f>IFERROR(__xludf.DUMMYFUNCTION("""COMPUTED_VALUE"""),46239.64583333333)</f>
        <v>46239.64583</v>
      </c>
      <c r="F76" s="1">
        <f>IFERROR(__xludf.DUMMYFUNCTION("""COMPUTED_VALUE"""),394.95)</f>
        <v>394.95</v>
      </c>
      <c r="G76" s="1"/>
      <c r="H76" s="29">
        <f t="shared" si="3"/>
        <v>0.8260539309</v>
      </c>
      <c r="I76" s="1">
        <f t="shared" si="4"/>
        <v>-68.7</v>
      </c>
      <c r="J76" s="113">
        <f t="shared" si="5"/>
        <v>0.1836521431</v>
      </c>
      <c r="K76" s="29">
        <f t="shared" si="6"/>
        <v>0.8260539309</v>
      </c>
      <c r="L76" s="65">
        <f t="shared" si="7"/>
        <v>315.42</v>
      </c>
      <c r="M76" s="25">
        <f t="shared" si="8"/>
        <v>0.0331954023</v>
      </c>
      <c r="N76" s="65">
        <f t="shared" si="9"/>
        <v>393.97</v>
      </c>
      <c r="O76" s="25">
        <f t="shared" si="10"/>
        <v>0.00248132675</v>
      </c>
      <c r="P76" s="25">
        <f t="shared" si="11"/>
        <v>0.03071407555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IFERROR(__xludf.DUMMYFUNCTION("""COMPUTED_VALUE"""),46240.64583333333)</f>
        <v>46240.64583</v>
      </c>
      <c r="C77" s="1">
        <f>IFERROR(__xludf.DUMMYFUNCTION("""COMPUTED_VALUE"""),323.7)</f>
        <v>323.7</v>
      </c>
      <c r="D77" s="1"/>
      <c r="E77" s="112">
        <f>IFERROR(__xludf.DUMMYFUNCTION("""COMPUTED_VALUE"""),46240.64583333333)</f>
        <v>46240.64583</v>
      </c>
      <c r="F77" s="1">
        <f>IFERROR(__xludf.DUMMYFUNCTION("""COMPUTED_VALUE"""),395.0)</f>
        <v>395</v>
      </c>
      <c r="G77" s="1"/>
      <c r="H77" s="29">
        <f t="shared" si="3"/>
        <v>0.8194936709</v>
      </c>
      <c r="I77" s="1">
        <f t="shared" si="4"/>
        <v>-71.3</v>
      </c>
      <c r="J77" s="113">
        <f t="shared" si="5"/>
        <v>0.04410533812</v>
      </c>
      <c r="K77" s="29">
        <f t="shared" si="6"/>
        <v>0.8194936709</v>
      </c>
      <c r="L77" s="65">
        <f t="shared" si="7"/>
        <v>316.195</v>
      </c>
      <c r="M77" s="25">
        <f t="shared" si="8"/>
        <v>0.02318504788</v>
      </c>
      <c r="N77" s="65">
        <f t="shared" si="9"/>
        <v>394.115</v>
      </c>
      <c r="O77" s="25">
        <f t="shared" si="10"/>
        <v>0.002240506329</v>
      </c>
      <c r="P77" s="25">
        <f t="shared" si="11"/>
        <v>0.02094454155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IFERROR(__xludf.DUMMYFUNCTION("""COMPUTED_VALUE"""),46241.64583333333)</f>
        <v>46241.64583</v>
      </c>
      <c r="C78" s="1">
        <f>IFERROR(__xludf.DUMMYFUNCTION("""COMPUTED_VALUE"""),321.0)</f>
        <v>321</v>
      </c>
      <c r="D78" s="1"/>
      <c r="E78" s="112">
        <f>IFERROR(__xludf.DUMMYFUNCTION("""COMPUTED_VALUE"""),46241.64583333333)</f>
        <v>46241.64583</v>
      </c>
      <c r="F78" s="1">
        <f>IFERROR(__xludf.DUMMYFUNCTION("""COMPUTED_VALUE"""),393.05)</f>
        <v>393.05</v>
      </c>
      <c r="G78" s="1"/>
      <c r="H78" s="29">
        <f t="shared" si="3"/>
        <v>0.8166899886</v>
      </c>
      <c r="I78" s="1">
        <f t="shared" si="4"/>
        <v>-72.05</v>
      </c>
      <c r="J78" s="113">
        <f t="shared" si="5"/>
        <v>0.003851452061</v>
      </c>
      <c r="K78" s="29">
        <f t="shared" si="6"/>
        <v>0.8166899886</v>
      </c>
      <c r="L78" s="65">
        <f t="shared" si="7"/>
        <v>316.7575</v>
      </c>
      <c r="M78" s="25">
        <f t="shared" si="8"/>
        <v>0.0132165109</v>
      </c>
      <c r="N78" s="65">
        <f t="shared" si="9"/>
        <v>394.0025</v>
      </c>
      <c r="O78" s="25">
        <f t="shared" si="10"/>
        <v>-0.002423355807</v>
      </c>
      <c r="P78" s="25">
        <f t="shared" si="11"/>
        <v>0.01563986671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IFERROR(__xludf.DUMMYFUNCTION("""COMPUTED_VALUE"""),46244.64583333333)</f>
        <v>46244.64583</v>
      </c>
      <c r="C79" s="1">
        <f>IFERROR(__xludf.DUMMYFUNCTION("""COMPUTED_VALUE"""),318.5)</f>
        <v>318.5</v>
      </c>
      <c r="D79" s="1"/>
      <c r="E79" s="112">
        <f>IFERROR(__xludf.DUMMYFUNCTION("""COMPUTED_VALUE"""),46244.64583333333)</f>
        <v>46244.64583</v>
      </c>
      <c r="F79" s="1">
        <f>IFERROR(__xludf.DUMMYFUNCTION("""COMPUTED_VALUE"""),393.15)</f>
        <v>393.15</v>
      </c>
      <c r="G79" s="1"/>
      <c r="H79" s="29">
        <f t="shared" si="3"/>
        <v>0.8101233626</v>
      </c>
      <c r="I79" s="1">
        <f t="shared" si="4"/>
        <v>-74.65</v>
      </c>
      <c r="J79" s="113">
        <f t="shared" si="5"/>
        <v>-0.1356953529</v>
      </c>
      <c r="K79" s="29">
        <f t="shared" si="6"/>
        <v>0.8101233626</v>
      </c>
      <c r="L79" s="65">
        <f t="shared" si="7"/>
        <v>317.305</v>
      </c>
      <c r="M79" s="25">
        <f t="shared" si="8"/>
        <v>0.003751962323</v>
      </c>
      <c r="N79" s="65">
        <f t="shared" si="9"/>
        <v>394.08</v>
      </c>
      <c r="O79" s="25">
        <f t="shared" si="10"/>
        <v>-0.002365509348</v>
      </c>
      <c r="P79" s="25">
        <f t="shared" si="11"/>
        <v>0.006117471671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IFERROR(__xludf.DUMMYFUNCTION("""COMPUTED_VALUE"""),46245.64583333333)</f>
        <v>46245.64583</v>
      </c>
      <c r="C80" s="1">
        <f>IFERROR(__xludf.DUMMYFUNCTION("""COMPUTED_VALUE"""),317.8)</f>
        <v>317.8</v>
      </c>
      <c r="D80" s="1"/>
      <c r="E80" s="112">
        <f>IFERROR(__xludf.DUMMYFUNCTION("""COMPUTED_VALUE"""),46245.64583333333)</f>
        <v>46245.64583</v>
      </c>
      <c r="F80" s="1">
        <f>IFERROR(__xludf.DUMMYFUNCTION("""COMPUTED_VALUE"""),390.85)</f>
        <v>390.85</v>
      </c>
      <c r="G80" s="1"/>
      <c r="H80" s="29">
        <f t="shared" si="3"/>
        <v>0.8130996546</v>
      </c>
      <c r="I80" s="1">
        <f t="shared" si="4"/>
        <v>-73.05</v>
      </c>
      <c r="J80" s="113">
        <f t="shared" si="5"/>
        <v>-0.04982039602</v>
      </c>
      <c r="K80" s="29">
        <f t="shared" si="6"/>
        <v>0.8130996546</v>
      </c>
      <c r="L80" s="65">
        <f t="shared" si="7"/>
        <v>317.9275</v>
      </c>
      <c r="M80" s="25">
        <f t="shared" si="8"/>
        <v>-0.0004011957206</v>
      </c>
      <c r="N80" s="65">
        <f t="shared" si="9"/>
        <v>394.3225</v>
      </c>
      <c r="O80" s="25">
        <f t="shared" si="10"/>
        <v>-0.008884482538</v>
      </c>
      <c r="P80" s="25">
        <f t="shared" si="11"/>
        <v>0.008483286817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IFERROR(__xludf.DUMMYFUNCTION("""COMPUTED_VALUE"""),46246.64583333333)</f>
        <v>46246.64583</v>
      </c>
      <c r="C81" s="1">
        <f>IFERROR(__xludf.DUMMYFUNCTION("""COMPUTED_VALUE"""),317.0)</f>
        <v>317</v>
      </c>
      <c r="D81" s="1"/>
      <c r="E81" s="112">
        <f>IFERROR(__xludf.DUMMYFUNCTION("""COMPUTED_VALUE"""),46246.64583333333)</f>
        <v>46246.64583</v>
      </c>
      <c r="F81" s="1">
        <f>IFERROR(__xludf.DUMMYFUNCTION("""COMPUTED_VALUE"""),390.0)</f>
        <v>390</v>
      </c>
      <c r="G81" s="1"/>
      <c r="H81" s="29">
        <f t="shared" si="3"/>
        <v>0.8128205128</v>
      </c>
      <c r="I81" s="1">
        <f t="shared" si="4"/>
        <v>-73</v>
      </c>
      <c r="J81" s="113">
        <f t="shared" si="5"/>
        <v>-0.04713680361</v>
      </c>
      <c r="K81" s="29">
        <f t="shared" si="6"/>
        <v>0.8128205128</v>
      </c>
      <c r="L81" s="65">
        <f t="shared" si="7"/>
        <v>318.2975</v>
      </c>
      <c r="M81" s="25">
        <f t="shared" si="8"/>
        <v>-0.004093059937</v>
      </c>
      <c r="N81" s="65">
        <f t="shared" si="9"/>
        <v>394.1025</v>
      </c>
      <c r="O81" s="25">
        <f t="shared" si="10"/>
        <v>-0.01051923077</v>
      </c>
      <c r="P81" s="25">
        <f t="shared" si="11"/>
        <v>0.006426170832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IFERROR(__xludf.DUMMYFUNCTION("""COMPUTED_VALUE"""),46247.64583333333)</f>
        <v>46247.64583</v>
      </c>
      <c r="C82" s="1">
        <f>IFERROR(__xludf.DUMMYFUNCTION("""COMPUTED_VALUE"""),315.0)</f>
        <v>315</v>
      </c>
      <c r="D82" s="1"/>
      <c r="E82" s="112">
        <f>IFERROR(__xludf.DUMMYFUNCTION("""COMPUTED_VALUE"""),46247.64583333333)</f>
        <v>46247.64583</v>
      </c>
      <c r="F82" s="1">
        <f>IFERROR(__xludf.DUMMYFUNCTION("""COMPUTED_VALUE"""),392.9)</f>
        <v>392.9</v>
      </c>
      <c r="G82" s="1"/>
      <c r="H82" s="29">
        <f t="shared" si="3"/>
        <v>0.8017307203</v>
      </c>
      <c r="I82" s="1">
        <f t="shared" si="4"/>
        <v>-77.9</v>
      </c>
      <c r="J82" s="113">
        <f t="shared" si="5"/>
        <v>-0.3101288592</v>
      </c>
      <c r="K82" s="29">
        <f t="shared" si="6"/>
        <v>0.8017307203</v>
      </c>
      <c r="L82" s="65">
        <f t="shared" si="7"/>
        <v>318.4475</v>
      </c>
      <c r="M82" s="25">
        <f t="shared" si="8"/>
        <v>-0.01094444444</v>
      </c>
      <c r="N82" s="65">
        <f t="shared" si="9"/>
        <v>393.7775</v>
      </c>
      <c r="O82" s="25">
        <f t="shared" si="10"/>
        <v>-0.002233392721</v>
      </c>
      <c r="P82" s="25">
        <f t="shared" si="11"/>
        <v>-0.008711051724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IFERROR(__xludf.DUMMYFUNCTION("""COMPUTED_VALUE"""),46248.64583333333)</f>
        <v>46248.64583</v>
      </c>
      <c r="C83" s="1">
        <f>IFERROR(__xludf.DUMMYFUNCTION("""COMPUTED_VALUE"""),319.45)</f>
        <v>319.45</v>
      </c>
      <c r="D83" s="1"/>
      <c r="E83" s="112">
        <f>IFERROR(__xludf.DUMMYFUNCTION("""COMPUTED_VALUE"""),46248.64583333333)</f>
        <v>46248.64583</v>
      </c>
      <c r="F83" s="1">
        <f>IFERROR(__xludf.DUMMYFUNCTION("""COMPUTED_VALUE"""),373.5)</f>
        <v>373.5</v>
      </c>
      <c r="G83" s="1"/>
      <c r="H83" s="29">
        <f t="shared" si="3"/>
        <v>0.8552878179</v>
      </c>
      <c r="I83" s="1">
        <f t="shared" si="4"/>
        <v>-54.05</v>
      </c>
      <c r="J83" s="113">
        <f t="shared" si="5"/>
        <v>0.9699447175</v>
      </c>
      <c r="K83" s="29">
        <f t="shared" si="6"/>
        <v>0.8552878179</v>
      </c>
      <c r="L83" s="65">
        <f t="shared" si="7"/>
        <v>318.6425</v>
      </c>
      <c r="M83" s="25">
        <f t="shared" si="8"/>
        <v>0.002527782126</v>
      </c>
      <c r="N83" s="65">
        <f t="shared" si="9"/>
        <v>392.4325</v>
      </c>
      <c r="O83" s="25">
        <f t="shared" si="10"/>
        <v>-0.05068942436</v>
      </c>
      <c r="P83" s="25">
        <f t="shared" si="11"/>
        <v>0.05321720649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IFERROR(__xludf.DUMMYFUNCTION("""COMPUTED_VALUE"""),46251.64583333333)</f>
        <v>46251.64583</v>
      </c>
      <c r="C84" s="1">
        <f>IFERROR(__xludf.DUMMYFUNCTION("""COMPUTED_VALUE"""),316.65)</f>
        <v>316.65</v>
      </c>
      <c r="D84" s="1"/>
      <c r="E84" s="112">
        <f>IFERROR(__xludf.DUMMYFUNCTION("""COMPUTED_VALUE"""),46251.64583333333)</f>
        <v>46251.64583</v>
      </c>
      <c r="F84" s="1">
        <f>IFERROR(__xludf.DUMMYFUNCTION("""COMPUTED_VALUE"""),371.0)</f>
        <v>371</v>
      </c>
      <c r="G84" s="1"/>
      <c r="H84" s="29">
        <f t="shared" si="3"/>
        <v>0.8535040431</v>
      </c>
      <c r="I84" s="1">
        <f t="shared" si="4"/>
        <v>-54.35</v>
      </c>
      <c r="J84" s="113">
        <f t="shared" si="5"/>
        <v>0.9538431631</v>
      </c>
      <c r="K84" s="29">
        <f t="shared" si="6"/>
        <v>0.8535040431</v>
      </c>
      <c r="L84" s="65">
        <f t="shared" si="7"/>
        <v>318.595</v>
      </c>
      <c r="M84" s="25">
        <f t="shared" si="8"/>
        <v>-0.006142428549</v>
      </c>
      <c r="N84" s="65">
        <f t="shared" si="9"/>
        <v>390.7125</v>
      </c>
      <c r="O84" s="25">
        <f t="shared" si="10"/>
        <v>-0.05313342318</v>
      </c>
      <c r="P84" s="25">
        <f t="shared" si="11"/>
        <v>0.04699099463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IFERROR(__xludf.DUMMYFUNCTION("""COMPUTED_VALUE"""),46252.64583333333)</f>
        <v>46252.64583</v>
      </c>
      <c r="C85" s="1">
        <f>IFERROR(__xludf.DUMMYFUNCTION("""COMPUTED_VALUE"""),310.3)</f>
        <v>310.3</v>
      </c>
      <c r="D85" s="1"/>
      <c r="E85" s="112">
        <f>IFERROR(__xludf.DUMMYFUNCTION("""COMPUTED_VALUE"""),46252.64583333333)</f>
        <v>46252.64583</v>
      </c>
      <c r="F85" s="1">
        <f>IFERROR(__xludf.DUMMYFUNCTION("""COMPUTED_VALUE"""),366.0)</f>
        <v>366</v>
      </c>
      <c r="G85" s="1"/>
      <c r="H85" s="29">
        <f t="shared" si="3"/>
        <v>0.8478142077</v>
      </c>
      <c r="I85" s="1">
        <f t="shared" si="4"/>
        <v>-55.7</v>
      </c>
      <c r="J85" s="113">
        <f t="shared" si="5"/>
        <v>0.8813861681</v>
      </c>
      <c r="K85" s="29">
        <f t="shared" si="6"/>
        <v>0.8478142077</v>
      </c>
      <c r="L85" s="65">
        <f t="shared" si="7"/>
        <v>318.1425</v>
      </c>
      <c r="M85" s="25">
        <f t="shared" si="8"/>
        <v>-0.02527392846</v>
      </c>
      <c r="N85" s="65">
        <f t="shared" si="9"/>
        <v>388.665</v>
      </c>
      <c r="O85" s="25">
        <f t="shared" si="10"/>
        <v>-0.06192622951</v>
      </c>
      <c r="P85" s="25">
        <f t="shared" si="11"/>
        <v>0.03665230105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IFERROR(__xludf.DUMMYFUNCTION("""COMPUTED_VALUE"""),46253.64583333333)</f>
        <v>46253.64583</v>
      </c>
      <c r="C86" s="1">
        <f>IFERROR(__xludf.DUMMYFUNCTION("""COMPUTED_VALUE"""),307.0)</f>
        <v>307</v>
      </c>
      <c r="D86" s="1"/>
      <c r="E86" s="112">
        <f>IFERROR(__xludf.DUMMYFUNCTION("""COMPUTED_VALUE"""),46253.64583333333)</f>
        <v>46253.64583</v>
      </c>
      <c r="F86" s="1">
        <f>IFERROR(__xludf.DUMMYFUNCTION("""COMPUTED_VALUE"""),366.45)</f>
        <v>366.45</v>
      </c>
      <c r="G86" s="1"/>
      <c r="H86" s="29">
        <f t="shared" si="3"/>
        <v>0.8377677719</v>
      </c>
      <c r="I86" s="1">
        <f t="shared" si="4"/>
        <v>-59.45</v>
      </c>
      <c r="J86" s="113">
        <f t="shared" si="5"/>
        <v>0.6801167379</v>
      </c>
      <c r="K86" s="29">
        <f t="shared" si="6"/>
        <v>0.8377677719</v>
      </c>
      <c r="L86" s="65">
        <f t="shared" si="7"/>
        <v>317.7925</v>
      </c>
      <c r="M86" s="25">
        <f t="shared" si="8"/>
        <v>-0.03515472313</v>
      </c>
      <c r="N86" s="65">
        <f t="shared" si="9"/>
        <v>387.2275</v>
      </c>
      <c r="O86" s="25">
        <f t="shared" si="10"/>
        <v>-0.05669941329</v>
      </c>
      <c r="P86" s="25">
        <f t="shared" si="11"/>
        <v>0.02154469016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IFERROR(__xludf.DUMMYFUNCTION("""COMPUTED_VALUE"""),46254.64583333333)</f>
        <v>46254.64583</v>
      </c>
      <c r="C87" s="1">
        <f>IFERROR(__xludf.DUMMYFUNCTION("""COMPUTED_VALUE"""),308.7)</f>
        <v>308.7</v>
      </c>
      <c r="D87" s="1"/>
      <c r="E87" s="112">
        <f>IFERROR(__xludf.DUMMYFUNCTION("""COMPUTED_VALUE"""),46254.64583333333)</f>
        <v>46254.64583</v>
      </c>
      <c r="F87" s="1">
        <f>IFERROR(__xludf.DUMMYFUNCTION("""COMPUTED_VALUE"""),363.2)</f>
        <v>363.2</v>
      </c>
      <c r="G87" s="1"/>
      <c r="H87" s="29">
        <f t="shared" si="3"/>
        <v>0.8499449339</v>
      </c>
      <c r="I87" s="1">
        <f t="shared" si="4"/>
        <v>-54.5</v>
      </c>
      <c r="J87" s="113">
        <f t="shared" si="5"/>
        <v>0.9457923858</v>
      </c>
      <c r="K87" s="29">
        <f t="shared" si="6"/>
        <v>0.8499449339</v>
      </c>
      <c r="L87" s="65">
        <f t="shared" si="7"/>
        <v>317.735</v>
      </c>
      <c r="M87" s="25">
        <f t="shared" si="8"/>
        <v>-0.02926789764</v>
      </c>
      <c r="N87" s="65">
        <f t="shared" si="9"/>
        <v>386.13</v>
      </c>
      <c r="O87" s="25">
        <f t="shared" si="10"/>
        <v>-0.06313325991</v>
      </c>
      <c r="P87" s="25">
        <f t="shared" si="11"/>
        <v>0.03386536228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IFERROR(__xludf.DUMMYFUNCTION("""COMPUTED_VALUE"""),46255.64583333333)</f>
        <v>46255.64583</v>
      </c>
      <c r="C88" s="1">
        <f>IFERROR(__xludf.DUMMYFUNCTION("""COMPUTED_VALUE"""),311.0)</f>
        <v>311</v>
      </c>
      <c r="D88" s="1"/>
      <c r="E88" s="112">
        <f>IFERROR(__xludf.DUMMYFUNCTION("""COMPUTED_VALUE"""),46255.64583333333)</f>
        <v>46255.64583</v>
      </c>
      <c r="F88" s="1">
        <f>IFERROR(__xludf.DUMMYFUNCTION("""COMPUTED_VALUE"""),363.25)</f>
        <v>363.25</v>
      </c>
      <c r="G88" s="1"/>
      <c r="H88" s="29">
        <f t="shared" si="3"/>
        <v>0.8561596696</v>
      </c>
      <c r="I88" s="1">
        <f t="shared" si="4"/>
        <v>-52.25</v>
      </c>
      <c r="J88" s="113">
        <f t="shared" si="5"/>
        <v>1.066554044</v>
      </c>
      <c r="K88" s="29">
        <f t="shared" si="6"/>
        <v>0.8561596696</v>
      </c>
      <c r="L88" s="65">
        <f t="shared" si="7"/>
        <v>317.7775</v>
      </c>
      <c r="M88" s="25">
        <f t="shared" si="8"/>
        <v>-0.0217926045</v>
      </c>
      <c r="N88" s="65">
        <f t="shared" si="9"/>
        <v>385.2375</v>
      </c>
      <c r="O88" s="25">
        <f t="shared" si="10"/>
        <v>-0.06052993806</v>
      </c>
      <c r="P88" s="25">
        <f t="shared" si="11"/>
        <v>0.03873733356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IFERROR(__xludf.DUMMYFUNCTION("""COMPUTED_VALUE"""),46258.64583333333)</f>
        <v>46258.64583</v>
      </c>
      <c r="C89" s="1">
        <f>IFERROR(__xludf.DUMMYFUNCTION("""COMPUTED_VALUE"""),311.9)</f>
        <v>311.9</v>
      </c>
      <c r="D89" s="1"/>
      <c r="E89" s="112">
        <f>IFERROR(__xludf.DUMMYFUNCTION("""COMPUTED_VALUE"""),46258.64583333333)</f>
        <v>46258.64583</v>
      </c>
      <c r="F89" s="1">
        <f>IFERROR(__xludf.DUMMYFUNCTION("""COMPUTED_VALUE"""),371.95)</f>
        <v>371.95</v>
      </c>
      <c r="G89" s="1"/>
      <c r="H89" s="29">
        <f t="shared" si="3"/>
        <v>0.838553569</v>
      </c>
      <c r="I89" s="1">
        <f t="shared" si="4"/>
        <v>-60.05</v>
      </c>
      <c r="J89" s="113">
        <f t="shared" si="5"/>
        <v>0.647913629</v>
      </c>
      <c r="K89" s="29">
        <f t="shared" si="6"/>
        <v>0.838553569</v>
      </c>
      <c r="L89" s="65">
        <f t="shared" si="7"/>
        <v>317.56</v>
      </c>
      <c r="M89" s="25">
        <f t="shared" si="8"/>
        <v>-0.01814684194</v>
      </c>
      <c r="N89" s="65">
        <f t="shared" si="9"/>
        <v>384.1375</v>
      </c>
      <c r="O89" s="25">
        <f t="shared" si="10"/>
        <v>-0.03276650087</v>
      </c>
      <c r="P89" s="25">
        <f t="shared" si="11"/>
        <v>0.01461965894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IFERROR(__xludf.DUMMYFUNCTION("""COMPUTED_VALUE"""),46259.64583333333)</f>
        <v>46259.64583</v>
      </c>
      <c r="C90" s="1">
        <f>IFERROR(__xludf.DUMMYFUNCTION("""COMPUTED_VALUE"""),318.1)</f>
        <v>318.1</v>
      </c>
      <c r="D90" s="25"/>
      <c r="E90" s="112">
        <f>IFERROR(__xludf.DUMMYFUNCTION("""COMPUTED_VALUE"""),46259.64583333333)</f>
        <v>46259.64583</v>
      </c>
      <c r="F90" s="1">
        <f>IFERROR(__xludf.DUMMYFUNCTION("""COMPUTED_VALUE"""),373.2)</f>
        <v>373.2</v>
      </c>
      <c r="G90" s="1"/>
      <c r="H90" s="29">
        <f t="shared" si="3"/>
        <v>0.852357985</v>
      </c>
      <c r="I90" s="1">
        <f t="shared" si="4"/>
        <v>-55.1</v>
      </c>
      <c r="J90" s="113">
        <f t="shared" si="5"/>
        <v>0.913589277</v>
      </c>
      <c r="K90" s="29">
        <f t="shared" si="6"/>
        <v>0.852357985</v>
      </c>
      <c r="L90" s="65">
        <f t="shared" si="7"/>
        <v>317.4625</v>
      </c>
      <c r="M90" s="25">
        <f t="shared" si="8"/>
        <v>0.002004086765</v>
      </c>
      <c r="N90" s="65">
        <f t="shared" si="9"/>
        <v>382.795</v>
      </c>
      <c r="O90" s="25">
        <f t="shared" si="10"/>
        <v>-0.02571007503</v>
      </c>
      <c r="P90" s="25">
        <f t="shared" si="11"/>
        <v>0.02771416179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IFERROR(__xludf.DUMMYFUNCTION("""COMPUTED_VALUE"""),46260.64583333333)</f>
        <v>46260.64583</v>
      </c>
      <c r="C91" s="1">
        <f>IFERROR(__xludf.DUMMYFUNCTION("""COMPUTED_VALUE"""),318.0)</f>
        <v>318</v>
      </c>
      <c r="D91" s="1"/>
      <c r="E91" s="112">
        <f>IFERROR(__xludf.DUMMYFUNCTION("""COMPUTED_VALUE"""),46260.64583333333)</f>
        <v>46260.64583</v>
      </c>
      <c r="F91" s="1">
        <f>IFERROR(__xludf.DUMMYFUNCTION("""COMPUTED_VALUE"""),375.5)</f>
        <v>375.5</v>
      </c>
      <c r="G91" s="1"/>
      <c r="H91" s="29">
        <f t="shared" si="3"/>
        <v>0.8468708389</v>
      </c>
      <c r="I91" s="1">
        <f t="shared" si="4"/>
        <v>-57.5</v>
      </c>
      <c r="J91" s="113">
        <f t="shared" si="5"/>
        <v>0.7847768416</v>
      </c>
      <c r="K91" s="29">
        <f t="shared" si="6"/>
        <v>0.8468708389</v>
      </c>
      <c r="L91" s="65">
        <f t="shared" si="7"/>
        <v>317.4925</v>
      </c>
      <c r="M91" s="25">
        <f t="shared" si="8"/>
        <v>0.00159591195</v>
      </c>
      <c r="N91" s="65">
        <f t="shared" si="9"/>
        <v>381.9325</v>
      </c>
      <c r="O91" s="25">
        <f t="shared" si="10"/>
        <v>-0.01713049268</v>
      </c>
      <c r="P91" s="25">
        <f t="shared" si="11"/>
        <v>0.01872640463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IFERROR(__xludf.DUMMYFUNCTION("""COMPUTED_VALUE"""),46261.64583333333)</f>
        <v>46261.64583</v>
      </c>
      <c r="C92" s="1">
        <f>IFERROR(__xludf.DUMMYFUNCTION("""COMPUTED_VALUE"""),318.0)</f>
        <v>318</v>
      </c>
      <c r="D92" s="1"/>
      <c r="E92" s="112">
        <f>IFERROR(__xludf.DUMMYFUNCTION("""COMPUTED_VALUE"""),46261.64583333333)</f>
        <v>46261.64583</v>
      </c>
      <c r="F92" s="1">
        <f>IFERROR(__xludf.DUMMYFUNCTION("""COMPUTED_VALUE"""),371.0)</f>
        <v>371</v>
      </c>
      <c r="G92" s="1"/>
      <c r="H92" s="29">
        <f t="shared" si="3"/>
        <v>0.8571428571</v>
      </c>
      <c r="I92" s="1">
        <f t="shared" si="4"/>
        <v>-53</v>
      </c>
      <c r="J92" s="113">
        <f t="shared" si="5"/>
        <v>1.026300158</v>
      </c>
      <c r="K92" s="29">
        <f t="shared" si="6"/>
        <v>0.8571428571</v>
      </c>
      <c r="L92" s="65">
        <f t="shared" si="7"/>
        <v>317.6025</v>
      </c>
      <c r="M92" s="25">
        <f t="shared" si="8"/>
        <v>0.00125</v>
      </c>
      <c r="N92" s="65">
        <f t="shared" si="9"/>
        <v>381.06</v>
      </c>
      <c r="O92" s="25">
        <f t="shared" si="10"/>
        <v>-0.02711590296</v>
      </c>
      <c r="P92" s="25">
        <f t="shared" si="11"/>
        <v>0.02836590296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IFERROR(__xludf.DUMMYFUNCTION("""COMPUTED_VALUE"""),46262.64583333333)</f>
        <v>46262.64583</v>
      </c>
      <c r="C93" s="1">
        <f>IFERROR(__xludf.DUMMYFUNCTION("""COMPUTED_VALUE"""),319.25)</f>
        <v>319.25</v>
      </c>
      <c r="D93" s="1"/>
      <c r="E93" s="112">
        <f>IFERROR(__xludf.DUMMYFUNCTION("""COMPUTED_VALUE"""),46262.64583333333)</f>
        <v>46262.64583</v>
      </c>
      <c r="F93" s="1">
        <f>IFERROR(__xludf.DUMMYFUNCTION("""COMPUTED_VALUE"""),364.0)</f>
        <v>364</v>
      </c>
      <c r="G93" s="1"/>
      <c r="H93" s="29">
        <f t="shared" si="3"/>
        <v>0.8770604396</v>
      </c>
      <c r="I93" s="1">
        <f t="shared" si="4"/>
        <v>-44.75</v>
      </c>
      <c r="J93" s="113">
        <f t="shared" si="5"/>
        <v>1.469092905</v>
      </c>
      <c r="K93" s="29">
        <f t="shared" si="6"/>
        <v>0.8770604396</v>
      </c>
      <c r="L93" s="65">
        <f t="shared" si="7"/>
        <v>317.5775</v>
      </c>
      <c r="M93" s="25">
        <f t="shared" si="8"/>
        <v>0.005238841034</v>
      </c>
      <c r="N93" s="65">
        <f t="shared" si="9"/>
        <v>379.7725</v>
      </c>
      <c r="O93" s="25">
        <f t="shared" si="10"/>
        <v>-0.04333104396</v>
      </c>
      <c r="P93" s="25">
        <f t="shared" si="11"/>
        <v>0.04856988499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IFERROR(__xludf.DUMMYFUNCTION("""COMPUTED_VALUE"""),46265.64583333333)</f>
        <v>46265.64583</v>
      </c>
      <c r="C94" s="1">
        <f>IFERROR(__xludf.DUMMYFUNCTION("""COMPUTED_VALUE"""),324.05)</f>
        <v>324.05</v>
      </c>
      <c r="D94" s="1"/>
      <c r="E94" s="112">
        <f>IFERROR(__xludf.DUMMYFUNCTION("""COMPUTED_VALUE"""),46265.64583333333)</f>
        <v>46265.64583</v>
      </c>
      <c r="F94" s="1">
        <f>IFERROR(__xludf.DUMMYFUNCTION("""COMPUTED_VALUE"""),365.75)</f>
        <v>365.75</v>
      </c>
      <c r="G94" s="1"/>
      <c r="H94" s="29">
        <f t="shared" si="3"/>
        <v>0.8859876965</v>
      </c>
      <c r="I94" s="1">
        <f t="shared" si="4"/>
        <v>-41.7</v>
      </c>
      <c r="J94" s="113">
        <f t="shared" si="5"/>
        <v>1.632792041</v>
      </c>
      <c r="K94" s="29">
        <f t="shared" si="6"/>
        <v>0.8859876965</v>
      </c>
      <c r="L94" s="65">
        <f t="shared" si="7"/>
        <v>317.2825</v>
      </c>
      <c r="M94" s="25">
        <f t="shared" si="8"/>
        <v>0.02088412282</v>
      </c>
      <c r="N94" s="65">
        <f t="shared" si="9"/>
        <v>378.31</v>
      </c>
      <c r="O94" s="25">
        <f t="shared" si="10"/>
        <v>-0.03434039645</v>
      </c>
      <c r="P94" s="25">
        <f t="shared" si="11"/>
        <v>0.05522451927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IFERROR(__xludf.DUMMYFUNCTION("""COMPUTED_VALUE"""),46266.64583333333)</f>
        <v>46266.64583</v>
      </c>
      <c r="C95" s="1">
        <f>IFERROR(__xludf.DUMMYFUNCTION("""COMPUTED_VALUE"""),317.65)</f>
        <v>317.65</v>
      </c>
      <c r="D95" s="1"/>
      <c r="E95" s="112">
        <f>IFERROR(__xludf.DUMMYFUNCTION("""COMPUTED_VALUE"""),46266.64583333333)</f>
        <v>46266.64583</v>
      </c>
      <c r="F95" s="1">
        <f>IFERROR(__xludf.DUMMYFUNCTION("""COMPUTED_VALUE"""),363.1)</f>
        <v>363.1</v>
      </c>
      <c r="G95" s="1"/>
      <c r="H95" s="29">
        <f t="shared" si="3"/>
        <v>0.8748278711</v>
      </c>
      <c r="I95" s="1">
        <f t="shared" si="4"/>
        <v>-45.45</v>
      </c>
      <c r="J95" s="113">
        <f t="shared" si="5"/>
        <v>1.431522611</v>
      </c>
      <c r="K95" s="29">
        <f t="shared" si="6"/>
        <v>0.8748278711</v>
      </c>
      <c r="L95" s="65">
        <f t="shared" si="7"/>
        <v>316.965</v>
      </c>
      <c r="M95" s="25">
        <f t="shared" si="8"/>
        <v>0.002156461514</v>
      </c>
      <c r="N95" s="65">
        <f t="shared" si="9"/>
        <v>376.89</v>
      </c>
      <c r="O95" s="25">
        <f t="shared" si="10"/>
        <v>-0.03797851831</v>
      </c>
      <c r="P95" s="25">
        <f t="shared" si="11"/>
        <v>0.04013497983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IFERROR(__xludf.DUMMYFUNCTION("""COMPUTED_VALUE"""),46267.64583333333)</f>
        <v>46267.64583</v>
      </c>
      <c r="C96" s="1">
        <f>IFERROR(__xludf.DUMMYFUNCTION("""COMPUTED_VALUE"""),319.6)</f>
        <v>319.6</v>
      </c>
      <c r="D96" s="1"/>
      <c r="E96" s="112">
        <f>IFERROR(__xludf.DUMMYFUNCTION("""COMPUTED_VALUE"""),46267.64583333333)</f>
        <v>46267.64583</v>
      </c>
      <c r="F96" s="1">
        <f>IFERROR(__xludf.DUMMYFUNCTION("""COMPUTED_VALUE"""),359.0)</f>
        <v>359</v>
      </c>
      <c r="G96" s="1"/>
      <c r="H96" s="29">
        <f t="shared" si="3"/>
        <v>0.8902506964</v>
      </c>
      <c r="I96" s="1">
        <f t="shared" si="4"/>
        <v>-39.4</v>
      </c>
      <c r="J96" s="113">
        <f t="shared" si="5"/>
        <v>1.756237292</v>
      </c>
      <c r="K96" s="29">
        <f t="shared" si="6"/>
        <v>0.8902506964</v>
      </c>
      <c r="L96" s="65">
        <f t="shared" si="7"/>
        <v>316.6325</v>
      </c>
      <c r="M96" s="25">
        <f t="shared" si="8"/>
        <v>0.009285043805</v>
      </c>
      <c r="N96" s="65">
        <f t="shared" si="9"/>
        <v>375.0925</v>
      </c>
      <c r="O96" s="25">
        <f t="shared" si="10"/>
        <v>-0.04482590529</v>
      </c>
      <c r="P96" s="25">
        <f t="shared" si="11"/>
        <v>0.0541109491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IFERROR(__xludf.DUMMYFUNCTION("""COMPUTED_VALUE"""),46268.64583333333)</f>
        <v>46268.64583</v>
      </c>
      <c r="C97" s="1">
        <f>IFERROR(__xludf.DUMMYFUNCTION("""COMPUTED_VALUE"""),320.05)</f>
        <v>320.05</v>
      </c>
      <c r="D97" s="1"/>
      <c r="E97" s="112">
        <f>IFERROR(__xludf.DUMMYFUNCTION("""COMPUTED_VALUE"""),46268.64583333333)</f>
        <v>46268.64583</v>
      </c>
      <c r="F97" s="1">
        <f>IFERROR(__xludf.DUMMYFUNCTION("""COMPUTED_VALUE"""),361.35)</f>
        <v>361.35</v>
      </c>
      <c r="G97" s="1"/>
      <c r="H97" s="29">
        <f t="shared" si="3"/>
        <v>0.8857063789</v>
      </c>
      <c r="I97" s="1">
        <f t="shared" si="4"/>
        <v>-41.3</v>
      </c>
      <c r="J97" s="113">
        <f t="shared" si="5"/>
        <v>1.65426078</v>
      </c>
      <c r="K97" s="29">
        <f t="shared" si="6"/>
        <v>0.8857063789</v>
      </c>
      <c r="L97" s="65">
        <f t="shared" si="7"/>
        <v>316.45</v>
      </c>
      <c r="M97" s="25">
        <f t="shared" si="8"/>
        <v>0.01124824246</v>
      </c>
      <c r="N97" s="65">
        <f t="shared" si="9"/>
        <v>373.41</v>
      </c>
      <c r="O97" s="25">
        <f t="shared" si="10"/>
        <v>-0.03337484433</v>
      </c>
      <c r="P97" s="25">
        <f t="shared" si="11"/>
        <v>0.0446230868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IFERROR(__xludf.DUMMYFUNCTION("""COMPUTED_VALUE"""),46269.64583333333)</f>
        <v>46269.64583</v>
      </c>
      <c r="C98" s="1">
        <f>IFERROR(__xludf.DUMMYFUNCTION("""COMPUTED_VALUE"""),315.7)</f>
        <v>315.7</v>
      </c>
      <c r="D98" s="1"/>
      <c r="E98" s="112">
        <f>IFERROR(__xludf.DUMMYFUNCTION("""COMPUTED_VALUE"""),46269.64583333333)</f>
        <v>46269.64583</v>
      </c>
      <c r="F98" s="1">
        <f>IFERROR(__xludf.DUMMYFUNCTION("""COMPUTED_VALUE"""),356.5)</f>
        <v>356.5</v>
      </c>
      <c r="G98" s="1"/>
      <c r="H98" s="29">
        <f t="shared" si="3"/>
        <v>0.8855539972</v>
      </c>
      <c r="I98" s="1">
        <f t="shared" si="4"/>
        <v>-40.8</v>
      </c>
      <c r="J98" s="113">
        <f t="shared" si="5"/>
        <v>1.681096705</v>
      </c>
      <c r="K98" s="29">
        <f t="shared" si="6"/>
        <v>0.8855539972</v>
      </c>
      <c r="L98" s="65">
        <f t="shared" si="7"/>
        <v>316.185</v>
      </c>
      <c r="M98" s="25">
        <f t="shared" si="8"/>
        <v>-0.001536268609</v>
      </c>
      <c r="N98" s="65">
        <f t="shared" si="9"/>
        <v>371.5825</v>
      </c>
      <c r="O98" s="25">
        <f t="shared" si="10"/>
        <v>-0.04230715288</v>
      </c>
      <c r="P98" s="25">
        <f t="shared" si="11"/>
        <v>0.04077088427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IFERROR(__xludf.DUMMYFUNCTION("""COMPUTED_VALUE"""),46272.64583333333)</f>
        <v>46272.64583</v>
      </c>
      <c r="C99" s="1">
        <f>IFERROR(__xludf.DUMMYFUNCTION("""COMPUTED_VALUE"""),312.9)</f>
        <v>312.9</v>
      </c>
      <c r="D99" s="1"/>
      <c r="E99" s="112">
        <f>IFERROR(__xludf.DUMMYFUNCTION("""COMPUTED_VALUE"""),46272.64583333333)</f>
        <v>46272.64583</v>
      </c>
      <c r="F99" s="1">
        <f>IFERROR(__xludf.DUMMYFUNCTION("""COMPUTED_VALUE"""),356.9)</f>
        <v>356.9</v>
      </c>
      <c r="G99" s="1"/>
      <c r="H99" s="29">
        <f t="shared" si="3"/>
        <v>0.876716167</v>
      </c>
      <c r="I99" s="1">
        <f t="shared" si="4"/>
        <v>-44</v>
      </c>
      <c r="J99" s="113">
        <f t="shared" si="5"/>
        <v>1.509346791</v>
      </c>
      <c r="K99" s="29">
        <f t="shared" si="6"/>
        <v>0.876716167</v>
      </c>
      <c r="L99" s="65">
        <f t="shared" si="7"/>
        <v>315.905</v>
      </c>
      <c r="M99" s="25">
        <f t="shared" si="8"/>
        <v>-0.009603707255</v>
      </c>
      <c r="N99" s="65">
        <f t="shared" si="9"/>
        <v>369.77</v>
      </c>
      <c r="O99" s="25">
        <f t="shared" si="10"/>
        <v>-0.03606052115</v>
      </c>
      <c r="P99" s="25">
        <f t="shared" si="11"/>
        <v>0.0264568139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IFERROR(__xludf.DUMMYFUNCTION("""COMPUTED_VALUE"""),46273.64583333333)</f>
        <v>46273.64583</v>
      </c>
      <c r="C100" s="1">
        <f>IFERROR(__xludf.DUMMYFUNCTION("""COMPUTED_VALUE"""),303.85)</f>
        <v>303.85</v>
      </c>
      <c r="D100" s="1"/>
      <c r="E100" s="112">
        <f>IFERROR(__xludf.DUMMYFUNCTION("""COMPUTED_VALUE"""),46273.64583333333)</f>
        <v>46273.64583</v>
      </c>
      <c r="F100" s="1">
        <f>IFERROR(__xludf.DUMMYFUNCTION("""COMPUTED_VALUE"""),347.0)</f>
        <v>347</v>
      </c>
      <c r="G100" s="1"/>
      <c r="H100" s="29">
        <f t="shared" si="3"/>
        <v>0.875648415</v>
      </c>
      <c r="I100" s="1">
        <f t="shared" si="4"/>
        <v>-43.15</v>
      </c>
      <c r="J100" s="113">
        <f t="shared" si="5"/>
        <v>1.554967862</v>
      </c>
      <c r="K100" s="29">
        <f t="shared" si="6"/>
        <v>0.875648415</v>
      </c>
      <c r="L100" s="65">
        <f t="shared" si="7"/>
        <v>315.2075</v>
      </c>
      <c r="M100" s="25">
        <f t="shared" si="8"/>
        <v>-0.03737864078</v>
      </c>
      <c r="N100" s="65">
        <f t="shared" si="9"/>
        <v>367.5775</v>
      </c>
      <c r="O100" s="25">
        <f t="shared" si="10"/>
        <v>-0.05930115274</v>
      </c>
      <c r="P100" s="25">
        <f t="shared" si="11"/>
        <v>0.02192251196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IFERROR(__xludf.DUMMYFUNCTION("""COMPUTED_VALUE"""),46274.64583333333)</f>
        <v>46274.64583</v>
      </c>
      <c r="C101" s="1">
        <f>IFERROR(__xludf.DUMMYFUNCTION("""COMPUTED_VALUE"""),303.55)</f>
        <v>303.55</v>
      </c>
      <c r="D101" s="1"/>
      <c r="E101" s="112">
        <f>IFERROR(__xludf.DUMMYFUNCTION("""COMPUTED_VALUE"""),46274.64583333333)</f>
        <v>46274.64583</v>
      </c>
      <c r="F101" s="1">
        <f>IFERROR(__xludf.DUMMYFUNCTION("""COMPUTED_VALUE"""),348.9)</f>
        <v>348.9</v>
      </c>
      <c r="G101" s="1"/>
      <c r="H101" s="29">
        <f t="shared" si="3"/>
        <v>0.8700200631</v>
      </c>
      <c r="I101" s="1">
        <f t="shared" si="4"/>
        <v>-45.35</v>
      </c>
      <c r="J101" s="113">
        <f t="shared" si="5"/>
        <v>1.436889796</v>
      </c>
      <c r="K101" s="29">
        <f t="shared" si="6"/>
        <v>0.8700200631</v>
      </c>
      <c r="L101" s="65">
        <f t="shared" si="7"/>
        <v>314.535</v>
      </c>
      <c r="M101" s="25">
        <f t="shared" si="8"/>
        <v>-0.03618843683</v>
      </c>
      <c r="N101" s="65">
        <f t="shared" si="9"/>
        <v>365.5225</v>
      </c>
      <c r="O101" s="25">
        <f t="shared" si="10"/>
        <v>-0.047642591</v>
      </c>
      <c r="P101" s="25">
        <f t="shared" si="11"/>
        <v>0.01145415417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IFERROR(__xludf.DUMMYFUNCTION("""COMPUTED_VALUE"""),46275.64583333333)</f>
        <v>46275.64583</v>
      </c>
      <c r="C102" s="1">
        <f>IFERROR(__xludf.DUMMYFUNCTION("""COMPUTED_VALUE"""),303.0)</f>
        <v>303</v>
      </c>
      <c r="D102" s="1"/>
      <c r="E102" s="112">
        <f>IFERROR(__xludf.DUMMYFUNCTION("""COMPUTED_VALUE"""),46275.64583333333)</f>
        <v>46275.64583</v>
      </c>
      <c r="F102" s="1">
        <f>IFERROR(__xludf.DUMMYFUNCTION("""COMPUTED_VALUE"""),352.65)</f>
        <v>352.65</v>
      </c>
      <c r="G102" s="1"/>
      <c r="H102" s="29">
        <f t="shared" si="3"/>
        <v>0.8592088473</v>
      </c>
      <c r="I102" s="1">
        <f t="shared" si="4"/>
        <v>-49.65</v>
      </c>
      <c r="J102" s="113">
        <f t="shared" si="5"/>
        <v>1.206100849</v>
      </c>
      <c r="K102" s="29">
        <f t="shared" si="6"/>
        <v>0.8592088473</v>
      </c>
      <c r="L102" s="65">
        <f t="shared" si="7"/>
        <v>313.935</v>
      </c>
      <c r="M102" s="25">
        <f t="shared" si="8"/>
        <v>-0.03608910891</v>
      </c>
      <c r="N102" s="65">
        <f t="shared" si="9"/>
        <v>363.51</v>
      </c>
      <c r="O102" s="25">
        <f t="shared" si="10"/>
        <v>-0.03079540621</v>
      </c>
      <c r="P102" s="25">
        <f t="shared" si="11"/>
        <v>-0.005293702701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IFERROR(__xludf.DUMMYFUNCTION("""COMPUTED_VALUE"""),46276.64583333333)</f>
        <v>46276.64583</v>
      </c>
      <c r="C103" s="1">
        <f>IFERROR(__xludf.DUMMYFUNCTION("""COMPUTED_VALUE"""),304.5)</f>
        <v>304.5</v>
      </c>
      <c r="D103" s="1"/>
      <c r="E103" s="112">
        <f>IFERROR(__xludf.DUMMYFUNCTION("""COMPUTED_VALUE"""),46276.64583333333)</f>
        <v>46276.64583</v>
      </c>
      <c r="F103" s="1">
        <f>IFERROR(__xludf.DUMMYFUNCTION("""COMPUTED_VALUE"""),352.0)</f>
        <v>352</v>
      </c>
      <c r="G103" s="1"/>
      <c r="H103" s="29">
        <f t="shared" si="3"/>
        <v>0.8650568182</v>
      </c>
      <c r="I103" s="1">
        <f t="shared" si="4"/>
        <v>-47.5</v>
      </c>
      <c r="J103" s="113">
        <f t="shared" si="5"/>
        <v>1.321495322</v>
      </c>
      <c r="K103" s="29">
        <f t="shared" si="6"/>
        <v>0.8650568182</v>
      </c>
      <c r="L103" s="65">
        <f t="shared" si="7"/>
        <v>313.1875</v>
      </c>
      <c r="M103" s="25">
        <f t="shared" si="8"/>
        <v>-0.02853037767</v>
      </c>
      <c r="N103" s="65">
        <f t="shared" si="9"/>
        <v>362.435</v>
      </c>
      <c r="O103" s="25">
        <f t="shared" si="10"/>
        <v>-0.02964488636</v>
      </c>
      <c r="P103" s="25">
        <f t="shared" si="11"/>
        <v>0.001114508695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IFERROR(__xludf.DUMMYFUNCTION("""COMPUTED_VALUE"""),46280.64583333333)</f>
        <v>46280.64583</v>
      </c>
      <c r="C104" s="1">
        <f>IFERROR(__xludf.DUMMYFUNCTION("""COMPUTED_VALUE"""),298.65)</f>
        <v>298.65</v>
      </c>
      <c r="D104" s="1"/>
      <c r="E104" s="112">
        <f>IFERROR(__xludf.DUMMYFUNCTION("""COMPUTED_VALUE"""),46280.64583333333)</f>
        <v>46280.64583</v>
      </c>
      <c r="F104" s="1">
        <f>IFERROR(__xludf.DUMMYFUNCTION("""COMPUTED_VALUE"""),345.3)</f>
        <v>345.3</v>
      </c>
      <c r="G104" s="1"/>
      <c r="H104" s="29">
        <f t="shared" si="3"/>
        <v>0.8649000869</v>
      </c>
      <c r="I104" s="1">
        <f t="shared" si="4"/>
        <v>-46.65</v>
      </c>
      <c r="J104" s="113">
        <f t="shared" si="5"/>
        <v>1.367116393</v>
      </c>
      <c r="K104" s="29">
        <f t="shared" si="6"/>
        <v>0.8649000869</v>
      </c>
      <c r="L104" s="65">
        <f t="shared" si="7"/>
        <v>312.2875</v>
      </c>
      <c r="M104" s="25">
        <f t="shared" si="8"/>
        <v>-0.04566382053</v>
      </c>
      <c r="N104" s="65">
        <f t="shared" si="9"/>
        <v>361.15</v>
      </c>
      <c r="O104" s="25">
        <f t="shared" si="10"/>
        <v>-0.0459021141</v>
      </c>
      <c r="P104" s="25">
        <f t="shared" si="11"/>
        <v>0.000238293578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IFERROR(__xludf.DUMMYFUNCTION("""COMPUTED_VALUE"""),46281.64583333333)</f>
        <v>46281.64583</v>
      </c>
      <c r="C105" s="1">
        <f>IFERROR(__xludf.DUMMYFUNCTION("""COMPUTED_VALUE"""),303.35)</f>
        <v>303.35</v>
      </c>
      <c r="D105" s="1"/>
      <c r="E105" s="112">
        <f>IFERROR(__xludf.DUMMYFUNCTION("""COMPUTED_VALUE"""),46281.64583333333)</f>
        <v>46281.64583</v>
      </c>
      <c r="F105" s="1">
        <f>IFERROR(__xludf.DUMMYFUNCTION("""COMPUTED_VALUE"""),350.05)</f>
        <v>350.05</v>
      </c>
      <c r="G105" s="1"/>
      <c r="H105" s="29">
        <f t="shared" si="3"/>
        <v>0.8665904871</v>
      </c>
      <c r="I105" s="1">
        <f t="shared" si="4"/>
        <v>-46.7</v>
      </c>
      <c r="J105" s="113">
        <f t="shared" si="5"/>
        <v>1.364432801</v>
      </c>
      <c r="K105" s="29">
        <f t="shared" si="6"/>
        <v>0.8665904871</v>
      </c>
      <c r="L105" s="65">
        <f t="shared" si="7"/>
        <v>311.94</v>
      </c>
      <c r="M105" s="25">
        <f t="shared" si="8"/>
        <v>-0.02831712543</v>
      </c>
      <c r="N105" s="65">
        <f t="shared" si="9"/>
        <v>360.3525</v>
      </c>
      <c r="O105" s="25">
        <f t="shared" si="10"/>
        <v>-0.02943150978</v>
      </c>
      <c r="P105" s="25">
        <f t="shared" si="11"/>
        <v>0.001114384352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IFERROR(__xludf.DUMMYFUNCTION("""COMPUTED_VALUE"""),46282.64583333333)</f>
        <v>46282.64583</v>
      </c>
      <c r="C106" s="1">
        <f>IFERROR(__xludf.DUMMYFUNCTION("""COMPUTED_VALUE"""),307.0)</f>
        <v>307</v>
      </c>
      <c r="D106" s="1"/>
      <c r="E106" s="112">
        <f>IFERROR(__xludf.DUMMYFUNCTION("""COMPUTED_VALUE"""),46282.64583333333)</f>
        <v>46282.64583</v>
      </c>
      <c r="F106" s="1">
        <f>IFERROR(__xludf.DUMMYFUNCTION("""COMPUTED_VALUE"""),350.6)</f>
        <v>350.6</v>
      </c>
      <c r="G106" s="1"/>
      <c r="H106" s="29">
        <f t="shared" si="3"/>
        <v>0.875641757</v>
      </c>
      <c r="I106" s="1">
        <f t="shared" si="4"/>
        <v>-43.6</v>
      </c>
      <c r="J106" s="113">
        <f t="shared" si="5"/>
        <v>1.53081553</v>
      </c>
      <c r="K106" s="29">
        <f t="shared" si="6"/>
        <v>0.875641757</v>
      </c>
      <c r="L106" s="65">
        <f t="shared" si="7"/>
        <v>311.94</v>
      </c>
      <c r="M106" s="25">
        <f t="shared" si="8"/>
        <v>-0.01609120521</v>
      </c>
      <c r="N106" s="65">
        <f t="shared" si="9"/>
        <v>359.56</v>
      </c>
      <c r="O106" s="25">
        <f t="shared" si="10"/>
        <v>-0.02555618939</v>
      </c>
      <c r="P106" s="25">
        <f t="shared" si="11"/>
        <v>0.009464984178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IFERROR(__xludf.DUMMYFUNCTION("""COMPUTED_VALUE"""),46283.64583333333)</f>
        <v>46283.64583</v>
      </c>
      <c r="C107" s="1">
        <f>IFERROR(__xludf.DUMMYFUNCTION("""COMPUTED_VALUE"""),314.0)</f>
        <v>314</v>
      </c>
      <c r="D107" s="1"/>
      <c r="E107" s="112">
        <f>IFERROR(__xludf.DUMMYFUNCTION("""COMPUTED_VALUE"""),46283.64583333333)</f>
        <v>46283.64583</v>
      </c>
      <c r="F107" s="1">
        <f>IFERROR(__xludf.DUMMYFUNCTION("""COMPUTED_VALUE"""),359.0)</f>
        <v>359</v>
      </c>
      <c r="G107" s="1"/>
      <c r="H107" s="29">
        <f t="shared" si="3"/>
        <v>0.8746518106</v>
      </c>
      <c r="I107" s="1">
        <f t="shared" si="4"/>
        <v>-45</v>
      </c>
      <c r="J107" s="113">
        <f t="shared" si="5"/>
        <v>1.455674943</v>
      </c>
      <c r="K107" s="29">
        <f t="shared" si="6"/>
        <v>0.8746518106</v>
      </c>
      <c r="L107" s="65">
        <f t="shared" si="7"/>
        <v>312.205</v>
      </c>
      <c r="M107" s="25">
        <f t="shared" si="8"/>
        <v>0.00571656051</v>
      </c>
      <c r="N107" s="65">
        <f t="shared" si="9"/>
        <v>359.35</v>
      </c>
      <c r="O107" s="25">
        <f t="shared" si="10"/>
        <v>-0.0009749303621</v>
      </c>
      <c r="P107" s="25">
        <f t="shared" si="11"/>
        <v>0.006691490872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IFERROR(__xludf.DUMMYFUNCTION("""COMPUTED_VALUE"""),46286.64583333333)</f>
        <v>46286.64583</v>
      </c>
      <c r="C108" s="1">
        <f>IFERROR(__xludf.DUMMYFUNCTION("""COMPUTED_VALUE"""),312.75)</f>
        <v>312.75</v>
      </c>
      <c r="D108" s="1"/>
      <c r="E108" s="112">
        <f>IFERROR(__xludf.DUMMYFUNCTION("""COMPUTED_VALUE"""),46286.64583333333)</f>
        <v>46286.64583</v>
      </c>
      <c r="F108" s="1">
        <f>IFERROR(__xludf.DUMMYFUNCTION("""COMPUTED_VALUE"""),357.6)</f>
        <v>357.6</v>
      </c>
      <c r="G108" s="1"/>
      <c r="H108" s="29">
        <f t="shared" si="3"/>
        <v>0.8745805369</v>
      </c>
      <c r="I108" s="1">
        <f t="shared" si="4"/>
        <v>-44.85</v>
      </c>
      <c r="J108" s="113">
        <f t="shared" si="5"/>
        <v>1.46372572</v>
      </c>
      <c r="K108" s="29">
        <f t="shared" si="6"/>
        <v>0.8745805369</v>
      </c>
      <c r="L108" s="65">
        <f t="shared" si="7"/>
        <v>312.2925</v>
      </c>
      <c r="M108" s="25">
        <f t="shared" si="8"/>
        <v>0.001462829736</v>
      </c>
      <c r="N108" s="65">
        <f t="shared" si="9"/>
        <v>359.0675</v>
      </c>
      <c r="O108" s="25">
        <f t="shared" si="10"/>
        <v>-0.004103747204</v>
      </c>
      <c r="P108" s="25">
        <f t="shared" si="11"/>
        <v>0.00556657694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IFERROR(__xludf.DUMMYFUNCTION("""COMPUTED_VALUE"""),46287.64583333333)</f>
        <v>46287.64583</v>
      </c>
      <c r="C109" s="1">
        <f>IFERROR(__xludf.DUMMYFUNCTION("""COMPUTED_VALUE"""),313.6)</f>
        <v>313.6</v>
      </c>
      <c r="D109" s="1"/>
      <c r="E109" s="112">
        <f>IFERROR(__xludf.DUMMYFUNCTION("""COMPUTED_VALUE"""),46287.64583333333)</f>
        <v>46287.64583</v>
      </c>
      <c r="F109" s="1">
        <f>IFERROR(__xludf.DUMMYFUNCTION("""COMPUTED_VALUE"""),360.7)</f>
        <v>360.7</v>
      </c>
      <c r="G109" s="1"/>
      <c r="H109" s="29">
        <f t="shared" si="3"/>
        <v>0.8694205711</v>
      </c>
      <c r="I109" s="1">
        <f t="shared" si="4"/>
        <v>-47.1</v>
      </c>
      <c r="J109" s="113">
        <f t="shared" si="5"/>
        <v>1.342964062</v>
      </c>
      <c r="K109" s="29">
        <f t="shared" si="6"/>
        <v>0.8694205711</v>
      </c>
      <c r="L109" s="65">
        <f t="shared" si="7"/>
        <v>312.3775</v>
      </c>
      <c r="M109" s="25">
        <f t="shared" si="8"/>
        <v>0.003898278061</v>
      </c>
      <c r="N109" s="65">
        <f t="shared" si="9"/>
        <v>358.505</v>
      </c>
      <c r="O109" s="25">
        <f t="shared" si="10"/>
        <v>0.00608538952</v>
      </c>
      <c r="P109" s="25">
        <f t="shared" si="11"/>
        <v>-0.002187111459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IFERROR(__xludf.DUMMYFUNCTION("""COMPUTED_VALUE"""),46288.64583333333)</f>
        <v>46288.64583</v>
      </c>
      <c r="C110" s="1">
        <f>IFERROR(__xludf.DUMMYFUNCTION("""COMPUTED_VALUE"""),315.75)</f>
        <v>315.75</v>
      </c>
      <c r="D110" s="1"/>
      <c r="E110" s="112">
        <f>IFERROR(__xludf.DUMMYFUNCTION("""COMPUTED_VALUE"""),46288.64583333333)</f>
        <v>46288.64583</v>
      </c>
      <c r="F110" s="1">
        <f>IFERROR(__xludf.DUMMYFUNCTION("""COMPUTED_VALUE"""),360.0)</f>
        <v>360</v>
      </c>
      <c r="G110" s="1"/>
      <c r="H110" s="29">
        <f t="shared" si="3"/>
        <v>0.8770833333</v>
      </c>
      <c r="I110" s="1">
        <f t="shared" si="4"/>
        <v>-44.25</v>
      </c>
      <c r="J110" s="113">
        <f t="shared" si="5"/>
        <v>1.495928829</v>
      </c>
      <c r="K110" s="29">
        <f t="shared" si="6"/>
        <v>0.8770833333</v>
      </c>
      <c r="L110" s="65">
        <f t="shared" si="7"/>
        <v>312.26</v>
      </c>
      <c r="M110" s="25">
        <f t="shared" si="8"/>
        <v>0.0110530483</v>
      </c>
      <c r="N110" s="65">
        <f t="shared" si="9"/>
        <v>357.845</v>
      </c>
      <c r="O110" s="25">
        <f t="shared" si="10"/>
        <v>0.005986111111</v>
      </c>
      <c r="P110" s="25">
        <f t="shared" si="11"/>
        <v>0.005066937187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IFERROR(__xludf.DUMMYFUNCTION("""COMPUTED_VALUE"""),46289.64583333333)</f>
        <v>46289.64583</v>
      </c>
      <c r="C111" s="1">
        <f>IFERROR(__xludf.DUMMYFUNCTION("""COMPUTED_VALUE"""),307.1)</f>
        <v>307.1</v>
      </c>
      <c r="D111" s="1"/>
      <c r="E111" s="112">
        <f>IFERROR(__xludf.DUMMYFUNCTION("""COMPUTED_VALUE"""),46289.64583333333)</f>
        <v>46289.64583</v>
      </c>
      <c r="F111" s="1">
        <f>IFERROR(__xludf.DUMMYFUNCTION("""COMPUTED_VALUE"""),350.4)</f>
        <v>350.4</v>
      </c>
      <c r="G111" s="1"/>
      <c r="H111" s="29">
        <f t="shared" si="3"/>
        <v>0.8764269406</v>
      </c>
      <c r="I111" s="1">
        <f t="shared" si="4"/>
        <v>-43.3</v>
      </c>
      <c r="J111" s="113">
        <f t="shared" si="5"/>
        <v>1.546917084</v>
      </c>
      <c r="K111" s="29">
        <f t="shared" si="6"/>
        <v>0.8764269406</v>
      </c>
      <c r="L111" s="65">
        <f t="shared" si="7"/>
        <v>311.715</v>
      </c>
      <c r="M111" s="25">
        <f t="shared" si="8"/>
        <v>-0.01502767828</v>
      </c>
      <c r="N111" s="65">
        <f t="shared" si="9"/>
        <v>356.59</v>
      </c>
      <c r="O111" s="25">
        <f t="shared" si="10"/>
        <v>-0.01766552511</v>
      </c>
      <c r="P111" s="25">
        <f t="shared" si="11"/>
        <v>0.002637846833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IFERROR(__xludf.DUMMYFUNCTION("""COMPUTED_VALUE"""),46290.64583333333)</f>
        <v>46290.64583</v>
      </c>
      <c r="C112" s="1">
        <f>IFERROR(__xludf.DUMMYFUNCTION("""COMPUTED_VALUE"""),308.5)</f>
        <v>308.5</v>
      </c>
      <c r="D112" s="1"/>
      <c r="E112" s="112">
        <f>IFERROR(__xludf.DUMMYFUNCTION("""COMPUTED_VALUE"""),46290.64583333333)</f>
        <v>46290.64583</v>
      </c>
      <c r="F112" s="1">
        <f>IFERROR(__xludf.DUMMYFUNCTION("""COMPUTED_VALUE"""),351.0)</f>
        <v>351</v>
      </c>
      <c r="G112" s="1"/>
      <c r="H112" s="29">
        <f t="shared" si="3"/>
        <v>0.8789173789</v>
      </c>
      <c r="I112" s="1">
        <f t="shared" si="4"/>
        <v>-42.5</v>
      </c>
      <c r="J112" s="113">
        <f t="shared" si="5"/>
        <v>1.589854563</v>
      </c>
      <c r="K112" s="29">
        <f t="shared" si="6"/>
        <v>0.8789173789</v>
      </c>
      <c r="L112" s="65">
        <f t="shared" si="7"/>
        <v>311.24</v>
      </c>
      <c r="M112" s="25">
        <f t="shared" si="8"/>
        <v>-0.008881685575</v>
      </c>
      <c r="N112" s="65">
        <f t="shared" si="9"/>
        <v>355.59</v>
      </c>
      <c r="O112" s="25">
        <f t="shared" si="10"/>
        <v>-0.01307692308</v>
      </c>
      <c r="P112" s="25">
        <f t="shared" si="11"/>
        <v>0.004195237502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IFERROR(__xludf.DUMMYFUNCTION("""COMPUTED_VALUE"""),46293.64583333333)</f>
        <v>46293.64583</v>
      </c>
      <c r="C113" s="1">
        <f>IFERROR(__xludf.DUMMYFUNCTION("""COMPUTED_VALUE"""),302.25)</f>
        <v>302.25</v>
      </c>
      <c r="D113" s="1"/>
      <c r="E113" s="112">
        <f>IFERROR(__xludf.DUMMYFUNCTION("""COMPUTED_VALUE"""),46293.64583333333)</f>
        <v>46293.64583</v>
      </c>
      <c r="F113" s="1">
        <f>IFERROR(__xludf.DUMMYFUNCTION("""COMPUTED_VALUE"""),342.45)</f>
        <v>342.45</v>
      </c>
      <c r="G113" s="1"/>
      <c r="H113" s="29">
        <f t="shared" si="3"/>
        <v>0.8826106001</v>
      </c>
      <c r="I113" s="1">
        <f t="shared" si="4"/>
        <v>-40.2</v>
      </c>
      <c r="J113" s="113">
        <f t="shared" si="5"/>
        <v>1.713299813</v>
      </c>
      <c r="K113" s="29">
        <f t="shared" si="6"/>
        <v>0.8826106001</v>
      </c>
      <c r="L113" s="65">
        <f t="shared" si="7"/>
        <v>310.39</v>
      </c>
      <c r="M113" s="25">
        <f t="shared" si="8"/>
        <v>-0.02693134822</v>
      </c>
      <c r="N113" s="65">
        <f t="shared" si="9"/>
        <v>354.5125</v>
      </c>
      <c r="O113" s="25">
        <f t="shared" si="10"/>
        <v>-0.03522412031</v>
      </c>
      <c r="P113" s="25">
        <f t="shared" si="11"/>
        <v>0.008292772088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IFERROR(__xludf.DUMMYFUNCTION("""COMPUTED_VALUE"""),46294.64583333333)</f>
        <v>46294.64583</v>
      </c>
      <c r="C114" s="1">
        <f>IFERROR(__xludf.DUMMYFUNCTION("""COMPUTED_VALUE"""),299.35)</f>
        <v>299.35</v>
      </c>
      <c r="D114" s="1"/>
      <c r="E114" s="112">
        <f>IFERROR(__xludf.DUMMYFUNCTION("""COMPUTED_VALUE"""),46294.64583333333)</f>
        <v>46294.64583</v>
      </c>
      <c r="F114" s="1">
        <f>IFERROR(__xludf.DUMMYFUNCTION("""COMPUTED_VALUE"""),349.2)</f>
        <v>349.2</v>
      </c>
      <c r="G114" s="1"/>
      <c r="H114" s="29">
        <f t="shared" si="3"/>
        <v>0.8572451317</v>
      </c>
      <c r="I114" s="1">
        <f t="shared" si="4"/>
        <v>-49.85</v>
      </c>
      <c r="J114" s="113">
        <f t="shared" si="5"/>
        <v>1.195366479</v>
      </c>
      <c r="K114" s="29">
        <f t="shared" si="6"/>
        <v>0.8572451317</v>
      </c>
      <c r="L114" s="65">
        <f t="shared" si="7"/>
        <v>309.155</v>
      </c>
      <c r="M114" s="25">
        <f t="shared" si="8"/>
        <v>-0.03275430099</v>
      </c>
      <c r="N114" s="65">
        <f t="shared" si="9"/>
        <v>353.685</v>
      </c>
      <c r="O114" s="25">
        <f t="shared" si="10"/>
        <v>-0.01284364261</v>
      </c>
      <c r="P114" s="25">
        <f t="shared" si="11"/>
        <v>-0.01991065837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IFERROR(__xludf.DUMMYFUNCTION("""COMPUTED_VALUE"""),46295.64583333333)</f>
        <v>46295.64583</v>
      </c>
      <c r="C115" s="1">
        <f>IFERROR(__xludf.DUMMYFUNCTION("""COMPUTED_VALUE"""),303.2)</f>
        <v>303.2</v>
      </c>
      <c r="D115" s="1"/>
      <c r="E115" s="112">
        <f>IFERROR(__xludf.DUMMYFUNCTION("""COMPUTED_VALUE"""),46295.64583333333)</f>
        <v>46295.64583</v>
      </c>
      <c r="F115" s="1">
        <f>IFERROR(__xludf.DUMMYFUNCTION("""COMPUTED_VALUE"""),350.35)</f>
        <v>350.35</v>
      </c>
      <c r="G115" s="1"/>
      <c r="H115" s="29">
        <f t="shared" si="3"/>
        <v>0.865420294</v>
      </c>
      <c r="I115" s="1">
        <f t="shared" si="4"/>
        <v>-47.15</v>
      </c>
      <c r="J115" s="113">
        <f t="shared" si="5"/>
        <v>1.340280469</v>
      </c>
      <c r="K115" s="29">
        <f t="shared" si="6"/>
        <v>0.865420294</v>
      </c>
      <c r="L115" s="65">
        <f t="shared" si="7"/>
        <v>308.4325</v>
      </c>
      <c r="M115" s="25">
        <f t="shared" si="8"/>
        <v>-0.01725758575</v>
      </c>
      <c r="N115" s="65">
        <f t="shared" si="9"/>
        <v>353.0475</v>
      </c>
      <c r="O115" s="25">
        <f t="shared" si="10"/>
        <v>-0.007699443414</v>
      </c>
      <c r="P115" s="25">
        <f t="shared" si="11"/>
        <v>-0.009558142338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IFERROR(__xludf.DUMMYFUNCTION("""COMPUTED_VALUE"""),46296.64583333333)</f>
        <v>46296.64583</v>
      </c>
      <c r="C116" s="1">
        <f>IFERROR(__xludf.DUMMYFUNCTION("""COMPUTED_VALUE"""),300.6)</f>
        <v>300.6</v>
      </c>
      <c r="D116" s="1"/>
      <c r="E116" s="112">
        <f>IFERROR(__xludf.DUMMYFUNCTION("""COMPUTED_VALUE"""),46296.64583333333)</f>
        <v>46296.64583</v>
      </c>
      <c r="F116" s="1">
        <f>IFERROR(__xludf.DUMMYFUNCTION("""COMPUTED_VALUE"""),345.0)</f>
        <v>345</v>
      </c>
      <c r="G116" s="1"/>
      <c r="H116" s="29">
        <f t="shared" si="3"/>
        <v>0.8713043478</v>
      </c>
      <c r="I116" s="1">
        <f t="shared" si="4"/>
        <v>-44.4</v>
      </c>
      <c r="J116" s="113">
        <f t="shared" si="5"/>
        <v>1.487878051</v>
      </c>
      <c r="K116" s="29">
        <f t="shared" si="6"/>
        <v>0.8713043478</v>
      </c>
      <c r="L116" s="65">
        <f t="shared" si="7"/>
        <v>307.4825</v>
      </c>
      <c r="M116" s="25">
        <f t="shared" si="8"/>
        <v>-0.02289587492</v>
      </c>
      <c r="N116" s="65">
        <f t="shared" si="9"/>
        <v>352.3475</v>
      </c>
      <c r="O116" s="25">
        <f t="shared" si="10"/>
        <v>-0.02129710145</v>
      </c>
      <c r="P116" s="25">
        <f t="shared" si="11"/>
        <v>-0.001598773468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IFERROR(__xludf.DUMMYFUNCTION("""COMPUTED_VALUE"""),46300.64583333333)</f>
        <v>46300.64583</v>
      </c>
      <c r="C117" s="1">
        <f>IFERROR(__xludf.DUMMYFUNCTION("""COMPUTED_VALUE"""),296.95)</f>
        <v>296.95</v>
      </c>
      <c r="D117" s="1"/>
      <c r="E117" s="112">
        <f>IFERROR(__xludf.DUMMYFUNCTION("""COMPUTED_VALUE"""),46300.64583333333)</f>
        <v>46300.64583</v>
      </c>
      <c r="F117" s="1">
        <f>IFERROR(__xludf.DUMMYFUNCTION("""COMPUTED_VALUE"""),342.35)</f>
        <v>342.35</v>
      </c>
      <c r="G117" s="1"/>
      <c r="H117" s="29">
        <f t="shared" si="3"/>
        <v>0.8673871769</v>
      </c>
      <c r="I117" s="1">
        <f t="shared" si="4"/>
        <v>-45.4</v>
      </c>
      <c r="J117" s="113">
        <f t="shared" si="5"/>
        <v>1.434206203</v>
      </c>
      <c r="K117" s="29">
        <f t="shared" si="6"/>
        <v>0.8673871769</v>
      </c>
      <c r="L117" s="65">
        <f t="shared" si="7"/>
        <v>306.3275</v>
      </c>
      <c r="M117" s="25">
        <f t="shared" si="8"/>
        <v>-0.03157939047</v>
      </c>
      <c r="N117" s="65">
        <f t="shared" si="9"/>
        <v>351.3975</v>
      </c>
      <c r="O117" s="25">
        <f t="shared" si="10"/>
        <v>-0.02642763254</v>
      </c>
      <c r="P117" s="25">
        <f t="shared" si="11"/>
        <v>-0.00515175793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IFERROR(__xludf.DUMMYFUNCTION("""COMPUTED_VALUE"""),46301.64583333333)</f>
        <v>46301.64583</v>
      </c>
      <c r="C118" s="1">
        <f>IFERROR(__xludf.DUMMYFUNCTION("""COMPUTED_VALUE"""),300.5)</f>
        <v>300.5</v>
      </c>
      <c r="D118" s="1"/>
      <c r="E118" s="112">
        <f>IFERROR(__xludf.DUMMYFUNCTION("""COMPUTED_VALUE"""),46301.64583333333)</f>
        <v>46301.64583</v>
      </c>
      <c r="F118" s="1">
        <f>IFERROR(__xludf.DUMMYFUNCTION("""COMPUTED_VALUE"""),351.0)</f>
        <v>351</v>
      </c>
      <c r="G118" s="1"/>
      <c r="H118" s="29">
        <f t="shared" si="3"/>
        <v>0.8561253561</v>
      </c>
      <c r="I118" s="1">
        <f t="shared" si="4"/>
        <v>-50.5</v>
      </c>
      <c r="J118" s="113">
        <f t="shared" si="5"/>
        <v>1.160479778</v>
      </c>
      <c r="K118" s="29">
        <f t="shared" si="6"/>
        <v>0.8561253561</v>
      </c>
      <c r="L118" s="65">
        <f t="shared" si="7"/>
        <v>305.5675</v>
      </c>
      <c r="M118" s="25">
        <f t="shared" si="8"/>
        <v>-0.01686356073</v>
      </c>
      <c r="N118" s="65">
        <f t="shared" si="9"/>
        <v>351.1225</v>
      </c>
      <c r="O118" s="25">
        <f t="shared" si="10"/>
        <v>-0.000349002849</v>
      </c>
      <c r="P118" s="25">
        <f t="shared" si="11"/>
        <v>-0.01651455788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IFERROR(__xludf.DUMMYFUNCTION("""COMPUTED_VALUE"""),46302.64583333333)</f>
        <v>46302.64583</v>
      </c>
      <c r="C119" s="1">
        <f>IFERROR(__xludf.DUMMYFUNCTION("""COMPUTED_VALUE"""),296.35)</f>
        <v>296.35</v>
      </c>
      <c r="D119" s="1"/>
      <c r="E119" s="112">
        <f>IFERROR(__xludf.DUMMYFUNCTION("""COMPUTED_VALUE"""),46302.64583333333)</f>
        <v>46302.64583</v>
      </c>
      <c r="F119" s="1">
        <f>IFERROR(__xludf.DUMMYFUNCTION("""COMPUTED_VALUE"""),343.15)</f>
        <v>343.15</v>
      </c>
      <c r="G119" s="1"/>
      <c r="H119" s="29">
        <f t="shared" si="3"/>
        <v>0.8636164942</v>
      </c>
      <c r="I119" s="1">
        <f t="shared" si="4"/>
        <v>-46.8</v>
      </c>
      <c r="J119" s="113">
        <f t="shared" si="5"/>
        <v>1.359065616</v>
      </c>
      <c r="K119" s="29">
        <f t="shared" si="6"/>
        <v>0.8636164942</v>
      </c>
      <c r="L119" s="65">
        <f t="shared" si="7"/>
        <v>304.74</v>
      </c>
      <c r="M119" s="25">
        <f t="shared" si="8"/>
        <v>-0.02831111861</v>
      </c>
      <c r="N119" s="65">
        <f t="shared" si="9"/>
        <v>350.435</v>
      </c>
      <c r="O119" s="25">
        <f t="shared" si="10"/>
        <v>-0.02122978289</v>
      </c>
      <c r="P119" s="25">
        <f t="shared" si="11"/>
        <v>-0.007081335716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219"/>
      <c r="B120" s="220">
        <f>IFERROR(__xludf.DUMMYFUNCTION("""COMPUTED_VALUE"""),46303.64583333333)</f>
        <v>46303.64583</v>
      </c>
      <c r="C120" s="219">
        <f>IFERROR(__xludf.DUMMYFUNCTION("""COMPUTED_VALUE"""),286.25)</f>
        <v>286.25</v>
      </c>
      <c r="D120" s="219"/>
      <c r="E120" s="220">
        <f>IFERROR(__xludf.DUMMYFUNCTION("""COMPUTED_VALUE"""),46303.64583333333)</f>
        <v>46303.64583</v>
      </c>
      <c r="F120" s="219">
        <f>IFERROR(__xludf.DUMMYFUNCTION("""COMPUTED_VALUE"""),326.6)</f>
        <v>326.6</v>
      </c>
      <c r="G120" s="221"/>
      <c r="H120" s="29">
        <f t="shared" si="3"/>
        <v>0.8764543784</v>
      </c>
      <c r="I120" s="222"/>
      <c r="J120" s="223"/>
      <c r="K120" s="224"/>
      <c r="L120" s="225"/>
      <c r="M120" s="226"/>
      <c r="N120" s="225"/>
      <c r="O120" s="226"/>
      <c r="P120" s="226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</row>
    <row r="121">
      <c r="A121" s="219"/>
      <c r="B121" s="220">
        <f>IFERROR(__xludf.DUMMYFUNCTION("""COMPUTED_VALUE"""),46304.64583333333)</f>
        <v>46304.64583</v>
      </c>
      <c r="C121" s="219">
        <f>IFERROR(__xludf.DUMMYFUNCTION("""COMPUTED_VALUE"""),287.8)</f>
        <v>287.8</v>
      </c>
      <c r="D121" s="219"/>
      <c r="E121" s="220">
        <f>IFERROR(__xludf.DUMMYFUNCTION("""COMPUTED_VALUE"""),46304.64583333333)</f>
        <v>46304.64583</v>
      </c>
      <c r="F121" s="219">
        <f>IFERROR(__xludf.DUMMYFUNCTION("""COMPUTED_VALUE"""),326.0)</f>
        <v>326</v>
      </c>
      <c r="G121" s="221"/>
      <c r="H121" s="29">
        <f t="shared" si="3"/>
        <v>0.8828220859</v>
      </c>
      <c r="I121" s="222"/>
      <c r="J121" s="223"/>
      <c r="K121" s="224"/>
      <c r="L121" s="225"/>
      <c r="M121" s="226"/>
      <c r="N121" s="225"/>
      <c r="O121" s="226"/>
      <c r="P121" s="226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</row>
    <row r="122">
      <c r="A122" s="219"/>
      <c r="B122" s="220">
        <f>IFERROR(__xludf.DUMMYFUNCTION("""COMPUTED_VALUE"""),46307.64583333333)</f>
        <v>46307.64583</v>
      </c>
      <c r="C122" s="219">
        <f>IFERROR(__xludf.DUMMYFUNCTION("""COMPUTED_VALUE"""),284.5)</f>
        <v>284.5</v>
      </c>
      <c r="D122" s="219"/>
      <c r="E122" s="220">
        <f>IFERROR(__xludf.DUMMYFUNCTION("""COMPUTED_VALUE"""),46307.64583333333)</f>
        <v>46307.64583</v>
      </c>
      <c r="F122" s="219">
        <f>IFERROR(__xludf.DUMMYFUNCTION("""COMPUTED_VALUE"""),332.25)</f>
        <v>332.25</v>
      </c>
      <c r="G122" s="221"/>
      <c r="H122" s="29">
        <f t="shared" si="3"/>
        <v>0.8562829195</v>
      </c>
      <c r="I122" s="222"/>
      <c r="J122" s="223"/>
      <c r="K122" s="224"/>
      <c r="L122" s="225"/>
      <c r="M122" s="226"/>
      <c r="N122" s="225"/>
      <c r="O122" s="226"/>
      <c r="P122" s="226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</row>
    <row r="123">
      <c r="A123" s="219"/>
      <c r="B123" s="220">
        <f>IFERROR(__xludf.DUMMYFUNCTION("""COMPUTED_VALUE"""),46308.64583333333)</f>
        <v>46308.64583</v>
      </c>
      <c r="C123" s="219">
        <f>IFERROR(__xludf.DUMMYFUNCTION("""COMPUTED_VALUE"""),287.4)</f>
        <v>287.4</v>
      </c>
      <c r="D123" s="219"/>
      <c r="E123" s="220">
        <f>IFERROR(__xludf.DUMMYFUNCTION("""COMPUTED_VALUE"""),46308.64583333333)</f>
        <v>46308.64583</v>
      </c>
      <c r="F123" s="219">
        <f>IFERROR(__xludf.DUMMYFUNCTION("""COMPUTED_VALUE"""),329.0)</f>
        <v>329</v>
      </c>
      <c r="G123" s="221"/>
      <c r="H123" s="29">
        <f t="shared" si="3"/>
        <v>0.873556231</v>
      </c>
      <c r="I123" s="222"/>
      <c r="J123" s="223"/>
      <c r="K123" s="224"/>
      <c r="L123" s="225"/>
      <c r="M123" s="226"/>
      <c r="N123" s="225"/>
      <c r="O123" s="226"/>
      <c r="P123" s="226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</row>
    <row r="124">
      <c r="A124" s="219"/>
      <c r="B124" s="220">
        <f>IFERROR(__xludf.DUMMYFUNCTION("""COMPUTED_VALUE"""),46309.64583333333)</f>
        <v>46309.64583</v>
      </c>
      <c r="C124" s="219">
        <f>IFERROR(__xludf.DUMMYFUNCTION("""COMPUTED_VALUE"""),289.65)</f>
        <v>289.65</v>
      </c>
      <c r="D124" s="219"/>
      <c r="E124" s="220">
        <f>IFERROR(__xludf.DUMMYFUNCTION("""COMPUTED_VALUE"""),46309.64583333333)</f>
        <v>46309.64583</v>
      </c>
      <c r="F124" s="219">
        <f>IFERROR(__xludf.DUMMYFUNCTION("""COMPUTED_VALUE"""),331.05)</f>
        <v>331.05</v>
      </c>
      <c r="G124" s="221"/>
      <c r="H124" s="29">
        <f t="shared" si="3"/>
        <v>0.874943362</v>
      </c>
      <c r="I124" s="222"/>
      <c r="J124" s="223"/>
      <c r="K124" s="224"/>
      <c r="L124" s="225"/>
      <c r="M124" s="226"/>
      <c r="N124" s="225"/>
      <c r="O124" s="226"/>
      <c r="P124" s="226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</row>
    <row r="125">
      <c r="A125" s="193"/>
      <c r="B125" s="217">
        <f>IFERROR(__xludf.DUMMYFUNCTION("""COMPUTED_VALUE"""),46310.64583333333)</f>
        <v>46310.64583</v>
      </c>
      <c r="C125" s="193">
        <f>IFERROR(__xludf.DUMMYFUNCTION("""COMPUTED_VALUE"""),293.7)</f>
        <v>293.7</v>
      </c>
      <c r="D125" s="193"/>
      <c r="E125" s="217">
        <f>IFERROR(__xludf.DUMMYFUNCTION("""COMPUTED_VALUE"""),46310.64583333333)</f>
        <v>46310.64583</v>
      </c>
      <c r="F125" s="193">
        <f>IFERROR(__xludf.DUMMYFUNCTION("""COMPUTED_VALUE"""),348.5)</f>
        <v>348.5</v>
      </c>
      <c r="G125" s="195"/>
      <c r="H125" s="96" t="s">
        <v>138</v>
      </c>
      <c r="I125" s="177">
        <f>AVERAGE(I11:I118)</f>
        <v>-72.12175926</v>
      </c>
      <c r="J125" s="1"/>
      <c r="K125" s="195"/>
      <c r="L125" s="195"/>
      <c r="M125" s="195"/>
      <c r="N125" s="193"/>
      <c r="O125" s="193"/>
      <c r="P125" s="19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93"/>
      <c r="B126" s="242">
        <f>IFERROR(__xludf.DUMMYFUNCTION("""COMPUTED_VALUE"""),46311.64583333333)</f>
        <v>46311.64583</v>
      </c>
      <c r="C126" s="193">
        <f>IFERROR(__xludf.DUMMYFUNCTION("""COMPUTED_VALUE"""),293.5)</f>
        <v>293.5</v>
      </c>
      <c r="D126" s="193"/>
      <c r="E126" s="217">
        <f>IFERROR(__xludf.DUMMYFUNCTION("""COMPUTED_VALUE"""),46311.64583333333)</f>
        <v>46311.64583</v>
      </c>
      <c r="F126" s="193">
        <f>IFERROR(__xludf.DUMMYFUNCTION("""COMPUTED_VALUE"""),346.0)</f>
        <v>346</v>
      </c>
      <c r="G126" s="195"/>
      <c r="H126" s="96" t="s">
        <v>139</v>
      </c>
      <c r="I126" s="189">
        <f>_xlfn.STDEV.P(I11:I117)</f>
        <v>18.63174151</v>
      </c>
      <c r="J126" s="1"/>
      <c r="K126" s="195"/>
      <c r="L126" s="195"/>
      <c r="M126" s="195"/>
      <c r="N126" s="193"/>
      <c r="O126" s="193"/>
      <c r="P126" s="19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93"/>
      <c r="B127" s="193"/>
      <c r="C127" s="193"/>
      <c r="D127" s="193"/>
      <c r="E127" s="194"/>
      <c r="F127" s="195"/>
      <c r="G127" s="195"/>
      <c r="H127" s="195"/>
      <c r="I127" s="195"/>
      <c r="J127" s="195"/>
      <c r="K127" s="195"/>
      <c r="L127" s="195"/>
      <c r="M127" s="195"/>
      <c r="N127" s="193"/>
      <c r="O127" s="193"/>
      <c r="P127" s="19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219" t="s">
        <v>9</v>
      </c>
      <c r="B128" s="220">
        <f>IFERROR(__xludf.DUMMYFUNCTION("GOOGLEFINANCE(B9,""TRADETIME"")"),46311.64583333333)</f>
        <v>46311.64583</v>
      </c>
      <c r="C128" s="219">
        <f>IFERROR(__xludf.DUMMYFUNCTION("GOOGLEFINANCE(B9,""PRICE"")"),293.5)</f>
        <v>293.5</v>
      </c>
      <c r="D128" s="219"/>
      <c r="E128" s="220">
        <f>IFERROR(__xludf.DUMMYFUNCTION("GOOGLEFINANCE(E9,""TRADETIME"")"),46311.64583333333)</f>
        <v>46311.64583</v>
      </c>
      <c r="F128" s="219">
        <f>IFERROR(__xludf.DUMMYFUNCTION("GOOGLEFINANCE(E9,""PRICE"")"),346.0)</f>
        <v>346</v>
      </c>
      <c r="G128" s="221"/>
      <c r="H128" s="228">
        <f>C128/F128</f>
        <v>0.848265896</v>
      </c>
      <c r="I128" s="222">
        <f>C128-F128</f>
        <v>-52.5</v>
      </c>
      <c r="J128" s="223">
        <f>((I128-$I$125)/$I$126)</f>
        <v>1.053136082</v>
      </c>
      <c r="K128" s="224">
        <f>C128/F128</f>
        <v>0.848265896</v>
      </c>
      <c r="L128" s="225">
        <f>AVERAGE(C73:C109)</f>
        <v>314.7432432</v>
      </c>
      <c r="M128" s="226">
        <f>(C128-L128)/C128</f>
        <v>-0.07237902298</v>
      </c>
      <c r="N128" s="225">
        <f>AVERAGE(F73:F109)</f>
        <v>369.5027027</v>
      </c>
      <c r="O128" s="226">
        <f>(F128-N128)/F128</f>
        <v>-0.06792688642</v>
      </c>
      <c r="P128" s="226">
        <f>M128-O128</f>
        <v>-0.004452136551</v>
      </c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  <c r="AC128" s="227"/>
    </row>
    <row r="129">
      <c r="A129" s="193"/>
      <c r="B129" s="110">
        <f>C129*1900</f>
        <v>13300</v>
      </c>
      <c r="C129" s="193">
        <f>C118-C128</f>
        <v>7</v>
      </c>
      <c r="D129" s="193"/>
      <c r="E129" s="110"/>
      <c r="F129" s="195">
        <f>F118-F128</f>
        <v>5</v>
      </c>
      <c r="G129" s="195">
        <f>F129*2025</f>
        <v>10125</v>
      </c>
      <c r="H129" s="195"/>
      <c r="I129" s="195"/>
      <c r="J129" s="195"/>
      <c r="K129" s="195"/>
      <c r="L129" s="195"/>
      <c r="M129" s="195"/>
      <c r="N129" s="193"/>
      <c r="O129" s="193"/>
      <c r="P129" s="19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93"/>
      <c r="B130" s="110"/>
      <c r="C130" s="193"/>
      <c r="D130" s="193"/>
      <c r="E130" s="110"/>
      <c r="F130" s="193"/>
      <c r="G130" s="195"/>
      <c r="H130" s="195"/>
      <c r="I130" s="195"/>
      <c r="J130" s="195"/>
      <c r="K130" s="195"/>
      <c r="L130" s="195"/>
      <c r="M130" s="195"/>
      <c r="N130" s="193"/>
      <c r="O130" s="193"/>
      <c r="P130" s="19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93"/>
      <c r="B131" s="193"/>
      <c r="C131" s="193"/>
      <c r="D131" s="193"/>
      <c r="E131" s="193"/>
      <c r="F131" s="193"/>
      <c r="G131" s="195"/>
      <c r="H131" s="195"/>
      <c r="I131" s="195"/>
      <c r="J131" s="195"/>
      <c r="K131" s="195"/>
      <c r="L131" s="195"/>
      <c r="M131" s="195"/>
      <c r="N131" s="193"/>
      <c r="O131" s="193"/>
      <c r="P131" s="19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7"/>
      <c r="C133" s="1"/>
      <c r="D133" s="1"/>
      <c r="E133" s="7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I134" s="1"/>
      <c r="J134" s="7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23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3" max="4" width="7.0"/>
    <col customWidth="1" min="5" max="5" width="20.63"/>
    <col customWidth="1" min="6" max="6" width="7.0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6.13"/>
  </cols>
  <sheetData>
    <row r="1">
      <c r="A1" s="1"/>
      <c r="B1" s="2" t="s">
        <v>0</v>
      </c>
      <c r="C1" s="4">
        <f>AVERAGE(C98:C118)</f>
        <v>1233.361905</v>
      </c>
      <c r="D1" s="1"/>
      <c r="E1" s="2" t="s">
        <v>0</v>
      </c>
      <c r="F1" s="4">
        <f>AVERAGE(F98:F118)</f>
        <v>383.9714286</v>
      </c>
      <c r="G1" s="1">
        <f>STDEV(F74:F93)</f>
        <v>11.87510554</v>
      </c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170</v>
      </c>
      <c r="V1" s="7" t="s">
        <v>171</v>
      </c>
      <c r="W1" s="7" t="s">
        <v>11</v>
      </c>
      <c r="X1" s="13" t="s">
        <v>12</v>
      </c>
      <c r="Y1" s="14" t="s">
        <v>14</v>
      </c>
      <c r="Z1" s="1"/>
      <c r="AA1" s="1"/>
      <c r="AB1" s="1"/>
      <c r="AC1" s="1"/>
    </row>
    <row r="2">
      <c r="A2" s="1"/>
      <c r="B2" s="17" t="s">
        <v>20</v>
      </c>
      <c r="C2" s="19">
        <f>AVERAGE(C88:C118)</f>
        <v>1253.254839</v>
      </c>
      <c r="D2" s="1"/>
      <c r="E2" s="17" t="s">
        <v>20</v>
      </c>
      <c r="F2" s="19">
        <f>AVERAGE(F88:F118)</f>
        <v>392.0354839</v>
      </c>
      <c r="G2" s="1"/>
      <c r="M2" s="7" t="s">
        <v>23</v>
      </c>
      <c r="N2" s="25">
        <f>CORREL(C88:C118,F88:F118)</f>
        <v>0.9843870984</v>
      </c>
      <c r="O2" s="7" t="s">
        <v>25</v>
      </c>
      <c r="P2" s="29">
        <f>AVERAGE(K88:K116)</f>
        <v>3.19490364</v>
      </c>
      <c r="Q2" s="29">
        <f>MAX(K88:K116)</f>
        <v>3.288038278</v>
      </c>
      <c r="R2" s="29">
        <f>MIN(K88:K116)</f>
        <v>3.140740741</v>
      </c>
      <c r="S2" s="40">
        <f t="shared" ref="S2:S5" si="1">Q2-R2</f>
        <v>0.1472975368</v>
      </c>
      <c r="T2" s="1">
        <f>MATCH(MAX(K11:K116), K11:K116, 0)</f>
        <v>104</v>
      </c>
      <c r="U2" s="1">
        <f t="array" ref="U2">INDEX(C11:C116, MATCH(MAX(K11:K116), K11:K116, 0))</f>
        <v>1202.6</v>
      </c>
      <c r="V2" s="1">
        <f t="array" ref="V2">INDEX(F11:F116, MATCH(MAX(K11:K116), K11:K116, 0))</f>
        <v>365.75</v>
      </c>
      <c r="W2" s="54">
        <f t="shared" ref="W2:W3" si="2">U2/V2</f>
        <v>3.288038278</v>
      </c>
      <c r="X2" s="7" t="s">
        <v>2</v>
      </c>
      <c r="Y2" s="14">
        <v>2711.0</v>
      </c>
      <c r="Z2" s="1"/>
      <c r="AA2" s="1"/>
      <c r="AB2" s="1"/>
      <c r="AC2" s="1"/>
    </row>
    <row r="3">
      <c r="A3" s="1">
        <f>STDEV(C75:C93)</f>
        <v>31.40739847</v>
      </c>
      <c r="B3" s="58" t="s">
        <v>61</v>
      </c>
      <c r="C3" s="61">
        <f>max(C98:C118)</f>
        <v>1283.8</v>
      </c>
      <c r="D3" s="65">
        <f>C1+A3*2</f>
        <v>1296.176702</v>
      </c>
      <c r="E3" s="58" t="s">
        <v>61</v>
      </c>
      <c r="F3" s="61">
        <f>max(F98:F118)</f>
        <v>405</v>
      </c>
      <c r="G3" s="65">
        <f>F1+G1*2</f>
        <v>407.7216397</v>
      </c>
      <c r="M3" s="7" t="s">
        <v>64</v>
      </c>
      <c r="N3" s="25">
        <f>CORREL(C58:C118,F58:F118)</f>
        <v>0.9931390412</v>
      </c>
      <c r="O3" s="7" t="s">
        <v>67</v>
      </c>
      <c r="P3" s="29">
        <f>AVERAGE((K58:K116))</f>
        <v>3.175630027</v>
      </c>
      <c r="Q3" s="29">
        <f>MAX(K58:K116)</f>
        <v>3.288038278</v>
      </c>
      <c r="R3" s="29">
        <f>MIN(K58:K116)</f>
        <v>3.124136343</v>
      </c>
      <c r="S3" s="40">
        <f t="shared" si="1"/>
        <v>0.1639019348</v>
      </c>
      <c r="T3" s="1">
        <f>MATCH(Min(K11:K116), K11:K116, 0)</f>
        <v>18</v>
      </c>
      <c r="U3" s="1">
        <f t="array" ref="U3">INDEX(C11:C116, MATCH(Min(K11:K116), K11:K116, 0))</f>
        <v>1426.6</v>
      </c>
      <c r="V3" s="1">
        <f t="array" ref="V3">INDEX(F11:F116, MATCH(MIN(K11:K116), K11:K116, 0))</f>
        <v>459.75</v>
      </c>
      <c r="W3" s="54">
        <f t="shared" si="2"/>
        <v>3.102990756</v>
      </c>
      <c r="X3" s="7" t="s">
        <v>3</v>
      </c>
      <c r="Y3" s="9"/>
      <c r="Z3" s="1"/>
      <c r="AA3" s="1"/>
      <c r="AB3" s="1"/>
      <c r="AC3" s="1"/>
    </row>
    <row r="4">
      <c r="A4" s="1"/>
      <c r="B4" s="58" t="s">
        <v>73</v>
      </c>
      <c r="C4" s="61">
        <f>MIN(C98:C118)</f>
        <v>1177</v>
      </c>
      <c r="D4" s="65">
        <f>C1-A3*2</f>
        <v>1170.547108</v>
      </c>
      <c r="E4" s="58" t="s">
        <v>73</v>
      </c>
      <c r="F4" s="61">
        <f>MIN(F98:F118)</f>
        <v>361.55</v>
      </c>
      <c r="G4" s="65">
        <f>F1-G1*2</f>
        <v>360.2212175</v>
      </c>
      <c r="M4" s="7" t="s">
        <v>77</v>
      </c>
      <c r="N4" s="25">
        <f>CORREL(C28:C118,F28:F118)</f>
        <v>0.9920985487</v>
      </c>
      <c r="O4" s="7" t="s">
        <v>79</v>
      </c>
      <c r="P4" s="29">
        <f>AVERAGE(K28:K116)</f>
        <v>3.171299374</v>
      </c>
      <c r="Q4" s="29">
        <f>MAX(K28:K116)</f>
        <v>3.288038278</v>
      </c>
      <c r="R4" s="29">
        <f>MIN(K28:K116)</f>
        <v>3.102990756</v>
      </c>
      <c r="S4" s="40">
        <f t="shared" si="1"/>
        <v>0.1850475217</v>
      </c>
      <c r="T4" s="1"/>
      <c r="U4" s="1"/>
      <c r="V4" s="1"/>
      <c r="W4" s="54"/>
      <c r="X4" s="1"/>
      <c r="Y4" s="9"/>
      <c r="Z4" s="1"/>
      <c r="AA4" s="1"/>
      <c r="AB4" s="1"/>
      <c r="AC4" s="1"/>
    </row>
    <row r="5">
      <c r="A5" s="1"/>
      <c r="B5" s="58" t="s">
        <v>81</v>
      </c>
      <c r="C5" s="61">
        <f>max(C108:C118)</f>
        <v>1256.3</v>
      </c>
      <c r="D5" s="65">
        <f>C1+A3</f>
        <v>1264.769303</v>
      </c>
      <c r="E5" s="58" t="s">
        <v>81</v>
      </c>
      <c r="F5" s="61">
        <f>max(F108:F118)</f>
        <v>392.75</v>
      </c>
      <c r="G5" s="65">
        <f>F1+G1</f>
        <v>395.8465341</v>
      </c>
      <c r="H5" s="1"/>
      <c r="I5" s="1"/>
      <c r="J5" s="1"/>
      <c r="K5" s="1"/>
      <c r="L5" s="1"/>
      <c r="M5" s="7" t="s">
        <v>82</v>
      </c>
      <c r="N5" s="25">
        <f>CORREL(C11:C118,F11:F118)</f>
        <v>0.9905019095</v>
      </c>
      <c r="O5" s="7" t="s">
        <v>83</v>
      </c>
      <c r="P5" s="29">
        <f>AVERAGE(K11:K116)</f>
        <v>3.166251808</v>
      </c>
      <c r="Q5" s="29">
        <f>MAX(K11:K116)</f>
        <v>3.288038278</v>
      </c>
      <c r="R5" s="29">
        <f>MIN(K11:K116)</f>
        <v>3.102990756</v>
      </c>
      <c r="S5" s="40">
        <f t="shared" si="1"/>
        <v>0.1850475217</v>
      </c>
      <c r="T5" s="96" t="s">
        <v>170</v>
      </c>
      <c r="U5" s="96" t="str">
        <f t="shared" ref="U5:U6" si="3">#REF!</f>
        <v>#REF!</v>
      </c>
      <c r="V5" s="99" t="str">
        <f>U2*U7*U5</f>
        <v>#REF!</v>
      </c>
      <c r="W5" s="101" t="str">
        <f>V2*U6*U8</f>
        <v>#REF!</v>
      </c>
      <c r="X5" s="99"/>
      <c r="Y5" s="9"/>
      <c r="Z5" s="1"/>
      <c r="AA5" s="1"/>
      <c r="AB5" s="1"/>
      <c r="AC5" s="1"/>
    </row>
    <row r="6">
      <c r="A6" s="1"/>
      <c r="B6" s="58" t="s">
        <v>87</v>
      </c>
      <c r="C6" s="61">
        <f>MIN(C108:C118)</f>
        <v>1177</v>
      </c>
      <c r="D6" s="65">
        <f>C1-A3</f>
        <v>1201.954506</v>
      </c>
      <c r="E6" s="58" t="s">
        <v>87</v>
      </c>
      <c r="F6" s="61">
        <f>MIN(F108:F118)</f>
        <v>361.55</v>
      </c>
      <c r="G6" s="65">
        <f>F1-G1</f>
        <v>372.096323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171</v>
      </c>
      <c r="U6" s="96" t="str">
        <f t="shared" si="3"/>
        <v>#REF!</v>
      </c>
      <c r="V6" s="99" t="str">
        <f>U3*U5*U7</f>
        <v>#REF!</v>
      </c>
      <c r="W6" s="99" t="str">
        <f>V3*U6*U8</f>
        <v>#REF!</v>
      </c>
      <c r="X6" s="99"/>
      <c r="Y6" s="9"/>
      <c r="Z6" s="1"/>
      <c r="AA6" s="1"/>
      <c r="AB6" s="1"/>
      <c r="AC6" s="1"/>
    </row>
    <row r="7">
      <c r="A7" s="1"/>
      <c r="B7" s="7" t="s">
        <v>88</v>
      </c>
      <c r="C7" s="1">
        <f>max(C88:C118)</f>
        <v>1331.7</v>
      </c>
      <c r="D7" s="1"/>
      <c r="E7" s="7" t="s">
        <v>88</v>
      </c>
      <c r="F7" s="1">
        <f>max(F88:F118)</f>
        <v>419.2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7" t="s">
        <v>170</v>
      </c>
      <c r="U7" s="7">
        <v>300.0</v>
      </c>
      <c r="V7" s="1"/>
      <c r="W7" s="1"/>
      <c r="X7" s="1"/>
      <c r="Y7" s="9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1233.361905</v>
      </c>
      <c r="D8" s="1"/>
      <c r="E8" s="58" t="s">
        <v>90</v>
      </c>
      <c r="F8" s="107">
        <f>AVERAGE(F98:F118)</f>
        <v>383.9714286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7" t="s">
        <v>171</v>
      </c>
      <c r="U8" s="7">
        <v>900.0</v>
      </c>
      <c r="V8" s="1"/>
      <c r="W8" s="1"/>
      <c r="X8" s="1"/>
      <c r="Y8" s="9"/>
      <c r="Z8" s="1"/>
      <c r="AA8" s="1"/>
      <c r="AB8" s="1"/>
      <c r="AC8" s="1"/>
    </row>
    <row r="9">
      <c r="A9" s="1"/>
      <c r="B9" s="13" t="s">
        <v>117</v>
      </c>
      <c r="C9" s="1"/>
      <c r="D9" s="1"/>
      <c r="E9" s="13" t="s">
        <v>118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9"/>
      <c r="Z9" s="1"/>
      <c r="AA9" s="1"/>
      <c r="AB9" s="1"/>
      <c r="AC9" s="1"/>
    </row>
    <row r="10">
      <c r="A10" s="1"/>
      <c r="B10" s="1" t="str">
        <f>IFERROR(__xludf.DUMMYFUNCTION("GOOGLEFINANCE(B9,""price"",TODAY()-166,TODAY())"),"Date")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IFERROR(__xludf.DUMMYFUNCTION("GOOGLEFINANCE(E9,""price"",TODAY()-166,TODAY())"),"Date")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243" t="s">
        <v>94</v>
      </c>
      <c r="K10" s="244" t="s">
        <v>92</v>
      </c>
      <c r="L10" s="7" t="s">
        <v>172</v>
      </c>
      <c r="M10" s="7" t="s">
        <v>173</v>
      </c>
      <c r="N10" s="7" t="s">
        <v>174</v>
      </c>
      <c r="O10" s="7" t="s">
        <v>175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">
        <v>170</v>
      </c>
      <c r="AA10" s="111" t="s">
        <v>171</v>
      </c>
      <c r="AB10" s="1"/>
      <c r="AC10" s="1"/>
    </row>
    <row r="11">
      <c r="A11" s="1"/>
      <c r="B11" s="112">
        <f>IFERROR(__xludf.DUMMYFUNCTION("""COMPUTED_VALUE"""),46146.64583333333)</f>
        <v>46146.64583</v>
      </c>
      <c r="C11" s="1">
        <f>IFERROR(__xludf.DUMMYFUNCTION("""COMPUTED_VALUE"""),1398.2)</f>
        <v>1398.2</v>
      </c>
      <c r="D11" s="1"/>
      <c r="E11" s="112">
        <f>IFERROR(__xludf.DUMMYFUNCTION("""COMPUTED_VALUE"""),46146.64583333333)</f>
        <v>46146.64583</v>
      </c>
      <c r="F11" s="1">
        <f>IFERROR(__xludf.DUMMYFUNCTION("""COMPUTED_VALUE"""),445.3)</f>
        <v>445.3</v>
      </c>
      <c r="G11" s="1"/>
      <c r="H11" s="29">
        <f t="shared" ref="H11:H123" si="4">C11/F11</f>
        <v>3.139905682</v>
      </c>
      <c r="I11" s="1">
        <f t="shared" ref="I11:I122" si="5">C11-F11</f>
        <v>952.9</v>
      </c>
      <c r="J11" s="245">
        <f t="shared" ref="J11:J122" si="6">((I11-$I$129)/$I$130)</f>
        <v>1.252619936</v>
      </c>
      <c r="K11" s="246">
        <f t="shared" ref="K11:K122" si="7">C11/F11</f>
        <v>3.139905682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 t="str">
        <f>V5-V6</f>
        <v>#REF!</v>
      </c>
      <c r="W11" s="1" t="str">
        <f>W6-W5</f>
        <v>#REF!</v>
      </c>
      <c r="X11" s="99" t="str">
        <f>V11+W11</f>
        <v>#REF!</v>
      </c>
      <c r="Y11" s="110" t="s">
        <v>101</v>
      </c>
      <c r="Z11" s="115">
        <f>AVERAGE(C88,C118)</f>
        <v>1242.2</v>
      </c>
      <c r="AA11" s="115">
        <f>AVERAGE(F88,F118)</f>
        <v>388.025</v>
      </c>
      <c r="AB11" s="1"/>
      <c r="AC11" s="1"/>
    </row>
    <row r="12">
      <c r="A12" s="1"/>
      <c r="B12" s="112">
        <f>IFERROR(__xludf.DUMMYFUNCTION("""COMPUTED_VALUE"""),46147.64583333333)</f>
        <v>46147.64583</v>
      </c>
      <c r="C12" s="1">
        <f>IFERROR(__xludf.DUMMYFUNCTION("""COMPUTED_VALUE"""),1392.6)</f>
        <v>1392.6</v>
      </c>
      <c r="D12" s="1"/>
      <c r="E12" s="112">
        <f>IFERROR(__xludf.DUMMYFUNCTION("""COMPUTED_VALUE"""),46147.64583333333)</f>
        <v>46147.64583</v>
      </c>
      <c r="F12" s="1">
        <f>IFERROR(__xludf.DUMMYFUNCTION("""COMPUTED_VALUE"""),433.1)</f>
        <v>433.1</v>
      </c>
      <c r="G12" s="1"/>
      <c r="H12" s="29">
        <f t="shared" si="4"/>
        <v>3.21542369</v>
      </c>
      <c r="I12" s="1">
        <f t="shared" si="5"/>
        <v>959.5</v>
      </c>
      <c r="J12" s="245">
        <f t="shared" si="6"/>
        <v>1.439539388</v>
      </c>
      <c r="K12" s="246">
        <f t="shared" si="7"/>
        <v>3.21542369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S2/2</f>
        <v>0.07364876839</v>
      </c>
      <c r="V12" s="1"/>
      <c r="W12" s="1"/>
      <c r="X12" s="1"/>
      <c r="Y12" s="110" t="s">
        <v>104</v>
      </c>
      <c r="Z12" s="115">
        <f>AVERAGE(C58,C118)</f>
        <v>1280.75</v>
      </c>
      <c r="AA12" s="115">
        <f>AVERAGE(F58,F118)</f>
        <v>399</v>
      </c>
      <c r="AB12" s="1"/>
      <c r="AC12" s="1"/>
    </row>
    <row r="13">
      <c r="A13" s="1"/>
      <c r="B13" s="112">
        <f>IFERROR(__xludf.DUMMYFUNCTION("""COMPUTED_VALUE"""),46148.64583333333)</f>
        <v>46148.64583</v>
      </c>
      <c r="C13" s="1">
        <f>IFERROR(__xludf.DUMMYFUNCTION("""COMPUTED_VALUE"""),1414.0)</f>
        <v>1414</v>
      </c>
      <c r="D13" s="1"/>
      <c r="E13" s="112">
        <f>IFERROR(__xludf.DUMMYFUNCTION("""COMPUTED_VALUE"""),46148.64583333333)</f>
        <v>46148.64583</v>
      </c>
      <c r="F13" s="1">
        <f>IFERROR(__xludf.DUMMYFUNCTION("""COMPUTED_VALUE"""),446.9)</f>
        <v>446.9</v>
      </c>
      <c r="G13" s="1"/>
      <c r="H13" s="29">
        <f t="shared" si="4"/>
        <v>3.164018796</v>
      </c>
      <c r="I13" s="1">
        <f t="shared" si="5"/>
        <v>967.1</v>
      </c>
      <c r="J13" s="245">
        <f t="shared" si="6"/>
        <v>1.654779968</v>
      </c>
      <c r="K13" s="246">
        <f t="shared" si="7"/>
        <v>3.164018796</v>
      </c>
      <c r="L13" s="1"/>
      <c r="M13" s="1"/>
      <c r="N13" s="1"/>
      <c r="O13" s="25"/>
      <c r="P13" s="1"/>
      <c r="Q13" s="1"/>
      <c r="R13" s="1"/>
      <c r="S13" s="9"/>
      <c r="T13" s="117"/>
      <c r="U13" s="118" t="str">
        <f>(X11*U12)/S2</f>
        <v>#REF!</v>
      </c>
      <c r="V13" s="117"/>
      <c r="W13" s="117"/>
      <c r="X13" s="119" t="str">
        <f>X11/(R2/U12)</f>
        <v>#REF!</v>
      </c>
      <c r="Y13" s="110" t="s">
        <v>105</v>
      </c>
      <c r="Z13" s="115">
        <f>AVERAGE(C28,C118)</f>
        <v>1301.8</v>
      </c>
      <c r="AA13" s="115">
        <f>AVERAGE(F28,F118)</f>
        <v>410.65</v>
      </c>
      <c r="AB13" s="1"/>
      <c r="AC13" s="1"/>
    </row>
    <row r="14">
      <c r="A14" s="1"/>
      <c r="B14" s="112">
        <f>IFERROR(__xludf.DUMMYFUNCTION("""COMPUTED_VALUE"""),46149.64583333333)</f>
        <v>46149.64583</v>
      </c>
      <c r="C14" s="1">
        <f>IFERROR(__xludf.DUMMYFUNCTION("""COMPUTED_VALUE"""),1414.6)</f>
        <v>1414.6</v>
      </c>
      <c r="D14" s="1"/>
      <c r="E14" s="112">
        <f>IFERROR(__xludf.DUMMYFUNCTION("""COMPUTED_VALUE"""),46149.64583333333)</f>
        <v>46149.64583</v>
      </c>
      <c r="F14" s="1">
        <f>IFERROR(__xludf.DUMMYFUNCTION("""COMPUTED_VALUE"""),450.65)</f>
        <v>450.65</v>
      </c>
      <c r="G14" s="1"/>
      <c r="H14" s="29">
        <f t="shared" si="4"/>
        <v>3.139021414</v>
      </c>
      <c r="I14" s="1">
        <f t="shared" si="5"/>
        <v>963.95</v>
      </c>
      <c r="J14" s="245">
        <f t="shared" si="6"/>
        <v>1.565568412</v>
      </c>
      <c r="K14" s="246">
        <f t="shared" si="7"/>
        <v>3.139021414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12">
        <f>IFERROR(__xludf.DUMMYFUNCTION("""COMPUTED_VALUE"""),46150.64583333333)</f>
        <v>46150.64583</v>
      </c>
      <c r="C15" s="1">
        <f>IFERROR(__xludf.DUMMYFUNCTION("""COMPUTED_VALUE"""),1391.9)</f>
        <v>1391.9</v>
      </c>
      <c r="D15" s="1"/>
      <c r="E15" s="112">
        <f>IFERROR(__xludf.DUMMYFUNCTION("""COMPUTED_VALUE"""),46150.64583333333)</f>
        <v>46150.64583</v>
      </c>
      <c r="F15" s="1">
        <f>IFERROR(__xludf.DUMMYFUNCTION("""COMPUTED_VALUE"""),444.3)</f>
        <v>444.3</v>
      </c>
      <c r="G15" s="1"/>
      <c r="H15" s="29">
        <f t="shared" si="4"/>
        <v>3.132793158</v>
      </c>
      <c r="I15" s="1">
        <f t="shared" si="5"/>
        <v>947.6</v>
      </c>
      <c r="J15" s="245">
        <f t="shared" si="6"/>
        <v>1.102517952</v>
      </c>
      <c r="K15" s="246">
        <f t="shared" si="7"/>
        <v>3.132793158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12">
        <f>IFERROR(__xludf.DUMMYFUNCTION("""COMPUTED_VALUE"""),46153.64583333333)</f>
        <v>46153.64583</v>
      </c>
      <c r="C16" s="1">
        <f>IFERROR(__xludf.DUMMYFUNCTION("""COMPUTED_VALUE"""),1357.9)</f>
        <v>1357.9</v>
      </c>
      <c r="D16" s="1"/>
      <c r="E16" s="112">
        <f>IFERROR(__xludf.DUMMYFUNCTION("""COMPUTED_VALUE"""),46153.64583333333)</f>
        <v>46153.64583</v>
      </c>
      <c r="F16" s="1">
        <f>IFERROR(__xludf.DUMMYFUNCTION("""COMPUTED_VALUE"""),436.2)</f>
        <v>436.2</v>
      </c>
      <c r="G16" s="1"/>
      <c r="H16" s="29">
        <f t="shared" si="4"/>
        <v>3.11302155</v>
      </c>
      <c r="I16" s="1">
        <f t="shared" si="5"/>
        <v>921.7</v>
      </c>
      <c r="J16" s="245">
        <f t="shared" si="6"/>
        <v>0.3690007103</v>
      </c>
      <c r="K16" s="246">
        <f t="shared" si="7"/>
        <v>3.11302155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12">
        <f>IFERROR(__xludf.DUMMYFUNCTION("""COMPUTED_VALUE"""),46154.64583333333)</f>
        <v>46154.64583</v>
      </c>
      <c r="C17" s="1">
        <f>IFERROR(__xludf.DUMMYFUNCTION("""COMPUTED_VALUE"""),1347.0)</f>
        <v>1347</v>
      </c>
      <c r="D17" s="1"/>
      <c r="E17" s="112">
        <f>IFERROR(__xludf.DUMMYFUNCTION("""COMPUTED_VALUE"""),46154.64583333333)</f>
        <v>46154.64583</v>
      </c>
      <c r="F17" s="1">
        <f>IFERROR(__xludf.DUMMYFUNCTION("""COMPUTED_VALUE"""),426.95)</f>
        <v>426.95</v>
      </c>
      <c r="G17" s="1"/>
      <c r="H17" s="29">
        <f t="shared" si="4"/>
        <v>3.154936175</v>
      </c>
      <c r="I17" s="1">
        <f t="shared" si="5"/>
        <v>920.05</v>
      </c>
      <c r="J17" s="245">
        <f t="shared" si="6"/>
        <v>0.3222708474</v>
      </c>
      <c r="K17" s="246">
        <f t="shared" si="7"/>
        <v>3.154936175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12">
        <f>IFERROR(__xludf.DUMMYFUNCTION("""COMPUTED_VALUE"""),46155.64583333333)</f>
        <v>46155.64583</v>
      </c>
      <c r="C18" s="1">
        <f>IFERROR(__xludf.DUMMYFUNCTION("""COMPUTED_VALUE"""),1366.4)</f>
        <v>1366.4</v>
      </c>
      <c r="D18" s="1"/>
      <c r="E18" s="112">
        <f>IFERROR(__xludf.DUMMYFUNCTION("""COMPUTED_VALUE"""),46155.64583333333)</f>
        <v>46155.64583</v>
      </c>
      <c r="F18" s="1">
        <f>IFERROR(__xludf.DUMMYFUNCTION("""COMPUTED_VALUE"""),438.4)</f>
        <v>438.4</v>
      </c>
      <c r="G18" s="1"/>
      <c r="H18" s="29">
        <f t="shared" si="4"/>
        <v>3.116788321</v>
      </c>
      <c r="I18" s="1">
        <f t="shared" si="5"/>
        <v>928</v>
      </c>
      <c r="J18" s="245">
        <f t="shared" si="6"/>
        <v>0.5474238232</v>
      </c>
      <c r="K18" s="246">
        <f t="shared" si="7"/>
        <v>3.116788321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IFERROR(__xludf.DUMMYFUNCTION("""COMPUTED_VALUE"""),46156.64583333333)</f>
        <v>46156.64583</v>
      </c>
      <c r="C19" s="1">
        <f>IFERROR(__xludf.DUMMYFUNCTION("""COMPUTED_VALUE"""),1378.2)</f>
        <v>1378.2</v>
      </c>
      <c r="D19" s="1"/>
      <c r="E19" s="112">
        <f>IFERROR(__xludf.DUMMYFUNCTION("""COMPUTED_VALUE"""),46156.64583333333)</f>
        <v>46156.64583</v>
      </c>
      <c r="F19" s="1">
        <f>IFERROR(__xludf.DUMMYFUNCTION("""COMPUTED_VALUE"""),443.9)</f>
        <v>443.9</v>
      </c>
      <c r="G19" s="1"/>
      <c r="H19" s="29">
        <f t="shared" si="4"/>
        <v>3.104753323</v>
      </c>
      <c r="I19" s="1">
        <f t="shared" si="5"/>
        <v>934.3</v>
      </c>
      <c r="J19" s="245">
        <f t="shared" si="6"/>
        <v>0.7258469361</v>
      </c>
      <c r="K19" s="246">
        <f t="shared" si="7"/>
        <v>3.104753323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IFERROR(__xludf.DUMMYFUNCTION("""COMPUTED_VALUE"""),46157.64583333333)</f>
        <v>46157.64583</v>
      </c>
      <c r="C20" s="1">
        <f>IFERROR(__xludf.DUMMYFUNCTION("""COMPUTED_VALUE"""),1362.8)</f>
        <v>1362.8</v>
      </c>
      <c r="D20" s="1"/>
      <c r="E20" s="112">
        <f>IFERROR(__xludf.DUMMYFUNCTION("""COMPUTED_VALUE"""),46157.64583333333)</f>
        <v>46157.64583</v>
      </c>
      <c r="F20" s="1">
        <f>IFERROR(__xludf.DUMMYFUNCTION("""COMPUTED_VALUE"""),433.75)</f>
        <v>433.75</v>
      </c>
      <c r="G20" s="1"/>
      <c r="H20" s="29">
        <f t="shared" si="4"/>
        <v>3.141902017</v>
      </c>
      <c r="I20" s="1">
        <f t="shared" si="5"/>
        <v>929.05</v>
      </c>
      <c r="J20" s="245">
        <f t="shared" si="6"/>
        <v>0.5771610087</v>
      </c>
      <c r="K20" s="246">
        <f t="shared" si="7"/>
        <v>3.141902017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IFERROR(__xludf.DUMMYFUNCTION("""COMPUTED_VALUE"""),46160.64583333333)</f>
        <v>46160.64583</v>
      </c>
      <c r="C21" s="1">
        <f>IFERROR(__xludf.DUMMYFUNCTION("""COMPUTED_VALUE"""),1359.6)</f>
        <v>1359.6</v>
      </c>
      <c r="D21" s="1"/>
      <c r="E21" s="112">
        <f>IFERROR(__xludf.DUMMYFUNCTION("""COMPUTED_VALUE"""),46160.64583333333)</f>
        <v>46160.64583</v>
      </c>
      <c r="F21" s="1">
        <f>IFERROR(__xludf.DUMMYFUNCTION("""COMPUTED_VALUE"""),430.15)</f>
        <v>430.15</v>
      </c>
      <c r="G21" s="1"/>
      <c r="H21" s="29">
        <f t="shared" si="4"/>
        <v>3.160757875</v>
      </c>
      <c r="I21" s="1">
        <f t="shared" si="5"/>
        <v>929.45</v>
      </c>
      <c r="J21" s="245">
        <f t="shared" si="6"/>
        <v>0.5884894603</v>
      </c>
      <c r="K21" s="246">
        <f t="shared" si="7"/>
        <v>3.160757875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IFERROR(__xludf.DUMMYFUNCTION("""COMPUTED_VALUE"""),46161.64583333333)</f>
        <v>46161.64583</v>
      </c>
      <c r="C22" s="1">
        <f>IFERROR(__xludf.DUMMYFUNCTION("""COMPUTED_VALUE"""),1359.3)</f>
        <v>1359.3</v>
      </c>
      <c r="D22" s="1"/>
      <c r="E22" s="112">
        <f>IFERROR(__xludf.DUMMYFUNCTION("""COMPUTED_VALUE"""),46161.64583333333)</f>
        <v>46161.64583</v>
      </c>
      <c r="F22" s="1">
        <f>IFERROR(__xludf.DUMMYFUNCTION("""COMPUTED_VALUE"""),431.7)</f>
        <v>431.7</v>
      </c>
      <c r="G22" s="1"/>
      <c r="H22" s="29">
        <f t="shared" si="4"/>
        <v>3.148714385</v>
      </c>
      <c r="I22" s="1">
        <f t="shared" si="5"/>
        <v>927.6</v>
      </c>
      <c r="J22" s="245">
        <f t="shared" si="6"/>
        <v>0.5360953716</v>
      </c>
      <c r="K22" s="246">
        <f t="shared" si="7"/>
        <v>3.148714385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IFERROR(__xludf.DUMMYFUNCTION("""COMPUTED_VALUE"""),46162.64583333333)</f>
        <v>46162.64583</v>
      </c>
      <c r="C23" s="1">
        <f>IFERROR(__xludf.DUMMYFUNCTION("""COMPUTED_VALUE"""),1351.6)</f>
        <v>1351.6</v>
      </c>
      <c r="D23" s="1"/>
      <c r="E23" s="112">
        <f>IFERROR(__xludf.DUMMYFUNCTION("""COMPUTED_VALUE"""),46162.64583333333)</f>
        <v>46162.64583</v>
      </c>
      <c r="F23" s="1">
        <f>IFERROR(__xludf.DUMMYFUNCTION("""COMPUTED_VALUE"""),430.25)</f>
        <v>430.25</v>
      </c>
      <c r="G23" s="1"/>
      <c r="H23" s="29">
        <f t="shared" si="4"/>
        <v>3.141429402</v>
      </c>
      <c r="I23" s="1">
        <f t="shared" si="5"/>
        <v>921.35</v>
      </c>
      <c r="J23" s="245">
        <f t="shared" si="6"/>
        <v>0.3590883152</v>
      </c>
      <c r="K23" s="246">
        <f t="shared" si="7"/>
        <v>3.141429402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IFERROR(__xludf.DUMMYFUNCTION("""COMPUTED_VALUE"""),46163.64583333333)</f>
        <v>46163.64583</v>
      </c>
      <c r="C24" s="1">
        <f>IFERROR(__xludf.DUMMYFUNCTION("""COMPUTED_VALUE"""),1360.8)</f>
        <v>1360.8</v>
      </c>
      <c r="D24" s="1"/>
      <c r="E24" s="112">
        <f>IFERROR(__xludf.DUMMYFUNCTION("""COMPUTED_VALUE"""),46163.64583333333)</f>
        <v>46163.64583</v>
      </c>
      <c r="F24" s="1">
        <f>IFERROR(__xludf.DUMMYFUNCTION("""COMPUTED_VALUE"""),436.45)</f>
        <v>436.45</v>
      </c>
      <c r="G24" s="1"/>
      <c r="H24" s="29">
        <f t="shared" si="4"/>
        <v>3.117882919</v>
      </c>
      <c r="I24" s="1">
        <f t="shared" si="5"/>
        <v>924.35</v>
      </c>
      <c r="J24" s="245">
        <f t="shared" si="6"/>
        <v>0.4440517023</v>
      </c>
      <c r="K24" s="246">
        <f t="shared" si="7"/>
        <v>3.117882919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IFERROR(__xludf.DUMMYFUNCTION("""COMPUTED_VALUE"""),46164.64583333333)</f>
        <v>46164.64583</v>
      </c>
      <c r="C25" s="1">
        <f>IFERROR(__xludf.DUMMYFUNCTION("""COMPUTED_VALUE"""),1360.0)</f>
        <v>1360</v>
      </c>
      <c r="D25" s="1"/>
      <c r="E25" s="112">
        <f>IFERROR(__xludf.DUMMYFUNCTION("""COMPUTED_VALUE"""),46164.64583333333)</f>
        <v>46164.64583</v>
      </c>
      <c r="F25" s="1">
        <f>IFERROR(__xludf.DUMMYFUNCTION("""COMPUTED_VALUE"""),436.35)</f>
        <v>436.35</v>
      </c>
      <c r="G25" s="1"/>
      <c r="H25" s="29">
        <f t="shared" si="4"/>
        <v>3.116764066</v>
      </c>
      <c r="I25" s="1">
        <f t="shared" si="5"/>
        <v>923.65</v>
      </c>
      <c r="J25" s="245">
        <f t="shared" si="6"/>
        <v>0.4242269119</v>
      </c>
      <c r="K25" s="246">
        <f t="shared" si="7"/>
        <v>3.116764066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IFERROR(__xludf.DUMMYFUNCTION("""COMPUTED_VALUE"""),46167.64583333333)</f>
        <v>46167.64583</v>
      </c>
      <c r="C26" s="1">
        <f>IFERROR(__xludf.DUMMYFUNCTION("""COMPUTED_VALUE"""),1382.3)</f>
        <v>1382.3</v>
      </c>
      <c r="D26" s="1"/>
      <c r="E26" s="112">
        <f>IFERROR(__xludf.DUMMYFUNCTION("""COMPUTED_VALUE"""),46167.64583333333)</f>
        <v>46167.64583</v>
      </c>
      <c r="F26" s="1">
        <f>IFERROR(__xludf.DUMMYFUNCTION("""COMPUTED_VALUE"""),441.95)</f>
        <v>441.95</v>
      </c>
      <c r="G26" s="1"/>
      <c r="H26" s="29">
        <f t="shared" si="4"/>
        <v>3.127729381</v>
      </c>
      <c r="I26" s="1">
        <f t="shared" si="5"/>
        <v>940.35</v>
      </c>
      <c r="J26" s="245">
        <f t="shared" si="6"/>
        <v>0.8971897667</v>
      </c>
      <c r="K26" s="246">
        <f t="shared" si="7"/>
        <v>3.127729381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IFERROR(__xludf.DUMMYFUNCTION("""COMPUTED_VALUE"""),46168.64583333333)</f>
        <v>46168.64583</v>
      </c>
      <c r="C27" s="1">
        <f>IFERROR(__xludf.DUMMYFUNCTION("""COMPUTED_VALUE"""),1412.6)</f>
        <v>1412.6</v>
      </c>
      <c r="D27" s="1"/>
      <c r="E27" s="112">
        <f>IFERROR(__xludf.DUMMYFUNCTION("""COMPUTED_VALUE"""),46168.64583333333)</f>
        <v>46168.64583</v>
      </c>
      <c r="F27" s="1">
        <f>IFERROR(__xludf.DUMMYFUNCTION("""COMPUTED_VALUE"""),449.7)</f>
        <v>449.7</v>
      </c>
      <c r="G27" s="1"/>
      <c r="H27" s="29">
        <f t="shared" si="4"/>
        <v>3.141205248</v>
      </c>
      <c r="I27" s="1">
        <f t="shared" si="5"/>
        <v>962.9</v>
      </c>
      <c r="J27" s="245">
        <f t="shared" si="6"/>
        <v>1.535831226</v>
      </c>
      <c r="K27" s="246">
        <f t="shared" si="7"/>
        <v>3.141205248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3.19804143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IFERROR(__xludf.DUMMYFUNCTION("""COMPUTED_VALUE"""),46169.64583333333)</f>
        <v>46169.64583</v>
      </c>
      <c r="C28" s="1">
        <f>IFERROR(__xludf.DUMMYFUNCTION("""COMPUTED_VALUE"""),1426.6)</f>
        <v>1426.6</v>
      </c>
      <c r="D28" s="1"/>
      <c r="E28" s="112">
        <f>IFERROR(__xludf.DUMMYFUNCTION("""COMPUTED_VALUE"""),46169.64583333333)</f>
        <v>46169.64583</v>
      </c>
      <c r="F28" s="1">
        <f>IFERROR(__xludf.DUMMYFUNCTION("""COMPUTED_VALUE"""),459.75)</f>
        <v>459.75</v>
      </c>
      <c r="G28" s="1"/>
      <c r="H28" s="29">
        <f t="shared" si="4"/>
        <v>3.102990756</v>
      </c>
      <c r="I28" s="1">
        <f t="shared" si="5"/>
        <v>966.85</v>
      </c>
      <c r="J28" s="245">
        <f t="shared" si="6"/>
        <v>1.647699686</v>
      </c>
      <c r="K28" s="246">
        <f t="shared" si="7"/>
        <v>3.102990756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3.288038278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IFERROR(__xludf.DUMMYFUNCTION("""COMPUTED_VALUE"""),46171.64583333333)</f>
        <v>46171.64583</v>
      </c>
      <c r="C29" s="1">
        <f>IFERROR(__xludf.DUMMYFUNCTION("""COMPUTED_VALUE"""),1399.3)</f>
        <v>1399.3</v>
      </c>
      <c r="D29" s="1"/>
      <c r="E29" s="112">
        <f>IFERROR(__xludf.DUMMYFUNCTION("""COMPUTED_VALUE"""),46171.64583333333)</f>
        <v>46171.64583</v>
      </c>
      <c r="F29" s="1">
        <f>IFERROR(__xludf.DUMMYFUNCTION("""COMPUTED_VALUE"""),447.85)</f>
        <v>447.85</v>
      </c>
      <c r="G29" s="1"/>
      <c r="H29" s="29">
        <f t="shared" si="4"/>
        <v>3.124483644</v>
      </c>
      <c r="I29" s="1">
        <f t="shared" si="5"/>
        <v>951.45</v>
      </c>
      <c r="J29" s="245">
        <f t="shared" si="6"/>
        <v>1.211554299</v>
      </c>
      <c r="K29" s="246">
        <f t="shared" si="7"/>
        <v>3.124483644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IFERROR(__xludf.DUMMYFUNCTION("""COMPUTED_VALUE"""),46174.64583333333)</f>
        <v>46174.64583</v>
      </c>
      <c r="C30" s="1">
        <f>IFERROR(__xludf.DUMMYFUNCTION("""COMPUTED_VALUE"""),1360.0)</f>
        <v>1360</v>
      </c>
      <c r="D30" s="1"/>
      <c r="E30" s="112">
        <f>IFERROR(__xludf.DUMMYFUNCTION("""COMPUTED_VALUE"""),46174.64583333333)</f>
        <v>46174.64583</v>
      </c>
      <c r="F30" s="1">
        <f>IFERROR(__xludf.DUMMYFUNCTION("""COMPUTED_VALUE"""),434.9)</f>
        <v>434.9</v>
      </c>
      <c r="G30" s="1"/>
      <c r="H30" s="29">
        <f t="shared" si="4"/>
        <v>3.127155668</v>
      </c>
      <c r="I30" s="1">
        <f t="shared" si="5"/>
        <v>925.1</v>
      </c>
      <c r="J30" s="245">
        <f t="shared" si="6"/>
        <v>0.465292549</v>
      </c>
      <c r="K30" s="246">
        <f t="shared" si="7"/>
        <v>3.127155668</v>
      </c>
      <c r="L30" s="1">
        <f t="shared" ref="L30:L118" si="8">AVERAGE(C11:C30)</f>
        <v>1379.785</v>
      </c>
      <c r="M30" s="25">
        <f t="shared" ref="M30:M118" si="9">(C30-L30)/C30</f>
        <v>-0.01454779412</v>
      </c>
      <c r="N30" s="65">
        <f t="shared" ref="N30:N118" si="10">AVERAGE(F11:F30)</f>
        <v>439.925</v>
      </c>
      <c r="O30" s="25">
        <f t="shared" ref="O30:O118" si="11">(F30-N30)/F30</f>
        <v>-0.01155438032</v>
      </c>
      <c r="P30" s="25">
        <f t="shared" ref="P30:P118" si="12">M30-O30</f>
        <v>-0.0029934138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IFERROR(__xludf.DUMMYFUNCTION("""COMPUTED_VALUE"""),46175.64583333333)</f>
        <v>46175.64583</v>
      </c>
      <c r="C31" s="1">
        <f>IFERROR(__xludf.DUMMYFUNCTION("""COMPUTED_VALUE"""),1369.9)</f>
        <v>1369.9</v>
      </c>
      <c r="D31" s="1"/>
      <c r="E31" s="112">
        <f>IFERROR(__xludf.DUMMYFUNCTION("""COMPUTED_VALUE"""),46175.64583333333)</f>
        <v>46175.64583</v>
      </c>
      <c r="F31" s="1">
        <f>IFERROR(__xludf.DUMMYFUNCTION("""COMPUTED_VALUE"""),439.35)</f>
        <v>439.35</v>
      </c>
      <c r="G31" s="1"/>
      <c r="H31" s="29">
        <f t="shared" si="4"/>
        <v>3.11801525</v>
      </c>
      <c r="I31" s="1">
        <f t="shared" si="5"/>
        <v>930.55</v>
      </c>
      <c r="J31" s="245">
        <f t="shared" si="6"/>
        <v>0.6196427022</v>
      </c>
      <c r="K31" s="246">
        <f t="shared" si="7"/>
        <v>3.11801525</v>
      </c>
      <c r="L31" s="65">
        <f t="shared" si="8"/>
        <v>1378.37</v>
      </c>
      <c r="M31" s="25">
        <f t="shared" si="9"/>
        <v>-0.006182933061</v>
      </c>
      <c r="N31" s="65">
        <f t="shared" si="10"/>
        <v>439.6275</v>
      </c>
      <c r="O31" s="25">
        <f t="shared" si="11"/>
        <v>-0.0006316148856</v>
      </c>
      <c r="P31" s="25">
        <f t="shared" si="12"/>
        <v>-0.005551318175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IFERROR(__xludf.DUMMYFUNCTION("""COMPUTED_VALUE"""),46176.64583333333)</f>
        <v>46176.64583</v>
      </c>
      <c r="C32" s="1">
        <f>IFERROR(__xludf.DUMMYFUNCTION("""COMPUTED_VALUE"""),1350.9)</f>
        <v>1350.9</v>
      </c>
      <c r="D32" s="1"/>
      <c r="E32" s="112">
        <f>IFERROR(__xludf.DUMMYFUNCTION("""COMPUTED_VALUE"""),46176.64583333333)</f>
        <v>46176.64583</v>
      </c>
      <c r="F32" s="1">
        <f>IFERROR(__xludf.DUMMYFUNCTION("""COMPUTED_VALUE"""),426.95)</f>
        <v>426.95</v>
      </c>
      <c r="G32" s="1"/>
      <c r="H32" s="29">
        <f t="shared" si="4"/>
        <v>3.164070734</v>
      </c>
      <c r="I32" s="1">
        <f t="shared" si="5"/>
        <v>923.95</v>
      </c>
      <c r="J32" s="245">
        <f t="shared" si="6"/>
        <v>0.4327232506</v>
      </c>
      <c r="K32" s="246">
        <f t="shared" si="7"/>
        <v>3.164070734</v>
      </c>
      <c r="L32" s="65">
        <f t="shared" si="8"/>
        <v>1376.285</v>
      </c>
      <c r="M32" s="25">
        <f t="shared" si="9"/>
        <v>-0.01879117625</v>
      </c>
      <c r="N32" s="65">
        <f t="shared" si="10"/>
        <v>439.32</v>
      </c>
      <c r="O32" s="25">
        <f t="shared" si="11"/>
        <v>-0.02897294765</v>
      </c>
      <c r="P32" s="25">
        <f t="shared" si="12"/>
        <v>0.0101817714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IFERROR(__xludf.DUMMYFUNCTION("""COMPUTED_VALUE"""),46177.64583333333)</f>
        <v>46177.64583</v>
      </c>
      <c r="C33" s="1">
        <f>IFERROR(__xludf.DUMMYFUNCTION("""COMPUTED_VALUE"""),1350.8)</f>
        <v>1350.8</v>
      </c>
      <c r="D33" s="1"/>
      <c r="E33" s="112">
        <f>IFERROR(__xludf.DUMMYFUNCTION("""COMPUTED_VALUE"""),46177.64583333333)</f>
        <v>46177.64583</v>
      </c>
      <c r="F33" s="1">
        <f>IFERROR(__xludf.DUMMYFUNCTION("""COMPUTED_VALUE"""),426.35)</f>
        <v>426.35</v>
      </c>
      <c r="G33" s="1"/>
      <c r="H33" s="29">
        <f t="shared" si="4"/>
        <v>3.168288964</v>
      </c>
      <c r="I33" s="1">
        <f t="shared" si="5"/>
        <v>924.45</v>
      </c>
      <c r="J33" s="245">
        <f t="shared" si="6"/>
        <v>0.4468838152</v>
      </c>
      <c r="K33" s="246">
        <f t="shared" si="7"/>
        <v>3.168288964</v>
      </c>
      <c r="L33" s="65">
        <f t="shared" si="8"/>
        <v>1373.125</v>
      </c>
      <c r="M33" s="25">
        <f t="shared" si="9"/>
        <v>-0.01652724312</v>
      </c>
      <c r="N33" s="65">
        <f t="shared" si="10"/>
        <v>438.2925</v>
      </c>
      <c r="O33" s="25">
        <f t="shared" si="11"/>
        <v>-0.02801102381</v>
      </c>
      <c r="P33" s="25">
        <f t="shared" si="12"/>
        <v>0.01148378069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IFERROR(__xludf.DUMMYFUNCTION("""COMPUTED_VALUE"""),46178.64583333333)</f>
        <v>46178.64583</v>
      </c>
      <c r="C34" s="1">
        <f>IFERROR(__xludf.DUMMYFUNCTION("""COMPUTED_VALUE"""),1329.8)</f>
        <v>1329.8</v>
      </c>
      <c r="D34" s="1"/>
      <c r="E34" s="112">
        <f>IFERROR(__xludf.DUMMYFUNCTION("""COMPUTED_VALUE"""),46178.64583333333)</f>
        <v>46178.64583</v>
      </c>
      <c r="F34" s="1">
        <f>IFERROR(__xludf.DUMMYFUNCTION("""COMPUTED_VALUE"""),417.55)</f>
        <v>417.55</v>
      </c>
      <c r="G34" s="1"/>
      <c r="H34" s="29">
        <f t="shared" si="4"/>
        <v>3.184768291</v>
      </c>
      <c r="I34" s="1">
        <f t="shared" si="5"/>
        <v>912.25</v>
      </c>
      <c r="J34" s="245">
        <f t="shared" si="6"/>
        <v>0.101366041</v>
      </c>
      <c r="K34" s="246">
        <f t="shared" si="7"/>
        <v>3.184768291</v>
      </c>
      <c r="L34" s="65">
        <f t="shared" si="8"/>
        <v>1368.885</v>
      </c>
      <c r="M34" s="25">
        <f t="shared" si="9"/>
        <v>-0.02939163784</v>
      </c>
      <c r="N34" s="65">
        <f t="shared" si="10"/>
        <v>436.6375</v>
      </c>
      <c r="O34" s="25">
        <f t="shared" si="11"/>
        <v>-0.04571308825</v>
      </c>
      <c r="P34" s="25">
        <f t="shared" si="12"/>
        <v>0.01632145041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IFERROR(__xludf.DUMMYFUNCTION("""COMPUTED_VALUE"""),46181.64583333333)</f>
        <v>46181.64583</v>
      </c>
      <c r="C35" s="1">
        <f>IFERROR(__xludf.DUMMYFUNCTION("""COMPUTED_VALUE"""),1319.7)</f>
        <v>1319.7</v>
      </c>
      <c r="D35" s="1"/>
      <c r="E35" s="112">
        <f>IFERROR(__xludf.DUMMYFUNCTION("""COMPUTED_VALUE"""),46181.64583333333)</f>
        <v>46181.64583</v>
      </c>
      <c r="F35" s="1">
        <f>IFERROR(__xludf.DUMMYFUNCTION("""COMPUTED_VALUE"""),415.3)</f>
        <v>415.3</v>
      </c>
      <c r="G35" s="1"/>
      <c r="H35" s="29">
        <f t="shared" si="4"/>
        <v>3.177702865</v>
      </c>
      <c r="I35" s="1">
        <f t="shared" si="5"/>
        <v>904.4</v>
      </c>
      <c r="J35" s="245">
        <f t="shared" si="6"/>
        <v>-0.1209548219</v>
      </c>
      <c r="K35" s="246">
        <f t="shared" si="7"/>
        <v>3.177702865</v>
      </c>
      <c r="L35" s="65">
        <f t="shared" si="8"/>
        <v>1365.275</v>
      </c>
      <c r="M35" s="25">
        <f t="shared" si="9"/>
        <v>-0.03453436387</v>
      </c>
      <c r="N35" s="65">
        <f t="shared" si="10"/>
        <v>435.1875</v>
      </c>
      <c r="O35" s="25">
        <f t="shared" si="11"/>
        <v>-0.04788706959</v>
      </c>
      <c r="P35" s="25">
        <f t="shared" si="12"/>
        <v>0.01335270572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IFERROR(__xludf.DUMMYFUNCTION("""COMPUTED_VALUE"""),46182.64583333333)</f>
        <v>46182.64583</v>
      </c>
      <c r="C36" s="1">
        <f>IFERROR(__xludf.DUMMYFUNCTION("""COMPUTED_VALUE"""),1324.7)</f>
        <v>1324.7</v>
      </c>
      <c r="D36" s="1"/>
      <c r="E36" s="112">
        <f>IFERROR(__xludf.DUMMYFUNCTION("""COMPUTED_VALUE"""),46182.64583333333)</f>
        <v>46182.64583</v>
      </c>
      <c r="F36" s="1">
        <f>IFERROR(__xludf.DUMMYFUNCTION("""COMPUTED_VALUE"""),416.0)</f>
        <v>416</v>
      </c>
      <c r="G36" s="1"/>
      <c r="H36" s="29">
        <f t="shared" si="4"/>
        <v>3.184375</v>
      </c>
      <c r="I36" s="1">
        <f t="shared" si="5"/>
        <v>908.7</v>
      </c>
      <c r="J36" s="245">
        <f t="shared" si="6"/>
        <v>0.00082603293</v>
      </c>
      <c r="K36" s="246">
        <f t="shared" si="7"/>
        <v>3.184375</v>
      </c>
      <c r="L36" s="65">
        <f t="shared" si="8"/>
        <v>1363.615</v>
      </c>
      <c r="M36" s="25">
        <f t="shared" si="9"/>
        <v>-0.0293764626</v>
      </c>
      <c r="N36" s="65">
        <f t="shared" si="10"/>
        <v>434.1775</v>
      </c>
      <c r="O36" s="25">
        <f t="shared" si="11"/>
        <v>-0.04369591346</v>
      </c>
      <c r="P36" s="25">
        <f t="shared" si="12"/>
        <v>0.01431945087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IFERROR(__xludf.DUMMYFUNCTION("""COMPUTED_VALUE"""),46183.64583333333)</f>
        <v>46183.64583</v>
      </c>
      <c r="C37" s="1">
        <f>IFERROR(__xludf.DUMMYFUNCTION("""COMPUTED_VALUE"""),1316.2)</f>
        <v>1316.2</v>
      </c>
      <c r="D37" s="1"/>
      <c r="E37" s="112">
        <f>IFERROR(__xludf.DUMMYFUNCTION("""COMPUTED_VALUE"""),46183.64583333333)</f>
        <v>46183.64583</v>
      </c>
      <c r="F37" s="1">
        <f>IFERROR(__xludf.DUMMYFUNCTION("""COMPUTED_VALUE"""),409.8)</f>
        <v>409.8</v>
      </c>
      <c r="G37" s="1"/>
      <c r="H37" s="29">
        <f t="shared" si="4"/>
        <v>3.211810639</v>
      </c>
      <c r="I37" s="1">
        <f t="shared" si="5"/>
        <v>906.4</v>
      </c>
      <c r="J37" s="245">
        <f t="shared" si="6"/>
        <v>-0.06431256384</v>
      </c>
      <c r="K37" s="246">
        <f t="shared" si="7"/>
        <v>3.211810639</v>
      </c>
      <c r="L37" s="65">
        <f t="shared" si="8"/>
        <v>1362.075</v>
      </c>
      <c r="M37" s="25">
        <f t="shared" si="9"/>
        <v>-0.03485412551</v>
      </c>
      <c r="N37" s="65">
        <f t="shared" si="10"/>
        <v>433.32</v>
      </c>
      <c r="O37" s="25">
        <f t="shared" si="11"/>
        <v>-0.05739385066</v>
      </c>
      <c r="P37" s="25">
        <f t="shared" si="12"/>
        <v>0.02253972515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IFERROR(__xludf.DUMMYFUNCTION("""COMPUTED_VALUE"""),46184.64583333333)</f>
        <v>46184.64583</v>
      </c>
      <c r="C38" s="1">
        <f>IFERROR(__xludf.DUMMYFUNCTION("""COMPUTED_VALUE"""),1303.7)</f>
        <v>1303.7</v>
      </c>
      <c r="D38" s="1"/>
      <c r="E38" s="112">
        <f>IFERROR(__xludf.DUMMYFUNCTION("""COMPUTED_VALUE"""),46184.64583333333)</f>
        <v>46184.64583</v>
      </c>
      <c r="F38" s="1">
        <f>IFERROR(__xludf.DUMMYFUNCTION("""COMPUTED_VALUE"""),406.05)</f>
        <v>406.05</v>
      </c>
      <c r="G38" s="1"/>
      <c r="H38" s="29">
        <f t="shared" si="4"/>
        <v>3.210688339</v>
      </c>
      <c r="I38" s="1">
        <f t="shared" si="5"/>
        <v>897.65</v>
      </c>
      <c r="J38" s="245">
        <f t="shared" si="6"/>
        <v>-0.3121224429</v>
      </c>
      <c r="K38" s="246">
        <f t="shared" si="7"/>
        <v>3.210688339</v>
      </c>
      <c r="L38" s="65">
        <f t="shared" si="8"/>
        <v>1358.94</v>
      </c>
      <c r="M38" s="25">
        <f t="shared" si="9"/>
        <v>-0.04237171128</v>
      </c>
      <c r="N38" s="65">
        <f t="shared" si="10"/>
        <v>431.7025</v>
      </c>
      <c r="O38" s="25">
        <f t="shared" si="11"/>
        <v>-0.06317571728</v>
      </c>
      <c r="P38" s="25">
        <f t="shared" si="12"/>
        <v>0.02080400599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IFERROR(__xludf.DUMMYFUNCTION("""COMPUTED_VALUE"""),46185.64583333333)</f>
        <v>46185.64583</v>
      </c>
      <c r="C39" s="1">
        <f>IFERROR(__xludf.DUMMYFUNCTION("""COMPUTED_VALUE"""),1336.6)</f>
        <v>1336.6</v>
      </c>
      <c r="D39" s="1"/>
      <c r="E39" s="112">
        <f>IFERROR(__xludf.DUMMYFUNCTION("""COMPUTED_VALUE"""),46185.64583333333)</f>
        <v>46185.64583</v>
      </c>
      <c r="F39" s="1">
        <f>IFERROR(__xludf.DUMMYFUNCTION("""COMPUTED_VALUE"""),423.1)</f>
        <v>423.1</v>
      </c>
      <c r="G39" s="1"/>
      <c r="H39" s="29">
        <f t="shared" si="4"/>
        <v>3.159064051</v>
      </c>
      <c r="I39" s="1">
        <f t="shared" si="5"/>
        <v>913.5</v>
      </c>
      <c r="J39" s="245">
        <f t="shared" si="6"/>
        <v>0.1367674523</v>
      </c>
      <c r="K39" s="246">
        <f t="shared" si="7"/>
        <v>3.159064051</v>
      </c>
      <c r="L39" s="65">
        <f t="shared" si="8"/>
        <v>1356.86</v>
      </c>
      <c r="M39" s="25">
        <f t="shared" si="9"/>
        <v>-0.01515786324</v>
      </c>
      <c r="N39" s="65">
        <f t="shared" si="10"/>
        <v>430.6625</v>
      </c>
      <c r="O39" s="25">
        <f t="shared" si="11"/>
        <v>-0.01787402505</v>
      </c>
      <c r="P39" s="25">
        <f t="shared" si="12"/>
        <v>0.002716161818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IFERROR(__xludf.DUMMYFUNCTION("""COMPUTED_VALUE"""),46188.64583333333)</f>
        <v>46188.64583</v>
      </c>
      <c r="C40" s="1">
        <f>IFERROR(__xludf.DUMMYFUNCTION("""COMPUTED_VALUE"""),1356.4)</f>
        <v>1356.4</v>
      </c>
      <c r="D40" s="1"/>
      <c r="E40" s="112">
        <f>IFERROR(__xludf.DUMMYFUNCTION("""COMPUTED_VALUE"""),46188.64583333333)</f>
        <v>46188.64583</v>
      </c>
      <c r="F40" s="1">
        <f>IFERROR(__xludf.DUMMYFUNCTION("""COMPUTED_VALUE"""),428.85)</f>
        <v>428.85</v>
      </c>
      <c r="G40" s="1"/>
      <c r="H40" s="29">
        <f t="shared" si="4"/>
        <v>3.162877463</v>
      </c>
      <c r="I40" s="1">
        <f t="shared" si="5"/>
        <v>927.55</v>
      </c>
      <c r="J40" s="245">
        <f t="shared" si="6"/>
        <v>0.5346793151</v>
      </c>
      <c r="K40" s="246">
        <f t="shared" si="7"/>
        <v>3.162877463</v>
      </c>
      <c r="L40" s="65">
        <f t="shared" si="8"/>
        <v>1356.54</v>
      </c>
      <c r="M40" s="25">
        <f t="shared" si="9"/>
        <v>-0.000103214391</v>
      </c>
      <c r="N40" s="65">
        <f t="shared" si="10"/>
        <v>430.4175</v>
      </c>
      <c r="O40" s="25">
        <f t="shared" si="11"/>
        <v>-0.003655124169</v>
      </c>
      <c r="P40" s="25">
        <f t="shared" si="12"/>
        <v>0.003551909778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IFERROR(__xludf.DUMMYFUNCTION("""COMPUTED_VALUE"""),46189.64583333333)</f>
        <v>46189.64583</v>
      </c>
      <c r="C41" s="1">
        <f>IFERROR(__xludf.DUMMYFUNCTION("""COMPUTED_VALUE"""),1349.0)</f>
        <v>1349</v>
      </c>
      <c r="D41" s="1"/>
      <c r="E41" s="112">
        <f>IFERROR(__xludf.DUMMYFUNCTION("""COMPUTED_VALUE"""),46189.64583333333)</f>
        <v>46189.64583</v>
      </c>
      <c r="F41" s="1">
        <f>IFERROR(__xludf.DUMMYFUNCTION("""COMPUTED_VALUE"""),426.05)</f>
        <v>426.05</v>
      </c>
      <c r="G41" s="1"/>
      <c r="H41" s="29">
        <f t="shared" si="4"/>
        <v>3.166295036</v>
      </c>
      <c r="I41" s="1">
        <f t="shared" si="5"/>
        <v>922.95</v>
      </c>
      <c r="J41" s="245">
        <f t="shared" si="6"/>
        <v>0.4044021216</v>
      </c>
      <c r="K41" s="246">
        <f t="shared" si="7"/>
        <v>3.166295036</v>
      </c>
      <c r="L41" s="65">
        <f t="shared" si="8"/>
        <v>1356.01</v>
      </c>
      <c r="M41" s="25">
        <f t="shared" si="9"/>
        <v>-0.005196441809</v>
      </c>
      <c r="N41" s="65">
        <f t="shared" si="10"/>
        <v>430.2125</v>
      </c>
      <c r="O41" s="25">
        <f t="shared" si="11"/>
        <v>-0.009769980049</v>
      </c>
      <c r="P41" s="25">
        <f t="shared" si="12"/>
        <v>0.004573538241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IFERROR(__xludf.DUMMYFUNCTION("""COMPUTED_VALUE"""),46190.64583333333)</f>
        <v>46190.64583</v>
      </c>
      <c r="C42" s="1">
        <f>IFERROR(__xludf.DUMMYFUNCTION("""COMPUTED_VALUE"""),1350.0)</f>
        <v>1350</v>
      </c>
      <c r="D42" s="1"/>
      <c r="E42" s="112">
        <f>IFERROR(__xludf.DUMMYFUNCTION("""COMPUTED_VALUE"""),46190.64583333333)</f>
        <v>46190.64583</v>
      </c>
      <c r="F42" s="1">
        <f>IFERROR(__xludf.DUMMYFUNCTION("""COMPUTED_VALUE"""),426.45)</f>
        <v>426.45</v>
      </c>
      <c r="G42" s="1"/>
      <c r="H42" s="29">
        <f t="shared" si="4"/>
        <v>3.165670067</v>
      </c>
      <c r="I42" s="1">
        <f t="shared" si="5"/>
        <v>923.55</v>
      </c>
      <c r="J42" s="245">
        <f t="shared" si="6"/>
        <v>0.421394799</v>
      </c>
      <c r="K42" s="246">
        <f t="shared" si="7"/>
        <v>3.165670067</v>
      </c>
      <c r="L42" s="65">
        <f t="shared" si="8"/>
        <v>1355.545</v>
      </c>
      <c r="M42" s="25">
        <f t="shared" si="9"/>
        <v>-0.004107407407</v>
      </c>
      <c r="N42" s="65">
        <f t="shared" si="10"/>
        <v>429.95</v>
      </c>
      <c r="O42" s="25">
        <f t="shared" si="11"/>
        <v>-0.008207292766</v>
      </c>
      <c r="P42" s="25">
        <f t="shared" si="12"/>
        <v>0.004099885358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IFERROR(__xludf.DUMMYFUNCTION("""COMPUTED_VALUE"""),46191.64583333333)</f>
        <v>46191.64583</v>
      </c>
      <c r="C43" s="1">
        <f>IFERROR(__xludf.DUMMYFUNCTION("""COMPUTED_VALUE"""),1358.9)</f>
        <v>1358.9</v>
      </c>
      <c r="D43" s="1"/>
      <c r="E43" s="112">
        <f>IFERROR(__xludf.DUMMYFUNCTION("""COMPUTED_VALUE"""),46191.64583333333)</f>
        <v>46191.64583</v>
      </c>
      <c r="F43" s="1">
        <f>IFERROR(__xludf.DUMMYFUNCTION("""COMPUTED_VALUE"""),430.0)</f>
        <v>430</v>
      </c>
      <c r="G43" s="1"/>
      <c r="H43" s="29">
        <f t="shared" si="4"/>
        <v>3.160232558</v>
      </c>
      <c r="I43" s="1">
        <f t="shared" si="5"/>
        <v>928.9</v>
      </c>
      <c r="J43" s="245">
        <f t="shared" si="6"/>
        <v>0.5729128393</v>
      </c>
      <c r="K43" s="246">
        <f t="shared" si="7"/>
        <v>3.160232558</v>
      </c>
      <c r="L43" s="65">
        <f t="shared" si="8"/>
        <v>1355.91</v>
      </c>
      <c r="M43" s="25">
        <f t="shared" si="9"/>
        <v>0.002200309074</v>
      </c>
      <c r="N43" s="65">
        <f t="shared" si="10"/>
        <v>429.9375</v>
      </c>
      <c r="O43" s="25">
        <f t="shared" si="11"/>
        <v>0.0001453488372</v>
      </c>
      <c r="P43" s="25">
        <f t="shared" si="12"/>
        <v>0.002054960236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IFERROR(__xludf.DUMMYFUNCTION("""COMPUTED_VALUE"""),46192.64583333333)</f>
        <v>46192.64583</v>
      </c>
      <c r="C44" s="1">
        <f>IFERROR(__xludf.DUMMYFUNCTION("""COMPUTED_VALUE"""),1343.3)</f>
        <v>1343.3</v>
      </c>
      <c r="D44" s="1"/>
      <c r="E44" s="112">
        <f>IFERROR(__xludf.DUMMYFUNCTION("""COMPUTED_VALUE"""),46192.64583333333)</f>
        <v>46192.64583</v>
      </c>
      <c r="F44" s="1">
        <f>IFERROR(__xludf.DUMMYFUNCTION("""COMPUTED_VALUE"""),423.95)</f>
        <v>423.95</v>
      </c>
      <c r="G44" s="1"/>
      <c r="H44" s="29">
        <f t="shared" si="4"/>
        <v>3.168534025</v>
      </c>
      <c r="I44" s="1">
        <f t="shared" si="5"/>
        <v>919.35</v>
      </c>
      <c r="J44" s="245">
        <f t="shared" si="6"/>
        <v>0.3024460571</v>
      </c>
      <c r="K44" s="246">
        <f t="shared" si="7"/>
        <v>3.168534025</v>
      </c>
      <c r="L44" s="65">
        <f t="shared" si="8"/>
        <v>1355.035</v>
      </c>
      <c r="M44" s="25">
        <f t="shared" si="9"/>
        <v>-0.008735948783</v>
      </c>
      <c r="N44" s="65">
        <f t="shared" si="10"/>
        <v>429.3125</v>
      </c>
      <c r="O44" s="25">
        <f t="shared" si="11"/>
        <v>-0.01264889728</v>
      </c>
      <c r="P44" s="25">
        <f t="shared" si="12"/>
        <v>0.003912948493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IFERROR(__xludf.DUMMYFUNCTION("""COMPUTED_VALUE"""),46195.64583333333)</f>
        <v>46195.64583</v>
      </c>
      <c r="C45" s="1">
        <f>IFERROR(__xludf.DUMMYFUNCTION("""COMPUTED_VALUE"""),1349.8)</f>
        <v>1349.8</v>
      </c>
      <c r="D45" s="1"/>
      <c r="E45" s="112">
        <f>IFERROR(__xludf.DUMMYFUNCTION("""COMPUTED_VALUE"""),46195.64583333333)</f>
        <v>46195.64583</v>
      </c>
      <c r="F45" s="1">
        <f>IFERROR(__xludf.DUMMYFUNCTION("""COMPUTED_VALUE"""),428.0)</f>
        <v>428</v>
      </c>
      <c r="G45" s="1"/>
      <c r="H45" s="29">
        <f t="shared" si="4"/>
        <v>3.153738318</v>
      </c>
      <c r="I45" s="1">
        <f t="shared" si="5"/>
        <v>921.8</v>
      </c>
      <c r="J45" s="245">
        <f t="shared" si="6"/>
        <v>0.3718328232</v>
      </c>
      <c r="K45" s="246">
        <f t="shared" si="7"/>
        <v>3.153738318</v>
      </c>
      <c r="L45" s="65">
        <f t="shared" si="8"/>
        <v>1354.525</v>
      </c>
      <c r="M45" s="25">
        <f t="shared" si="9"/>
        <v>-0.003500518595</v>
      </c>
      <c r="N45" s="65">
        <f t="shared" si="10"/>
        <v>428.895</v>
      </c>
      <c r="O45" s="25">
        <f t="shared" si="11"/>
        <v>-0.002091121495</v>
      </c>
      <c r="P45" s="25">
        <f t="shared" si="12"/>
        <v>-0.0014093971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IFERROR(__xludf.DUMMYFUNCTION("""COMPUTED_VALUE"""),46196.64583333333)</f>
        <v>46196.64583</v>
      </c>
      <c r="C46" s="1">
        <f>IFERROR(__xludf.DUMMYFUNCTION("""COMPUTED_VALUE"""),1329.4)</f>
        <v>1329.4</v>
      </c>
      <c r="D46" s="1"/>
      <c r="E46" s="112">
        <f>IFERROR(__xludf.DUMMYFUNCTION("""COMPUTED_VALUE"""),46196.64583333333)</f>
        <v>46196.64583</v>
      </c>
      <c r="F46" s="1">
        <f>IFERROR(__xludf.DUMMYFUNCTION("""COMPUTED_VALUE"""),414.85)</f>
        <v>414.85</v>
      </c>
      <c r="G46" s="1"/>
      <c r="H46" s="29">
        <f t="shared" si="4"/>
        <v>3.204531758</v>
      </c>
      <c r="I46" s="1">
        <f t="shared" si="5"/>
        <v>914.55</v>
      </c>
      <c r="J46" s="245">
        <f t="shared" si="6"/>
        <v>0.1665046378</v>
      </c>
      <c r="K46" s="246">
        <f t="shared" si="7"/>
        <v>3.204531758</v>
      </c>
      <c r="L46" s="65">
        <f t="shared" si="8"/>
        <v>1351.88</v>
      </c>
      <c r="M46" s="25">
        <f t="shared" si="9"/>
        <v>-0.01690988416</v>
      </c>
      <c r="N46" s="65">
        <f t="shared" si="10"/>
        <v>427.54</v>
      </c>
      <c r="O46" s="25">
        <f t="shared" si="11"/>
        <v>-0.03058936965</v>
      </c>
      <c r="P46" s="25">
        <f t="shared" si="12"/>
        <v>0.01367948549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IFERROR(__xludf.DUMMYFUNCTION("""COMPUTED_VALUE"""),46197.64583333333)</f>
        <v>46197.64583</v>
      </c>
      <c r="C47" s="1">
        <f>IFERROR(__xludf.DUMMYFUNCTION("""COMPUTED_VALUE"""),1347.0)</f>
        <v>1347</v>
      </c>
      <c r="D47" s="1"/>
      <c r="E47" s="112">
        <f>IFERROR(__xludf.DUMMYFUNCTION("""COMPUTED_VALUE"""),46197.64583333333)</f>
        <v>46197.64583</v>
      </c>
      <c r="F47" s="1">
        <f>IFERROR(__xludf.DUMMYFUNCTION("""COMPUTED_VALUE"""),426.85)</f>
        <v>426.85</v>
      </c>
      <c r="G47" s="1"/>
      <c r="H47" s="29">
        <f t="shared" si="4"/>
        <v>3.155675296</v>
      </c>
      <c r="I47" s="1">
        <f t="shared" si="5"/>
        <v>920.15</v>
      </c>
      <c r="J47" s="245">
        <f t="shared" si="6"/>
        <v>0.3251029603</v>
      </c>
      <c r="K47" s="246">
        <f t="shared" si="7"/>
        <v>3.155675296</v>
      </c>
      <c r="L47" s="65">
        <f t="shared" si="8"/>
        <v>1348.6</v>
      </c>
      <c r="M47" s="25">
        <f t="shared" si="9"/>
        <v>-0.001187824796</v>
      </c>
      <c r="N47" s="65">
        <f t="shared" si="10"/>
        <v>426.3975</v>
      </c>
      <c r="O47" s="25">
        <f t="shared" si="11"/>
        <v>0.001060091367</v>
      </c>
      <c r="P47" s="25">
        <f t="shared" si="12"/>
        <v>-0.002247916163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IFERROR(__xludf.DUMMYFUNCTION("""COMPUTED_VALUE"""),46198.64583333333)</f>
        <v>46198.64583</v>
      </c>
      <c r="C48" s="1">
        <f>IFERROR(__xludf.DUMMYFUNCTION("""COMPUTED_VALUE"""),1337.9)</f>
        <v>1337.9</v>
      </c>
      <c r="D48" s="1"/>
      <c r="E48" s="112">
        <f>IFERROR(__xludf.DUMMYFUNCTION("""COMPUTED_VALUE"""),46198.64583333333)</f>
        <v>46198.64583</v>
      </c>
      <c r="F48" s="1">
        <f>IFERROR(__xludf.DUMMYFUNCTION("""COMPUTED_VALUE"""),423.75)</f>
        <v>423.75</v>
      </c>
      <c r="G48" s="1"/>
      <c r="H48" s="29">
        <f t="shared" si="4"/>
        <v>3.157286136</v>
      </c>
      <c r="I48" s="1">
        <f t="shared" si="5"/>
        <v>914.15</v>
      </c>
      <c r="J48" s="245">
        <f t="shared" si="6"/>
        <v>0.1551761861</v>
      </c>
      <c r="K48" s="246">
        <f t="shared" si="7"/>
        <v>3.157286136</v>
      </c>
      <c r="L48" s="65">
        <f t="shared" si="8"/>
        <v>1344.165</v>
      </c>
      <c r="M48" s="25">
        <f t="shared" si="9"/>
        <v>-0.004682711712</v>
      </c>
      <c r="N48" s="65">
        <f t="shared" si="10"/>
        <v>424.5975</v>
      </c>
      <c r="O48" s="25">
        <f t="shared" si="11"/>
        <v>-0.002</v>
      </c>
      <c r="P48" s="25">
        <f t="shared" si="12"/>
        <v>-0.002682711712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IFERROR(__xludf.DUMMYFUNCTION("""COMPUTED_VALUE"""),46202.64583333333)</f>
        <v>46202.64583</v>
      </c>
      <c r="C49" s="1">
        <f>IFERROR(__xludf.DUMMYFUNCTION("""COMPUTED_VALUE"""),1333.4)</f>
        <v>1333.4</v>
      </c>
      <c r="D49" s="1"/>
      <c r="E49" s="112">
        <f>IFERROR(__xludf.DUMMYFUNCTION("""COMPUTED_VALUE"""),46202.64583333333)</f>
        <v>46202.64583</v>
      </c>
      <c r="F49" s="1">
        <f>IFERROR(__xludf.DUMMYFUNCTION("""COMPUTED_VALUE"""),424.25)</f>
        <v>424.25</v>
      </c>
      <c r="G49" s="1"/>
      <c r="H49" s="29">
        <f t="shared" si="4"/>
        <v>3.142958161</v>
      </c>
      <c r="I49" s="1">
        <f t="shared" si="5"/>
        <v>909.15</v>
      </c>
      <c r="J49" s="245">
        <f t="shared" si="6"/>
        <v>0.01357054099</v>
      </c>
      <c r="K49" s="246">
        <f t="shared" si="7"/>
        <v>3.142958161</v>
      </c>
      <c r="L49" s="65">
        <f t="shared" si="8"/>
        <v>1340.87</v>
      </c>
      <c r="M49" s="25">
        <f t="shared" si="9"/>
        <v>-0.005602219889</v>
      </c>
      <c r="N49" s="65">
        <f t="shared" si="10"/>
        <v>423.4175</v>
      </c>
      <c r="O49" s="25">
        <f t="shared" si="11"/>
        <v>0.001962286388</v>
      </c>
      <c r="P49" s="25">
        <f t="shared" si="12"/>
        <v>-0.007564506277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IFERROR(__xludf.DUMMYFUNCTION("""COMPUTED_VALUE"""),46203.64583333333)</f>
        <v>46203.64583</v>
      </c>
      <c r="C50" s="1">
        <f>IFERROR(__xludf.DUMMYFUNCTION("""COMPUTED_VALUE"""),1327.2)</f>
        <v>1327.2</v>
      </c>
      <c r="D50" s="1"/>
      <c r="E50" s="112">
        <f>IFERROR(__xludf.DUMMYFUNCTION("""COMPUTED_VALUE"""),46203.64583333333)</f>
        <v>46203.64583</v>
      </c>
      <c r="F50" s="1">
        <f>IFERROR(__xludf.DUMMYFUNCTION("""COMPUTED_VALUE"""),421.85)</f>
        <v>421.85</v>
      </c>
      <c r="G50" s="1"/>
      <c r="H50" s="29">
        <f t="shared" si="4"/>
        <v>3.146141994</v>
      </c>
      <c r="I50" s="1">
        <f t="shared" si="5"/>
        <v>905.35</v>
      </c>
      <c r="J50" s="245">
        <f t="shared" si="6"/>
        <v>-0.09404974932</v>
      </c>
      <c r="K50" s="246">
        <f t="shared" si="7"/>
        <v>3.146141994</v>
      </c>
      <c r="L50" s="65">
        <f t="shared" si="8"/>
        <v>1339.23</v>
      </c>
      <c r="M50" s="25">
        <f t="shared" si="9"/>
        <v>-0.009064195298</v>
      </c>
      <c r="N50" s="65">
        <f t="shared" si="10"/>
        <v>422.765</v>
      </c>
      <c r="O50" s="25">
        <f t="shared" si="11"/>
        <v>-0.002169017423</v>
      </c>
      <c r="P50" s="25">
        <f t="shared" si="12"/>
        <v>-0.006895177875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IFERROR(__xludf.DUMMYFUNCTION("""COMPUTED_VALUE"""),46204.64583333333)</f>
        <v>46204.64583</v>
      </c>
      <c r="C51" s="1">
        <f>IFERROR(__xludf.DUMMYFUNCTION("""COMPUTED_VALUE"""),1332.2)</f>
        <v>1332.2</v>
      </c>
      <c r="D51" s="1"/>
      <c r="E51" s="112">
        <f>IFERROR(__xludf.DUMMYFUNCTION("""COMPUTED_VALUE"""),46204.64583333333)</f>
        <v>46204.64583</v>
      </c>
      <c r="F51" s="1">
        <f>IFERROR(__xludf.DUMMYFUNCTION("""COMPUTED_VALUE"""),418.85)</f>
        <v>418.85</v>
      </c>
      <c r="G51" s="1"/>
      <c r="H51" s="29">
        <f t="shared" si="4"/>
        <v>3.180613585</v>
      </c>
      <c r="I51" s="1">
        <f t="shared" si="5"/>
        <v>913.35</v>
      </c>
      <c r="J51" s="245">
        <f t="shared" si="6"/>
        <v>0.1325192829</v>
      </c>
      <c r="K51" s="246">
        <f t="shared" si="7"/>
        <v>3.180613585</v>
      </c>
      <c r="L51" s="65">
        <f t="shared" si="8"/>
        <v>1337.345</v>
      </c>
      <c r="M51" s="25">
        <f t="shared" si="9"/>
        <v>-0.003862032728</v>
      </c>
      <c r="N51" s="65">
        <f t="shared" si="10"/>
        <v>421.74</v>
      </c>
      <c r="O51" s="25">
        <f t="shared" si="11"/>
        <v>-0.006899844813</v>
      </c>
      <c r="P51" s="25">
        <f t="shared" si="12"/>
        <v>0.003037812085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IFERROR(__xludf.DUMMYFUNCTION("""COMPUTED_VALUE"""),46205.64583333333)</f>
        <v>46205.64583</v>
      </c>
      <c r="C52" s="1">
        <f>IFERROR(__xludf.DUMMYFUNCTION("""COMPUTED_VALUE"""),1350.7)</f>
        <v>1350.7</v>
      </c>
      <c r="D52" s="1"/>
      <c r="E52" s="112">
        <f>IFERROR(__xludf.DUMMYFUNCTION("""COMPUTED_VALUE"""),46205.64583333333)</f>
        <v>46205.64583</v>
      </c>
      <c r="F52" s="1">
        <f>IFERROR(__xludf.DUMMYFUNCTION("""COMPUTED_VALUE"""),428.95)</f>
        <v>428.95</v>
      </c>
      <c r="G52" s="1"/>
      <c r="H52" s="29">
        <f t="shared" si="4"/>
        <v>3.148851848</v>
      </c>
      <c r="I52" s="1">
        <f t="shared" si="5"/>
        <v>921.75</v>
      </c>
      <c r="J52" s="245">
        <f t="shared" si="6"/>
        <v>0.3704167668</v>
      </c>
      <c r="K52" s="246">
        <f t="shared" si="7"/>
        <v>3.148851848</v>
      </c>
      <c r="L52" s="65">
        <f t="shared" si="8"/>
        <v>1337.335</v>
      </c>
      <c r="M52" s="25">
        <f t="shared" si="9"/>
        <v>0.009894869327</v>
      </c>
      <c r="N52" s="65">
        <f t="shared" si="10"/>
        <v>421.84</v>
      </c>
      <c r="O52" s="25">
        <f t="shared" si="11"/>
        <v>0.01657535843</v>
      </c>
      <c r="P52" s="25">
        <f t="shared" si="12"/>
        <v>-0.006680489106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IFERROR(__xludf.DUMMYFUNCTION("""COMPUTED_VALUE"""),46206.64583333333)</f>
        <v>46206.64583</v>
      </c>
      <c r="C53" s="1">
        <f>IFERROR(__xludf.DUMMYFUNCTION("""COMPUTED_VALUE"""),1393.8)</f>
        <v>1393.8</v>
      </c>
      <c r="D53" s="1"/>
      <c r="E53" s="112">
        <f>IFERROR(__xludf.DUMMYFUNCTION("""COMPUTED_VALUE"""),46206.64583333333)</f>
        <v>46206.64583</v>
      </c>
      <c r="F53" s="1">
        <f>IFERROR(__xludf.DUMMYFUNCTION("""COMPUTED_VALUE"""),443.4)</f>
        <v>443.4</v>
      </c>
      <c r="G53" s="1"/>
      <c r="H53" s="29">
        <f t="shared" si="4"/>
        <v>3.143437077</v>
      </c>
      <c r="I53" s="1">
        <f t="shared" si="5"/>
        <v>950.4</v>
      </c>
      <c r="J53" s="245">
        <f t="shared" si="6"/>
        <v>1.181817113</v>
      </c>
      <c r="K53" s="246">
        <f t="shared" si="7"/>
        <v>3.143437077</v>
      </c>
      <c r="L53" s="65">
        <f t="shared" si="8"/>
        <v>1339.485</v>
      </c>
      <c r="M53" s="25">
        <f t="shared" si="9"/>
        <v>0.0389690056</v>
      </c>
      <c r="N53" s="65">
        <f t="shared" si="10"/>
        <v>422.6925</v>
      </c>
      <c r="O53" s="25">
        <f t="shared" si="11"/>
        <v>0.04670162382</v>
      </c>
      <c r="P53" s="25">
        <f t="shared" si="12"/>
        <v>-0.00773261822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IFERROR(__xludf.DUMMYFUNCTION("""COMPUTED_VALUE"""),46209.64583333333)</f>
        <v>46209.64583</v>
      </c>
      <c r="C54" s="1">
        <f>IFERROR(__xludf.DUMMYFUNCTION("""COMPUTED_VALUE"""),1397.1)</f>
        <v>1397.1</v>
      </c>
      <c r="D54" s="1"/>
      <c r="E54" s="112">
        <f>IFERROR(__xludf.DUMMYFUNCTION("""COMPUTED_VALUE"""),46209.64583333333)</f>
        <v>46209.64583</v>
      </c>
      <c r="F54" s="1">
        <f>IFERROR(__xludf.DUMMYFUNCTION("""COMPUTED_VALUE"""),441.4)</f>
        <v>441.4</v>
      </c>
      <c r="G54" s="1"/>
      <c r="H54" s="29">
        <f t="shared" si="4"/>
        <v>3.165156321</v>
      </c>
      <c r="I54" s="1">
        <f t="shared" si="5"/>
        <v>955.7</v>
      </c>
      <c r="J54" s="245">
        <f t="shared" si="6"/>
        <v>1.331919097</v>
      </c>
      <c r="K54" s="246">
        <f t="shared" si="7"/>
        <v>3.165156321</v>
      </c>
      <c r="L54" s="65">
        <f t="shared" si="8"/>
        <v>1342.85</v>
      </c>
      <c r="M54" s="25">
        <f t="shared" si="9"/>
        <v>0.03883043447</v>
      </c>
      <c r="N54" s="65">
        <f t="shared" si="10"/>
        <v>423.885</v>
      </c>
      <c r="O54" s="25">
        <f t="shared" si="11"/>
        <v>0.03968056185</v>
      </c>
      <c r="P54" s="25">
        <f t="shared" si="12"/>
        <v>-0.0008501273773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IFERROR(__xludf.DUMMYFUNCTION("""COMPUTED_VALUE"""),46210.64583333333)</f>
        <v>46210.64583</v>
      </c>
      <c r="C55" s="1">
        <f>IFERROR(__xludf.DUMMYFUNCTION("""COMPUTED_VALUE"""),1384.4)</f>
        <v>1384.4</v>
      </c>
      <c r="D55" s="1"/>
      <c r="E55" s="112">
        <f>IFERROR(__xludf.DUMMYFUNCTION("""COMPUTED_VALUE"""),46210.64583333333)</f>
        <v>46210.64583</v>
      </c>
      <c r="F55" s="1">
        <f>IFERROR(__xludf.DUMMYFUNCTION("""COMPUTED_VALUE"""),435.9)</f>
        <v>435.9</v>
      </c>
      <c r="G55" s="1"/>
      <c r="H55" s="29">
        <f t="shared" si="4"/>
        <v>3.175957788</v>
      </c>
      <c r="I55" s="1">
        <f t="shared" si="5"/>
        <v>948.5</v>
      </c>
      <c r="J55" s="245">
        <f t="shared" si="6"/>
        <v>1.128006968</v>
      </c>
      <c r="K55" s="246">
        <f t="shared" si="7"/>
        <v>3.175957788</v>
      </c>
      <c r="L55" s="65">
        <f t="shared" si="8"/>
        <v>1346.085</v>
      </c>
      <c r="M55" s="25">
        <f t="shared" si="9"/>
        <v>0.02767624964</v>
      </c>
      <c r="N55" s="65">
        <f t="shared" si="10"/>
        <v>424.915</v>
      </c>
      <c r="O55" s="25">
        <f t="shared" si="11"/>
        <v>0.02520073411</v>
      </c>
      <c r="P55" s="25">
        <f t="shared" si="12"/>
        <v>0.002475515526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IFERROR(__xludf.DUMMYFUNCTION("""COMPUTED_VALUE"""),46211.64583333333)</f>
        <v>46211.64583</v>
      </c>
      <c r="C56" s="1">
        <f>IFERROR(__xludf.DUMMYFUNCTION("""COMPUTED_VALUE"""),1335.1)</f>
        <v>1335.1</v>
      </c>
      <c r="D56" s="1"/>
      <c r="E56" s="112">
        <f>IFERROR(__xludf.DUMMYFUNCTION("""COMPUTED_VALUE"""),46211.64583333333)</f>
        <v>46211.64583</v>
      </c>
      <c r="F56" s="1">
        <f>IFERROR(__xludf.DUMMYFUNCTION("""COMPUTED_VALUE"""),421.1)</f>
        <v>421.1</v>
      </c>
      <c r="G56" s="1"/>
      <c r="H56" s="29">
        <f t="shared" si="4"/>
        <v>3.170505818</v>
      </c>
      <c r="I56" s="1">
        <f t="shared" si="5"/>
        <v>914</v>
      </c>
      <c r="J56" s="245">
        <f t="shared" si="6"/>
        <v>0.1509280168</v>
      </c>
      <c r="K56" s="246">
        <f t="shared" si="7"/>
        <v>3.170505818</v>
      </c>
      <c r="L56" s="65">
        <f t="shared" si="8"/>
        <v>1346.605</v>
      </c>
      <c r="M56" s="25">
        <f t="shared" si="9"/>
        <v>-0.008617332035</v>
      </c>
      <c r="N56" s="65">
        <f t="shared" si="10"/>
        <v>425.17</v>
      </c>
      <c r="O56" s="25">
        <f t="shared" si="11"/>
        <v>-0.009665162669</v>
      </c>
      <c r="P56" s="25">
        <f t="shared" si="12"/>
        <v>0.001047830634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IFERROR(__xludf.DUMMYFUNCTION("""COMPUTED_VALUE"""),46212.64583333333)</f>
        <v>46212.64583</v>
      </c>
      <c r="C57" s="1">
        <f>IFERROR(__xludf.DUMMYFUNCTION("""COMPUTED_VALUE"""),1362.2)</f>
        <v>1362.2</v>
      </c>
      <c r="D57" s="1"/>
      <c r="E57" s="112">
        <f>IFERROR(__xludf.DUMMYFUNCTION("""COMPUTED_VALUE"""),46212.64583333333)</f>
        <v>46212.64583</v>
      </c>
      <c r="F57" s="1">
        <f>IFERROR(__xludf.DUMMYFUNCTION("""COMPUTED_VALUE"""),428.15)</f>
        <v>428.15</v>
      </c>
      <c r="G57" s="1"/>
      <c r="H57" s="29">
        <f t="shared" si="4"/>
        <v>3.181595235</v>
      </c>
      <c r="I57" s="1">
        <f t="shared" si="5"/>
        <v>934.05</v>
      </c>
      <c r="J57" s="245">
        <f t="shared" si="6"/>
        <v>0.7187666538</v>
      </c>
      <c r="K57" s="246">
        <f t="shared" si="7"/>
        <v>3.181595235</v>
      </c>
      <c r="L57" s="65">
        <f t="shared" si="8"/>
        <v>1348.905</v>
      </c>
      <c r="M57" s="25">
        <f t="shared" si="9"/>
        <v>0.009759947144</v>
      </c>
      <c r="N57" s="65">
        <f t="shared" si="10"/>
        <v>426.0875</v>
      </c>
      <c r="O57" s="25">
        <f t="shared" si="11"/>
        <v>0.00481723695</v>
      </c>
      <c r="P57" s="25">
        <f t="shared" si="12"/>
        <v>0.004942710195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IFERROR(__xludf.DUMMYFUNCTION("""COMPUTED_VALUE"""),46213.64583333333)</f>
        <v>46213.64583</v>
      </c>
      <c r="C58" s="1">
        <f>IFERROR(__xludf.DUMMYFUNCTION("""COMPUTED_VALUE"""),1384.5)</f>
        <v>1384.5</v>
      </c>
      <c r="D58" s="1"/>
      <c r="E58" s="112">
        <f>IFERROR(__xludf.DUMMYFUNCTION("""COMPUTED_VALUE"""),46213.64583333333)</f>
        <v>46213.64583</v>
      </c>
      <c r="F58" s="1">
        <f>IFERROR(__xludf.DUMMYFUNCTION("""COMPUTED_VALUE"""),436.45)</f>
        <v>436.45</v>
      </c>
      <c r="G58" s="1"/>
      <c r="H58" s="29">
        <f t="shared" si="4"/>
        <v>3.172184672</v>
      </c>
      <c r="I58" s="1">
        <f t="shared" si="5"/>
        <v>948.05</v>
      </c>
      <c r="J58" s="245">
        <f t="shared" si="6"/>
        <v>1.11526246</v>
      </c>
      <c r="K58" s="246">
        <f t="shared" si="7"/>
        <v>3.172184672</v>
      </c>
      <c r="L58" s="65">
        <f t="shared" si="8"/>
        <v>1352.945</v>
      </c>
      <c r="M58" s="25">
        <f t="shared" si="9"/>
        <v>0.02279162152</v>
      </c>
      <c r="N58" s="65">
        <f t="shared" si="10"/>
        <v>427.6075</v>
      </c>
      <c r="O58" s="25">
        <f t="shared" si="11"/>
        <v>0.0202600527</v>
      </c>
      <c r="P58" s="25">
        <f t="shared" si="12"/>
        <v>0.002531568826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IFERROR(__xludf.DUMMYFUNCTION("""COMPUTED_VALUE"""),46216.64583333333)</f>
        <v>46216.64583</v>
      </c>
      <c r="C59" s="1">
        <f>IFERROR(__xludf.DUMMYFUNCTION("""COMPUTED_VALUE"""),1378.8)</f>
        <v>1378.8</v>
      </c>
      <c r="D59" s="1"/>
      <c r="E59" s="112">
        <f>IFERROR(__xludf.DUMMYFUNCTION("""COMPUTED_VALUE"""),46216.64583333333)</f>
        <v>46216.64583</v>
      </c>
      <c r="F59" s="1">
        <f>IFERROR(__xludf.DUMMYFUNCTION("""COMPUTED_VALUE"""),432.15)</f>
        <v>432.15</v>
      </c>
      <c r="G59" s="1"/>
      <c r="H59" s="29">
        <f t="shared" si="4"/>
        <v>3.190558834</v>
      </c>
      <c r="I59" s="1">
        <f t="shared" si="5"/>
        <v>946.65</v>
      </c>
      <c r="J59" s="245">
        <f t="shared" si="6"/>
        <v>1.07561288</v>
      </c>
      <c r="K59" s="246">
        <f t="shared" si="7"/>
        <v>3.190558834</v>
      </c>
      <c r="L59" s="65">
        <f t="shared" si="8"/>
        <v>1355.055</v>
      </c>
      <c r="M59" s="25">
        <f t="shared" si="9"/>
        <v>0.01722149695</v>
      </c>
      <c r="N59" s="65">
        <f t="shared" si="10"/>
        <v>428.06</v>
      </c>
      <c r="O59" s="25">
        <f t="shared" si="11"/>
        <v>0.009464306375</v>
      </c>
      <c r="P59" s="25">
        <f t="shared" si="12"/>
        <v>0.007757190579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IFERROR(__xludf.DUMMYFUNCTION("""COMPUTED_VALUE"""),46217.64583333333)</f>
        <v>46217.64583</v>
      </c>
      <c r="C60" s="1">
        <f>IFERROR(__xludf.DUMMYFUNCTION("""COMPUTED_VALUE"""),1361.9)</f>
        <v>1361.9</v>
      </c>
      <c r="D60" s="1"/>
      <c r="E60" s="112">
        <f>IFERROR(__xludf.DUMMYFUNCTION("""COMPUTED_VALUE"""),46217.64583333333)</f>
        <v>46217.64583</v>
      </c>
      <c r="F60" s="1">
        <f>IFERROR(__xludf.DUMMYFUNCTION("""COMPUTED_VALUE"""),429.8)</f>
        <v>429.8</v>
      </c>
      <c r="G60" s="1"/>
      <c r="H60" s="29">
        <f t="shared" si="4"/>
        <v>3.168683108</v>
      </c>
      <c r="I60" s="1">
        <f t="shared" si="5"/>
        <v>932.1</v>
      </c>
      <c r="J60" s="245">
        <f t="shared" si="6"/>
        <v>0.6635404522</v>
      </c>
      <c r="K60" s="246">
        <f t="shared" si="7"/>
        <v>3.168683108</v>
      </c>
      <c r="L60" s="65">
        <f t="shared" si="8"/>
        <v>1355.33</v>
      </c>
      <c r="M60" s="25">
        <f t="shared" si="9"/>
        <v>0.004824142742</v>
      </c>
      <c r="N60" s="65">
        <f t="shared" si="10"/>
        <v>428.1075</v>
      </c>
      <c r="O60" s="25">
        <f t="shared" si="11"/>
        <v>0.003937878083</v>
      </c>
      <c r="P60" s="25">
        <f t="shared" si="12"/>
        <v>0.0008862646589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IFERROR(__xludf.DUMMYFUNCTION("""COMPUTED_VALUE"""),46218.64583333333)</f>
        <v>46218.64583</v>
      </c>
      <c r="C61" s="1">
        <f>IFERROR(__xludf.DUMMYFUNCTION("""COMPUTED_VALUE"""),1383.2)</f>
        <v>1383.2</v>
      </c>
      <c r="D61" s="1"/>
      <c r="E61" s="112">
        <f>IFERROR(__xludf.DUMMYFUNCTION("""COMPUTED_VALUE"""),46218.64583333333)</f>
        <v>46218.64583</v>
      </c>
      <c r="F61" s="1">
        <f>IFERROR(__xludf.DUMMYFUNCTION("""COMPUTED_VALUE"""),435.25)</f>
        <v>435.25</v>
      </c>
      <c r="G61" s="1"/>
      <c r="H61" s="29">
        <f t="shared" si="4"/>
        <v>3.177943711</v>
      </c>
      <c r="I61" s="1">
        <f t="shared" si="5"/>
        <v>947.95</v>
      </c>
      <c r="J61" s="245">
        <f t="shared" si="6"/>
        <v>1.112430347</v>
      </c>
      <c r="K61" s="246">
        <f t="shared" si="7"/>
        <v>3.177943711</v>
      </c>
      <c r="L61" s="65">
        <f t="shared" si="8"/>
        <v>1357.04</v>
      </c>
      <c r="M61" s="25">
        <f t="shared" si="9"/>
        <v>0.01891266628</v>
      </c>
      <c r="N61" s="65">
        <f t="shared" si="10"/>
        <v>428.5675</v>
      </c>
      <c r="O61" s="25">
        <f t="shared" si="11"/>
        <v>0.01535324526</v>
      </c>
      <c r="P61" s="25">
        <f t="shared" si="12"/>
        <v>0.00355942102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IFERROR(__xludf.DUMMYFUNCTION("""COMPUTED_VALUE"""),46219.64583333333)</f>
        <v>46219.64583</v>
      </c>
      <c r="C62" s="1">
        <f>IFERROR(__xludf.DUMMYFUNCTION("""COMPUTED_VALUE"""),1373.3)</f>
        <v>1373.3</v>
      </c>
      <c r="D62" s="1"/>
      <c r="E62" s="112">
        <f>IFERROR(__xludf.DUMMYFUNCTION("""COMPUTED_VALUE"""),46219.64583333333)</f>
        <v>46219.64583</v>
      </c>
      <c r="F62" s="1">
        <f>IFERROR(__xludf.DUMMYFUNCTION("""COMPUTED_VALUE"""),433.6)</f>
        <v>433.6</v>
      </c>
      <c r="G62" s="1"/>
      <c r="H62" s="29">
        <f t="shared" si="4"/>
        <v>3.167204797</v>
      </c>
      <c r="I62" s="1">
        <f t="shared" si="5"/>
        <v>939.7</v>
      </c>
      <c r="J62" s="245">
        <f t="shared" si="6"/>
        <v>0.8787810329</v>
      </c>
      <c r="K62" s="246">
        <f t="shared" si="7"/>
        <v>3.167204797</v>
      </c>
      <c r="L62" s="65">
        <f t="shared" si="8"/>
        <v>1358.205</v>
      </c>
      <c r="M62" s="25">
        <f t="shared" si="9"/>
        <v>0.01099177164</v>
      </c>
      <c r="N62" s="65">
        <f t="shared" si="10"/>
        <v>428.925</v>
      </c>
      <c r="O62" s="25">
        <f t="shared" si="11"/>
        <v>0.01078182657</v>
      </c>
      <c r="P62" s="25">
        <f t="shared" si="12"/>
        <v>0.0002099450767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IFERROR(__xludf.DUMMYFUNCTION("""COMPUTED_VALUE"""),46220.64583333333)</f>
        <v>46220.64583</v>
      </c>
      <c r="C63" s="1">
        <f>IFERROR(__xludf.DUMMYFUNCTION("""COMPUTED_VALUE"""),1377.7)</f>
        <v>1377.7</v>
      </c>
      <c r="D63" s="1"/>
      <c r="E63" s="112">
        <f>IFERROR(__xludf.DUMMYFUNCTION("""COMPUTED_VALUE"""),46220.64583333333)</f>
        <v>46220.64583</v>
      </c>
      <c r="F63" s="1">
        <f>IFERROR(__xludf.DUMMYFUNCTION("""COMPUTED_VALUE"""),438.5)</f>
        <v>438.5</v>
      </c>
      <c r="G63" s="1"/>
      <c r="H63" s="29">
        <f t="shared" si="4"/>
        <v>3.141847206</v>
      </c>
      <c r="I63" s="1">
        <f t="shared" si="5"/>
        <v>939.2</v>
      </c>
      <c r="J63" s="245">
        <f t="shared" si="6"/>
        <v>0.8646204684</v>
      </c>
      <c r="K63" s="246">
        <f t="shared" si="7"/>
        <v>3.141847206</v>
      </c>
      <c r="L63" s="65">
        <f t="shared" si="8"/>
        <v>1359.145</v>
      </c>
      <c r="M63" s="25">
        <f t="shared" si="9"/>
        <v>0.01346809901</v>
      </c>
      <c r="N63" s="65">
        <f t="shared" si="10"/>
        <v>429.35</v>
      </c>
      <c r="O63" s="25">
        <f t="shared" si="11"/>
        <v>0.02086659065</v>
      </c>
      <c r="P63" s="25">
        <f t="shared" si="12"/>
        <v>-0.007398491644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IFERROR(__xludf.DUMMYFUNCTION("""COMPUTED_VALUE"""),46223.64583333333)</f>
        <v>46223.64583</v>
      </c>
      <c r="C64" s="1">
        <f>IFERROR(__xludf.DUMMYFUNCTION("""COMPUTED_VALUE"""),1381.4)</f>
        <v>1381.4</v>
      </c>
      <c r="D64" s="1"/>
      <c r="E64" s="112">
        <f>IFERROR(__xludf.DUMMYFUNCTION("""COMPUTED_VALUE"""),46223.64583333333)</f>
        <v>46223.64583</v>
      </c>
      <c r="F64" s="1">
        <f>IFERROR(__xludf.DUMMYFUNCTION("""COMPUTED_VALUE"""),437.8)</f>
        <v>437.8</v>
      </c>
      <c r="G64" s="1"/>
      <c r="H64" s="29">
        <f t="shared" si="4"/>
        <v>3.155322065</v>
      </c>
      <c r="I64" s="1">
        <f t="shared" si="5"/>
        <v>943.6</v>
      </c>
      <c r="J64" s="245">
        <f t="shared" si="6"/>
        <v>0.9892334361</v>
      </c>
      <c r="K64" s="246">
        <f t="shared" si="7"/>
        <v>3.155322065</v>
      </c>
      <c r="L64" s="65">
        <f t="shared" si="8"/>
        <v>1361.05</v>
      </c>
      <c r="M64" s="25">
        <f t="shared" si="9"/>
        <v>0.01473143188</v>
      </c>
      <c r="N64" s="65">
        <f t="shared" si="10"/>
        <v>430.0425</v>
      </c>
      <c r="O64" s="25">
        <f t="shared" si="11"/>
        <v>0.01771927821</v>
      </c>
      <c r="P64" s="25">
        <f t="shared" si="12"/>
        <v>-0.002987846329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IFERROR(__xludf.DUMMYFUNCTION("""COMPUTED_VALUE"""),46224.64583333333)</f>
        <v>46224.64583</v>
      </c>
      <c r="C65" s="1">
        <f>IFERROR(__xludf.DUMMYFUNCTION("""COMPUTED_VALUE"""),1387.8)</f>
        <v>1387.8</v>
      </c>
      <c r="D65" s="1"/>
      <c r="E65" s="112">
        <f>IFERROR(__xludf.DUMMYFUNCTION("""COMPUTED_VALUE"""),46224.64583333333)</f>
        <v>46224.64583</v>
      </c>
      <c r="F65" s="1">
        <f>IFERROR(__xludf.DUMMYFUNCTION("""COMPUTED_VALUE"""),440.85)</f>
        <v>440.85</v>
      </c>
      <c r="G65" s="1"/>
      <c r="H65" s="29">
        <f t="shared" si="4"/>
        <v>3.148009527</v>
      </c>
      <c r="I65" s="1">
        <f t="shared" si="5"/>
        <v>946.95</v>
      </c>
      <c r="J65" s="245">
        <f t="shared" si="6"/>
        <v>1.084109218</v>
      </c>
      <c r="K65" s="246">
        <f t="shared" si="7"/>
        <v>3.148009527</v>
      </c>
      <c r="L65" s="65">
        <f t="shared" si="8"/>
        <v>1362.95</v>
      </c>
      <c r="M65" s="25">
        <f t="shared" si="9"/>
        <v>0.01790603833</v>
      </c>
      <c r="N65" s="65">
        <f t="shared" si="10"/>
        <v>430.685</v>
      </c>
      <c r="O65" s="25">
        <f t="shared" si="11"/>
        <v>0.02305772939</v>
      </c>
      <c r="P65" s="25">
        <f t="shared" si="12"/>
        <v>-0.005151691052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IFERROR(__xludf.DUMMYFUNCTION("""COMPUTED_VALUE"""),46225.64583333333)</f>
        <v>46225.64583</v>
      </c>
      <c r="C66" s="1">
        <f>IFERROR(__xludf.DUMMYFUNCTION("""COMPUTED_VALUE"""),1359.0)</f>
        <v>1359</v>
      </c>
      <c r="D66" s="1"/>
      <c r="E66" s="112">
        <f>IFERROR(__xludf.DUMMYFUNCTION("""COMPUTED_VALUE"""),46225.64583333333)</f>
        <v>46225.64583</v>
      </c>
      <c r="F66" s="1">
        <f>IFERROR(__xludf.DUMMYFUNCTION("""COMPUTED_VALUE"""),430.8)</f>
        <v>430.8</v>
      </c>
      <c r="G66" s="1"/>
      <c r="H66" s="29">
        <f t="shared" si="4"/>
        <v>3.1545961</v>
      </c>
      <c r="I66" s="1">
        <f t="shared" si="5"/>
        <v>928.2</v>
      </c>
      <c r="J66" s="245">
        <f t="shared" si="6"/>
        <v>0.553088049</v>
      </c>
      <c r="K66" s="246">
        <f t="shared" si="7"/>
        <v>3.1545961</v>
      </c>
      <c r="L66" s="65">
        <f t="shared" si="8"/>
        <v>1364.43</v>
      </c>
      <c r="M66" s="25">
        <f t="shared" si="9"/>
        <v>-0.003995584989</v>
      </c>
      <c r="N66" s="65">
        <f t="shared" si="10"/>
        <v>431.4825</v>
      </c>
      <c r="O66" s="25">
        <f t="shared" si="11"/>
        <v>-0.001584261838</v>
      </c>
      <c r="P66" s="25">
        <f t="shared" si="12"/>
        <v>-0.002411323151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IFERROR(__xludf.DUMMYFUNCTION("""COMPUTED_VALUE"""),46226.64583333333)</f>
        <v>46226.64583</v>
      </c>
      <c r="C67" s="1">
        <f>IFERROR(__xludf.DUMMYFUNCTION("""COMPUTED_VALUE"""),1333.9)</f>
        <v>1333.9</v>
      </c>
      <c r="D67" s="1"/>
      <c r="E67" s="112">
        <f>IFERROR(__xludf.DUMMYFUNCTION("""COMPUTED_VALUE"""),46226.64583333333)</f>
        <v>46226.64583</v>
      </c>
      <c r="F67" s="1">
        <f>IFERROR(__xludf.DUMMYFUNCTION("""COMPUTED_VALUE"""),423.55)</f>
        <v>423.55</v>
      </c>
      <c r="G67" s="1"/>
      <c r="H67" s="29">
        <f t="shared" si="4"/>
        <v>3.149333019</v>
      </c>
      <c r="I67" s="1">
        <f t="shared" si="5"/>
        <v>910.35</v>
      </c>
      <c r="J67" s="245">
        <f t="shared" si="6"/>
        <v>0.04755589583</v>
      </c>
      <c r="K67" s="246">
        <f t="shared" si="7"/>
        <v>3.149333019</v>
      </c>
      <c r="L67" s="65">
        <f t="shared" si="8"/>
        <v>1363.775</v>
      </c>
      <c r="M67" s="25">
        <f t="shared" si="9"/>
        <v>-0.02239673139</v>
      </c>
      <c r="N67" s="65">
        <f t="shared" si="10"/>
        <v>431.3175</v>
      </c>
      <c r="O67" s="25">
        <f t="shared" si="11"/>
        <v>-0.01833903907</v>
      </c>
      <c r="P67" s="25">
        <f t="shared" si="12"/>
        <v>-0.004057692315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IFERROR(__xludf.DUMMYFUNCTION("""COMPUTED_VALUE"""),46227.64583333333)</f>
        <v>46227.64583</v>
      </c>
      <c r="C68" s="1">
        <f>IFERROR(__xludf.DUMMYFUNCTION("""COMPUTED_VALUE"""),1340.9)</f>
        <v>1340.9</v>
      </c>
      <c r="D68" s="1"/>
      <c r="E68" s="112">
        <f>IFERROR(__xludf.DUMMYFUNCTION("""COMPUTED_VALUE"""),46227.64583333333)</f>
        <v>46227.64583</v>
      </c>
      <c r="F68" s="1">
        <f>IFERROR(__xludf.DUMMYFUNCTION("""COMPUTED_VALUE"""),425.15)</f>
        <v>425.15</v>
      </c>
      <c r="G68" s="1"/>
      <c r="H68" s="29">
        <f t="shared" si="4"/>
        <v>3.153945666</v>
      </c>
      <c r="I68" s="1">
        <f t="shared" si="5"/>
        <v>915.75</v>
      </c>
      <c r="J68" s="245">
        <f t="shared" si="6"/>
        <v>0.2004899926</v>
      </c>
      <c r="K68" s="246">
        <f t="shared" si="7"/>
        <v>3.153945666</v>
      </c>
      <c r="L68" s="65">
        <f t="shared" si="8"/>
        <v>1363.925</v>
      </c>
      <c r="M68" s="25">
        <f t="shared" si="9"/>
        <v>-0.01717130286</v>
      </c>
      <c r="N68" s="65">
        <f t="shared" si="10"/>
        <v>431.3875</v>
      </c>
      <c r="O68" s="25">
        <f t="shared" si="11"/>
        <v>-0.01467129249</v>
      </c>
      <c r="P68" s="25">
        <f t="shared" si="12"/>
        <v>-0.002500010371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IFERROR(__xludf.DUMMYFUNCTION("""COMPUTED_VALUE"""),46230.64583333333)</f>
        <v>46230.64583</v>
      </c>
      <c r="C69" s="1">
        <f>IFERROR(__xludf.DUMMYFUNCTION("""COMPUTED_VALUE"""),1358.1)</f>
        <v>1358.1</v>
      </c>
      <c r="D69" s="1"/>
      <c r="E69" s="112">
        <f>IFERROR(__xludf.DUMMYFUNCTION("""COMPUTED_VALUE"""),46230.64583333333)</f>
        <v>46230.64583</v>
      </c>
      <c r="F69" s="1">
        <f>IFERROR(__xludf.DUMMYFUNCTION("""COMPUTED_VALUE"""),430.95)</f>
        <v>430.95</v>
      </c>
      <c r="G69" s="1"/>
      <c r="H69" s="29">
        <f t="shared" si="4"/>
        <v>3.151409676</v>
      </c>
      <c r="I69" s="1">
        <f t="shared" si="5"/>
        <v>927.15</v>
      </c>
      <c r="J69" s="245">
        <f t="shared" si="6"/>
        <v>0.5233508635</v>
      </c>
      <c r="K69" s="246">
        <f t="shared" si="7"/>
        <v>3.151409676</v>
      </c>
      <c r="L69" s="65">
        <f t="shared" si="8"/>
        <v>1365.16</v>
      </c>
      <c r="M69" s="25">
        <f t="shared" si="9"/>
        <v>-0.005198438996</v>
      </c>
      <c r="N69" s="65">
        <f t="shared" si="10"/>
        <v>431.7225</v>
      </c>
      <c r="O69" s="25">
        <f t="shared" si="11"/>
        <v>-0.00179255134</v>
      </c>
      <c r="P69" s="25">
        <f t="shared" si="12"/>
        <v>-0.003405887656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IFERROR(__xludf.DUMMYFUNCTION("""COMPUTED_VALUE"""),46231.64583333333)</f>
        <v>46231.64583</v>
      </c>
      <c r="C70" s="1">
        <f>IFERROR(__xludf.DUMMYFUNCTION("""COMPUTED_VALUE"""),1341.8)</f>
        <v>1341.8</v>
      </c>
      <c r="D70" s="1"/>
      <c r="E70" s="112">
        <f>IFERROR(__xludf.DUMMYFUNCTION("""COMPUTED_VALUE"""),46231.64583333333)</f>
        <v>46231.64583</v>
      </c>
      <c r="F70" s="1">
        <f>IFERROR(__xludf.DUMMYFUNCTION("""COMPUTED_VALUE"""),426.0)</f>
        <v>426</v>
      </c>
      <c r="G70" s="1"/>
      <c r="H70" s="29">
        <f t="shared" si="4"/>
        <v>3.149765258</v>
      </c>
      <c r="I70" s="1">
        <f t="shared" si="5"/>
        <v>915.8</v>
      </c>
      <c r="J70" s="245">
        <f t="shared" si="6"/>
        <v>0.201906049</v>
      </c>
      <c r="K70" s="246">
        <f t="shared" si="7"/>
        <v>3.149765258</v>
      </c>
      <c r="L70" s="65">
        <f t="shared" si="8"/>
        <v>1365.89</v>
      </c>
      <c r="M70" s="25">
        <f t="shared" si="9"/>
        <v>-0.0179534953</v>
      </c>
      <c r="N70" s="65">
        <f t="shared" si="10"/>
        <v>431.93</v>
      </c>
      <c r="O70" s="25">
        <f t="shared" si="11"/>
        <v>-0.01392018779</v>
      </c>
      <c r="P70" s="25">
        <f t="shared" si="12"/>
        <v>-0.004033307511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IFERROR(__xludf.DUMMYFUNCTION("""COMPUTED_VALUE"""),46232.64583333333)</f>
        <v>46232.64583</v>
      </c>
      <c r="C71" s="1">
        <f>IFERROR(__xludf.DUMMYFUNCTION("""COMPUTED_VALUE"""),1370.8)</f>
        <v>1370.8</v>
      </c>
      <c r="D71" s="1"/>
      <c r="E71" s="112">
        <f>IFERROR(__xludf.DUMMYFUNCTION("""COMPUTED_VALUE"""),46232.64583333333)</f>
        <v>46232.64583</v>
      </c>
      <c r="F71" s="1">
        <f>IFERROR(__xludf.DUMMYFUNCTION("""COMPUTED_VALUE"""),435.3)</f>
        <v>435.3</v>
      </c>
      <c r="G71" s="1"/>
      <c r="H71" s="29">
        <f t="shared" si="4"/>
        <v>3.14909258</v>
      </c>
      <c r="I71" s="1">
        <f t="shared" si="5"/>
        <v>935.5</v>
      </c>
      <c r="J71" s="245">
        <f t="shared" si="6"/>
        <v>0.7598322909</v>
      </c>
      <c r="K71" s="246">
        <f t="shared" si="7"/>
        <v>3.14909258</v>
      </c>
      <c r="L71" s="65">
        <f t="shared" si="8"/>
        <v>1367.82</v>
      </c>
      <c r="M71" s="25">
        <f t="shared" si="9"/>
        <v>0.002173913043</v>
      </c>
      <c r="N71" s="65">
        <f t="shared" si="10"/>
        <v>432.7525</v>
      </c>
      <c r="O71" s="25">
        <f t="shared" si="11"/>
        <v>0.00585228578</v>
      </c>
      <c r="P71" s="25">
        <f t="shared" si="12"/>
        <v>-0.003678372736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IFERROR(__xludf.DUMMYFUNCTION("""COMPUTED_VALUE"""),46233.64583333333)</f>
        <v>46233.64583</v>
      </c>
      <c r="C72" s="1">
        <f>IFERROR(__xludf.DUMMYFUNCTION("""COMPUTED_VALUE"""),1356.5)</f>
        <v>1356.5</v>
      </c>
      <c r="D72" s="1"/>
      <c r="E72" s="112">
        <f>IFERROR(__xludf.DUMMYFUNCTION("""COMPUTED_VALUE"""),46233.64583333333)</f>
        <v>46233.64583</v>
      </c>
      <c r="F72" s="1">
        <f>IFERROR(__xludf.DUMMYFUNCTION("""COMPUTED_VALUE"""),434.2)</f>
        <v>434.2</v>
      </c>
      <c r="G72" s="1"/>
      <c r="H72" s="29">
        <f t="shared" si="4"/>
        <v>3.124136343</v>
      </c>
      <c r="I72" s="1">
        <f t="shared" si="5"/>
        <v>922.3</v>
      </c>
      <c r="J72" s="245">
        <f t="shared" si="6"/>
        <v>0.3859933877</v>
      </c>
      <c r="K72" s="246">
        <f t="shared" si="7"/>
        <v>3.124136343</v>
      </c>
      <c r="L72" s="65">
        <f t="shared" si="8"/>
        <v>1368.11</v>
      </c>
      <c r="M72" s="25">
        <f t="shared" si="9"/>
        <v>-0.008558791006</v>
      </c>
      <c r="N72" s="65">
        <f t="shared" si="10"/>
        <v>433.015</v>
      </c>
      <c r="O72" s="25">
        <f t="shared" si="11"/>
        <v>0.00272915707</v>
      </c>
      <c r="P72" s="25">
        <f t="shared" si="12"/>
        <v>-0.01128794808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IFERROR(__xludf.DUMMYFUNCTION("""COMPUTED_VALUE"""),46234.64583333333)</f>
        <v>46234.64583</v>
      </c>
      <c r="C73" s="1">
        <f>IFERROR(__xludf.DUMMYFUNCTION("""COMPUTED_VALUE"""),1357.4)</f>
        <v>1357.4</v>
      </c>
      <c r="D73" s="1"/>
      <c r="E73" s="112">
        <f>IFERROR(__xludf.DUMMYFUNCTION("""COMPUTED_VALUE"""),46234.64583333333)</f>
        <v>46234.64583</v>
      </c>
      <c r="F73" s="1">
        <f>IFERROR(__xludf.DUMMYFUNCTION("""COMPUTED_VALUE"""),432.2)</f>
        <v>432.2</v>
      </c>
      <c r="G73" s="1"/>
      <c r="H73" s="29">
        <f t="shared" si="4"/>
        <v>3.140675613</v>
      </c>
      <c r="I73" s="1">
        <f t="shared" si="5"/>
        <v>925.2</v>
      </c>
      <c r="J73" s="245">
        <f t="shared" si="6"/>
        <v>0.4681246619</v>
      </c>
      <c r="K73" s="246">
        <f t="shared" si="7"/>
        <v>3.140675613</v>
      </c>
      <c r="L73" s="65">
        <f t="shared" si="8"/>
        <v>1366.29</v>
      </c>
      <c r="M73" s="25">
        <f t="shared" si="9"/>
        <v>-0.006549285399</v>
      </c>
      <c r="N73" s="65">
        <f t="shared" si="10"/>
        <v>432.455</v>
      </c>
      <c r="O73" s="25">
        <f t="shared" si="11"/>
        <v>-0.0005900046275</v>
      </c>
      <c r="P73" s="25">
        <f t="shared" si="12"/>
        <v>-0.005959280771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IFERROR(__xludf.DUMMYFUNCTION("""COMPUTED_VALUE"""),46237.64583333333)</f>
        <v>46237.64583</v>
      </c>
      <c r="C74" s="1">
        <f>IFERROR(__xludf.DUMMYFUNCTION("""COMPUTED_VALUE"""),1398.0)</f>
        <v>1398</v>
      </c>
      <c r="D74" s="1"/>
      <c r="E74" s="112">
        <f>IFERROR(__xludf.DUMMYFUNCTION("""COMPUTED_VALUE"""),46237.64583333333)</f>
        <v>46237.64583</v>
      </c>
      <c r="F74" s="1">
        <f>IFERROR(__xludf.DUMMYFUNCTION("""COMPUTED_VALUE"""),444.0)</f>
        <v>444</v>
      </c>
      <c r="G74" s="1"/>
      <c r="H74" s="29">
        <f t="shared" si="4"/>
        <v>3.148648649</v>
      </c>
      <c r="I74" s="1">
        <f t="shared" si="5"/>
        <v>954</v>
      </c>
      <c r="J74" s="245">
        <f t="shared" si="6"/>
        <v>1.283773178</v>
      </c>
      <c r="K74" s="246">
        <f t="shared" si="7"/>
        <v>3.148648649</v>
      </c>
      <c r="L74" s="65">
        <f t="shared" si="8"/>
        <v>1366.335</v>
      </c>
      <c r="M74" s="25">
        <f t="shared" si="9"/>
        <v>0.02265021459</v>
      </c>
      <c r="N74" s="65">
        <f t="shared" si="10"/>
        <v>432.585</v>
      </c>
      <c r="O74" s="25">
        <f t="shared" si="11"/>
        <v>0.02570945946</v>
      </c>
      <c r="P74" s="25">
        <f t="shared" si="12"/>
        <v>-0.003059244867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IFERROR(__xludf.DUMMYFUNCTION("""COMPUTED_VALUE"""),46238.64583333333)</f>
        <v>46238.64583</v>
      </c>
      <c r="C75" s="1">
        <f>IFERROR(__xludf.DUMMYFUNCTION("""COMPUTED_VALUE"""),1384.7)</f>
        <v>1384.7</v>
      </c>
      <c r="D75" s="1"/>
      <c r="E75" s="112">
        <f>IFERROR(__xludf.DUMMYFUNCTION("""COMPUTED_VALUE"""),46238.64583333333)</f>
        <v>46238.64583</v>
      </c>
      <c r="F75" s="1">
        <f>IFERROR(__xludf.DUMMYFUNCTION("""COMPUTED_VALUE"""),436.05)</f>
        <v>436.05</v>
      </c>
      <c r="G75" s="1"/>
      <c r="H75" s="29">
        <f t="shared" si="4"/>
        <v>3.175553262</v>
      </c>
      <c r="I75" s="1">
        <f t="shared" si="5"/>
        <v>948.65</v>
      </c>
      <c r="J75" s="245">
        <f t="shared" si="6"/>
        <v>1.132255138</v>
      </c>
      <c r="K75" s="246">
        <f t="shared" si="7"/>
        <v>3.175553262</v>
      </c>
      <c r="L75" s="65">
        <f t="shared" si="8"/>
        <v>1366.35</v>
      </c>
      <c r="M75" s="25">
        <f t="shared" si="9"/>
        <v>0.01325196794</v>
      </c>
      <c r="N75" s="65">
        <f t="shared" si="10"/>
        <v>432.5925</v>
      </c>
      <c r="O75" s="25">
        <f t="shared" si="11"/>
        <v>0.007929136567</v>
      </c>
      <c r="P75" s="25">
        <f t="shared" si="12"/>
        <v>0.005322831368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IFERROR(__xludf.DUMMYFUNCTION("""COMPUTED_VALUE"""),46239.64583333333)</f>
        <v>46239.64583</v>
      </c>
      <c r="C76" s="1">
        <f>IFERROR(__xludf.DUMMYFUNCTION("""COMPUTED_VALUE"""),1394.0)</f>
        <v>1394</v>
      </c>
      <c r="D76" s="1"/>
      <c r="E76" s="112">
        <f>IFERROR(__xludf.DUMMYFUNCTION("""COMPUTED_VALUE"""),46239.64583333333)</f>
        <v>46239.64583</v>
      </c>
      <c r="F76" s="1">
        <f>IFERROR(__xludf.DUMMYFUNCTION("""COMPUTED_VALUE"""),445.0)</f>
        <v>445</v>
      </c>
      <c r="G76" s="1"/>
      <c r="H76" s="29">
        <f t="shared" si="4"/>
        <v>3.13258427</v>
      </c>
      <c r="I76" s="1">
        <f t="shared" si="5"/>
        <v>949</v>
      </c>
      <c r="J76" s="245">
        <f t="shared" si="6"/>
        <v>1.142167533</v>
      </c>
      <c r="K76" s="246">
        <f t="shared" si="7"/>
        <v>3.13258427</v>
      </c>
      <c r="L76" s="65">
        <f t="shared" si="8"/>
        <v>1369.295</v>
      </c>
      <c r="M76" s="25">
        <f t="shared" si="9"/>
        <v>0.01772238164</v>
      </c>
      <c r="N76" s="65">
        <f t="shared" si="10"/>
        <v>433.7875</v>
      </c>
      <c r="O76" s="25">
        <f t="shared" si="11"/>
        <v>0.02519662921</v>
      </c>
      <c r="P76" s="25">
        <f t="shared" si="12"/>
        <v>-0.007474247578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IFERROR(__xludf.DUMMYFUNCTION("""COMPUTED_VALUE"""),46240.64583333333)</f>
        <v>46240.64583</v>
      </c>
      <c r="C77" s="1">
        <f>IFERROR(__xludf.DUMMYFUNCTION("""COMPUTED_VALUE"""),1378.4)</f>
        <v>1378.4</v>
      </c>
      <c r="D77" s="1"/>
      <c r="E77" s="112">
        <f>IFERROR(__xludf.DUMMYFUNCTION("""COMPUTED_VALUE"""),46240.64583333333)</f>
        <v>46240.64583</v>
      </c>
      <c r="F77" s="1">
        <f>IFERROR(__xludf.DUMMYFUNCTION("""COMPUTED_VALUE"""),436.5)</f>
        <v>436.5</v>
      </c>
      <c r="G77" s="1"/>
      <c r="H77" s="29">
        <f t="shared" si="4"/>
        <v>3.157846506</v>
      </c>
      <c r="I77" s="1">
        <f t="shared" si="5"/>
        <v>941.9</v>
      </c>
      <c r="J77" s="245">
        <f t="shared" si="6"/>
        <v>0.9410875167</v>
      </c>
      <c r="K77" s="246">
        <f t="shared" si="7"/>
        <v>3.157846506</v>
      </c>
      <c r="L77" s="65">
        <f t="shared" si="8"/>
        <v>1370.105</v>
      </c>
      <c r="M77" s="25">
        <f t="shared" si="9"/>
        <v>0.006017846779</v>
      </c>
      <c r="N77" s="65">
        <f t="shared" si="10"/>
        <v>434.205</v>
      </c>
      <c r="O77" s="25">
        <f t="shared" si="11"/>
        <v>0.005257731959</v>
      </c>
      <c r="P77" s="25">
        <f t="shared" si="12"/>
        <v>0.0007601148201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IFERROR(__xludf.DUMMYFUNCTION("""COMPUTED_VALUE"""),46241.64583333333)</f>
        <v>46241.64583</v>
      </c>
      <c r="C78" s="1">
        <f>IFERROR(__xludf.DUMMYFUNCTION("""COMPUTED_VALUE"""),1362.8)</f>
        <v>1362.8</v>
      </c>
      <c r="D78" s="1"/>
      <c r="E78" s="112">
        <f>IFERROR(__xludf.DUMMYFUNCTION("""COMPUTED_VALUE"""),46241.64583333333)</f>
        <v>46241.64583</v>
      </c>
      <c r="F78" s="1">
        <f>IFERROR(__xludf.DUMMYFUNCTION("""COMPUTED_VALUE"""),434.0)</f>
        <v>434</v>
      </c>
      <c r="G78" s="1"/>
      <c r="H78" s="29">
        <f t="shared" si="4"/>
        <v>3.140092166</v>
      </c>
      <c r="I78" s="1">
        <f t="shared" si="5"/>
        <v>928.8</v>
      </c>
      <c r="J78" s="245">
        <f t="shared" si="6"/>
        <v>0.5700807264</v>
      </c>
      <c r="K78" s="246">
        <f t="shared" si="7"/>
        <v>3.140092166</v>
      </c>
      <c r="L78" s="65">
        <f t="shared" si="8"/>
        <v>1369.02</v>
      </c>
      <c r="M78" s="25">
        <f t="shared" si="9"/>
        <v>-0.004564132668</v>
      </c>
      <c r="N78" s="65">
        <f t="shared" si="10"/>
        <v>434.0825</v>
      </c>
      <c r="O78" s="25">
        <f t="shared" si="11"/>
        <v>-0.0001900921659</v>
      </c>
      <c r="P78" s="25">
        <f t="shared" si="12"/>
        <v>-0.004374040502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IFERROR(__xludf.DUMMYFUNCTION("""COMPUTED_VALUE"""),46244.64583333333)</f>
        <v>46244.64583</v>
      </c>
      <c r="C79" s="1">
        <f>IFERROR(__xludf.DUMMYFUNCTION("""COMPUTED_VALUE"""),1357.6)</f>
        <v>1357.6</v>
      </c>
      <c r="D79" s="1"/>
      <c r="E79" s="112">
        <f>IFERROR(__xludf.DUMMYFUNCTION("""COMPUTED_VALUE"""),46244.64583333333)</f>
        <v>46244.64583</v>
      </c>
      <c r="F79" s="1">
        <f>IFERROR(__xludf.DUMMYFUNCTION("""COMPUTED_VALUE"""),430.85)</f>
        <v>430.85</v>
      </c>
      <c r="G79" s="1"/>
      <c r="H79" s="29">
        <f t="shared" si="4"/>
        <v>3.15098062</v>
      </c>
      <c r="I79" s="1">
        <f t="shared" si="5"/>
        <v>926.75</v>
      </c>
      <c r="J79" s="245">
        <f t="shared" si="6"/>
        <v>0.5120224119</v>
      </c>
      <c r="K79" s="246">
        <f t="shared" si="7"/>
        <v>3.15098062</v>
      </c>
      <c r="L79" s="65">
        <f t="shared" si="8"/>
        <v>1367.96</v>
      </c>
      <c r="M79" s="25">
        <f t="shared" si="9"/>
        <v>-0.00763111373</v>
      </c>
      <c r="N79" s="65">
        <f t="shared" si="10"/>
        <v>434.0175</v>
      </c>
      <c r="O79" s="25">
        <f t="shared" si="11"/>
        <v>-0.007351746548</v>
      </c>
      <c r="P79" s="25">
        <f t="shared" si="12"/>
        <v>-0.0002793671826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IFERROR(__xludf.DUMMYFUNCTION("""COMPUTED_VALUE"""),46245.64583333333)</f>
        <v>46245.64583</v>
      </c>
      <c r="C80" s="1">
        <f>IFERROR(__xludf.DUMMYFUNCTION("""COMPUTED_VALUE"""),1339.8)</f>
        <v>1339.8</v>
      </c>
      <c r="D80" s="1"/>
      <c r="E80" s="112">
        <f>IFERROR(__xludf.DUMMYFUNCTION("""COMPUTED_VALUE"""),46245.64583333333)</f>
        <v>46245.64583</v>
      </c>
      <c r="F80" s="1">
        <f>IFERROR(__xludf.DUMMYFUNCTION("""COMPUTED_VALUE"""),424.0)</f>
        <v>424</v>
      </c>
      <c r="G80" s="1"/>
      <c r="H80" s="29">
        <f t="shared" si="4"/>
        <v>3.15990566</v>
      </c>
      <c r="I80" s="1">
        <f t="shared" si="5"/>
        <v>915.8</v>
      </c>
      <c r="J80" s="245">
        <f t="shared" si="6"/>
        <v>0.201906049</v>
      </c>
      <c r="K80" s="246">
        <f t="shared" si="7"/>
        <v>3.15990566</v>
      </c>
      <c r="L80" s="65">
        <f t="shared" si="8"/>
        <v>1366.855</v>
      </c>
      <c r="M80" s="25">
        <f t="shared" si="9"/>
        <v>-0.02019331243</v>
      </c>
      <c r="N80" s="65">
        <f t="shared" si="10"/>
        <v>433.7275</v>
      </c>
      <c r="O80" s="25">
        <f t="shared" si="11"/>
        <v>-0.02294221698</v>
      </c>
      <c r="P80" s="25">
        <f t="shared" si="12"/>
        <v>0.002748904546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IFERROR(__xludf.DUMMYFUNCTION("""COMPUTED_VALUE"""),46246.64583333333)</f>
        <v>46246.64583</v>
      </c>
      <c r="C81" s="1">
        <f>IFERROR(__xludf.DUMMYFUNCTION("""COMPUTED_VALUE"""),1332.8)</f>
        <v>1332.8</v>
      </c>
      <c r="D81" s="1"/>
      <c r="E81" s="112">
        <f>IFERROR(__xludf.DUMMYFUNCTION("""COMPUTED_VALUE"""),46246.64583333333)</f>
        <v>46246.64583</v>
      </c>
      <c r="F81" s="1">
        <f>IFERROR(__xludf.DUMMYFUNCTION("""COMPUTED_VALUE"""),421.0)</f>
        <v>421</v>
      </c>
      <c r="G81" s="1"/>
      <c r="H81" s="29">
        <f t="shared" si="4"/>
        <v>3.165795724</v>
      </c>
      <c r="I81" s="1">
        <f t="shared" si="5"/>
        <v>911.8</v>
      </c>
      <c r="J81" s="245">
        <f t="shared" si="6"/>
        <v>0.08862153292</v>
      </c>
      <c r="K81" s="246">
        <f t="shared" si="7"/>
        <v>3.165795724</v>
      </c>
      <c r="L81" s="65">
        <f t="shared" si="8"/>
        <v>1364.335</v>
      </c>
      <c r="M81" s="25">
        <f t="shared" si="9"/>
        <v>-0.02366071429</v>
      </c>
      <c r="N81" s="65">
        <f t="shared" si="10"/>
        <v>433.015</v>
      </c>
      <c r="O81" s="25">
        <f t="shared" si="11"/>
        <v>-0.0285391924</v>
      </c>
      <c r="P81" s="25">
        <f t="shared" si="12"/>
        <v>0.004878478113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IFERROR(__xludf.DUMMYFUNCTION("""COMPUTED_VALUE"""),46247.64583333333)</f>
        <v>46247.64583</v>
      </c>
      <c r="C82" s="1">
        <f>IFERROR(__xludf.DUMMYFUNCTION("""COMPUTED_VALUE"""),1324.7)</f>
        <v>1324.7</v>
      </c>
      <c r="D82" s="1"/>
      <c r="E82" s="112">
        <f>IFERROR(__xludf.DUMMYFUNCTION("""COMPUTED_VALUE"""),46247.64583333333)</f>
        <v>46247.64583</v>
      </c>
      <c r="F82" s="1">
        <f>IFERROR(__xludf.DUMMYFUNCTION("""COMPUTED_VALUE"""),419.4)</f>
        <v>419.4</v>
      </c>
      <c r="G82" s="1"/>
      <c r="H82" s="29">
        <f t="shared" si="4"/>
        <v>3.158559847</v>
      </c>
      <c r="I82" s="1">
        <f t="shared" si="5"/>
        <v>905.3</v>
      </c>
      <c r="J82" s="245">
        <f t="shared" si="6"/>
        <v>-0.09546580577</v>
      </c>
      <c r="K82" s="246">
        <f t="shared" si="7"/>
        <v>3.158559847</v>
      </c>
      <c r="L82" s="65">
        <f t="shared" si="8"/>
        <v>1361.905</v>
      </c>
      <c r="M82" s="25">
        <f t="shared" si="9"/>
        <v>-0.02808560429</v>
      </c>
      <c r="N82" s="65">
        <f t="shared" si="10"/>
        <v>432.305</v>
      </c>
      <c r="O82" s="25">
        <f t="shared" si="11"/>
        <v>-0.03077014783</v>
      </c>
      <c r="P82" s="25">
        <f t="shared" si="12"/>
        <v>0.002684543542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IFERROR(__xludf.DUMMYFUNCTION("""COMPUTED_VALUE"""),46248.64583333333)</f>
        <v>46248.64583</v>
      </c>
      <c r="C83" s="1">
        <f>IFERROR(__xludf.DUMMYFUNCTION("""COMPUTED_VALUE"""),1321.4)</f>
        <v>1321.4</v>
      </c>
      <c r="D83" s="1"/>
      <c r="E83" s="112">
        <f>IFERROR(__xludf.DUMMYFUNCTION("""COMPUTED_VALUE"""),46248.64583333333)</f>
        <v>46248.64583</v>
      </c>
      <c r="F83" s="1">
        <f>IFERROR(__xludf.DUMMYFUNCTION("""COMPUTED_VALUE"""),417.5)</f>
        <v>417.5</v>
      </c>
      <c r="G83" s="1"/>
      <c r="H83" s="29">
        <f t="shared" si="4"/>
        <v>3.16502994</v>
      </c>
      <c r="I83" s="1">
        <f t="shared" si="5"/>
        <v>903.9</v>
      </c>
      <c r="J83" s="245">
        <f t="shared" si="6"/>
        <v>-0.1351153864</v>
      </c>
      <c r="K83" s="246">
        <f t="shared" si="7"/>
        <v>3.16502994</v>
      </c>
      <c r="L83" s="65">
        <f t="shared" si="8"/>
        <v>1359.09</v>
      </c>
      <c r="M83" s="25">
        <f t="shared" si="9"/>
        <v>-0.02852277887</v>
      </c>
      <c r="N83" s="65">
        <f t="shared" si="10"/>
        <v>431.255</v>
      </c>
      <c r="O83" s="25">
        <f t="shared" si="11"/>
        <v>-0.03294610778</v>
      </c>
      <c r="P83" s="25">
        <f t="shared" si="12"/>
        <v>0.004423328914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IFERROR(__xludf.DUMMYFUNCTION("""COMPUTED_VALUE"""),46251.64583333333)</f>
        <v>46251.64583</v>
      </c>
      <c r="C84" s="1">
        <f>IFERROR(__xludf.DUMMYFUNCTION("""COMPUTED_VALUE"""),1316.6)</f>
        <v>1316.6</v>
      </c>
      <c r="D84" s="1"/>
      <c r="E84" s="112">
        <f>IFERROR(__xludf.DUMMYFUNCTION("""COMPUTED_VALUE"""),46251.64583333333)</f>
        <v>46251.64583</v>
      </c>
      <c r="F84" s="1">
        <f>IFERROR(__xludf.DUMMYFUNCTION("""COMPUTED_VALUE"""),415.25)</f>
        <v>415.25</v>
      </c>
      <c r="G84" s="1"/>
      <c r="H84" s="29">
        <f t="shared" si="4"/>
        <v>3.170620108</v>
      </c>
      <c r="I84" s="1">
        <f t="shared" si="5"/>
        <v>901.35</v>
      </c>
      <c r="J84" s="245">
        <f t="shared" si="6"/>
        <v>-0.2073342654</v>
      </c>
      <c r="K84" s="246">
        <f t="shared" si="7"/>
        <v>3.170620108</v>
      </c>
      <c r="L84" s="65">
        <f t="shared" si="8"/>
        <v>1355.85</v>
      </c>
      <c r="M84" s="25">
        <f t="shared" si="9"/>
        <v>-0.02981163603</v>
      </c>
      <c r="N84" s="65">
        <f t="shared" si="10"/>
        <v>430.1275</v>
      </c>
      <c r="O84" s="25">
        <f t="shared" si="11"/>
        <v>-0.03582781457</v>
      </c>
      <c r="P84" s="25">
        <f t="shared" si="12"/>
        <v>0.006016178537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IFERROR(__xludf.DUMMYFUNCTION("""COMPUTED_VALUE"""),46252.64583333333)</f>
        <v>46252.64583</v>
      </c>
      <c r="C85" s="1">
        <f>IFERROR(__xludf.DUMMYFUNCTION("""COMPUTED_VALUE"""),1303.8)</f>
        <v>1303.8</v>
      </c>
      <c r="D85" s="1"/>
      <c r="E85" s="112">
        <f>IFERROR(__xludf.DUMMYFUNCTION("""COMPUTED_VALUE"""),46252.64583333333)</f>
        <v>46252.64583</v>
      </c>
      <c r="F85" s="1">
        <f>IFERROR(__xludf.DUMMYFUNCTION("""COMPUTED_VALUE"""),412.4)</f>
        <v>412.4</v>
      </c>
      <c r="G85" s="1"/>
      <c r="H85" s="29">
        <f t="shared" si="4"/>
        <v>3.161493695</v>
      </c>
      <c r="I85" s="1">
        <f t="shared" si="5"/>
        <v>891.4</v>
      </c>
      <c r="J85" s="245">
        <f t="shared" si="6"/>
        <v>-0.4891294993</v>
      </c>
      <c r="K85" s="246">
        <f t="shared" si="7"/>
        <v>3.161493695</v>
      </c>
      <c r="L85" s="65">
        <f t="shared" si="8"/>
        <v>1351.65</v>
      </c>
      <c r="M85" s="25">
        <f t="shared" si="9"/>
        <v>-0.03670041417</v>
      </c>
      <c r="N85" s="65">
        <f t="shared" si="10"/>
        <v>428.705</v>
      </c>
      <c r="O85" s="25">
        <f t="shared" si="11"/>
        <v>-0.03953685742</v>
      </c>
      <c r="P85" s="25">
        <f t="shared" si="12"/>
        <v>0.002836443246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IFERROR(__xludf.DUMMYFUNCTION("""COMPUTED_VALUE"""),46253.64583333333)</f>
        <v>46253.64583</v>
      </c>
      <c r="C86" s="1">
        <f>IFERROR(__xludf.DUMMYFUNCTION("""COMPUTED_VALUE"""),1288.7)</f>
        <v>1288.7</v>
      </c>
      <c r="D86" s="1"/>
      <c r="E86" s="112">
        <f>IFERROR(__xludf.DUMMYFUNCTION("""COMPUTED_VALUE"""),46253.64583333333)</f>
        <v>46253.64583</v>
      </c>
      <c r="F86" s="1">
        <f>IFERROR(__xludf.DUMMYFUNCTION("""COMPUTED_VALUE"""),407.5)</f>
        <v>407.5</v>
      </c>
      <c r="G86" s="1"/>
      <c r="H86" s="29">
        <f t="shared" si="4"/>
        <v>3.162453988</v>
      </c>
      <c r="I86" s="1">
        <f t="shared" si="5"/>
        <v>881.2</v>
      </c>
      <c r="J86" s="245">
        <f t="shared" si="6"/>
        <v>-0.7780050154</v>
      </c>
      <c r="K86" s="246">
        <f t="shared" si="7"/>
        <v>3.162453988</v>
      </c>
      <c r="L86" s="65">
        <f t="shared" si="8"/>
        <v>1348.135</v>
      </c>
      <c r="M86" s="25">
        <f t="shared" si="9"/>
        <v>-0.04612012105</v>
      </c>
      <c r="N86" s="65">
        <f t="shared" si="10"/>
        <v>427.54</v>
      </c>
      <c r="O86" s="25">
        <f t="shared" si="11"/>
        <v>-0.04917791411</v>
      </c>
      <c r="P86" s="25">
        <f t="shared" si="12"/>
        <v>0.003057793058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IFERROR(__xludf.DUMMYFUNCTION("""COMPUTED_VALUE"""),46254.64583333333)</f>
        <v>46254.64583</v>
      </c>
      <c r="C87" s="1">
        <f>IFERROR(__xludf.DUMMYFUNCTION("""COMPUTED_VALUE"""),1301.1)</f>
        <v>1301.1</v>
      </c>
      <c r="D87" s="1"/>
      <c r="E87" s="112">
        <f>IFERROR(__xludf.DUMMYFUNCTION("""COMPUTED_VALUE"""),46254.64583333333)</f>
        <v>46254.64583</v>
      </c>
      <c r="F87" s="1">
        <f>IFERROR(__xludf.DUMMYFUNCTION("""COMPUTED_VALUE"""),411.0)</f>
        <v>411</v>
      </c>
      <c r="G87" s="1"/>
      <c r="H87" s="29">
        <f t="shared" si="4"/>
        <v>3.165693431</v>
      </c>
      <c r="I87" s="1">
        <f t="shared" si="5"/>
        <v>890.1</v>
      </c>
      <c r="J87" s="245">
        <f t="shared" si="6"/>
        <v>-0.525946967</v>
      </c>
      <c r="K87" s="246">
        <f t="shared" si="7"/>
        <v>3.165693431</v>
      </c>
      <c r="L87" s="65">
        <f t="shared" si="8"/>
        <v>1346.495</v>
      </c>
      <c r="M87" s="25">
        <f t="shared" si="9"/>
        <v>-0.03488970871</v>
      </c>
      <c r="N87" s="65">
        <f t="shared" si="10"/>
        <v>426.9125</v>
      </c>
      <c r="O87" s="25">
        <f t="shared" si="11"/>
        <v>-0.03871654501</v>
      </c>
      <c r="P87" s="25">
        <f t="shared" si="12"/>
        <v>0.003826836304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IFERROR(__xludf.DUMMYFUNCTION("""COMPUTED_VALUE"""),46255.64583333333)</f>
        <v>46255.64583</v>
      </c>
      <c r="C88" s="1">
        <f>IFERROR(__xludf.DUMMYFUNCTION("""COMPUTED_VALUE"""),1307.4)</f>
        <v>1307.4</v>
      </c>
      <c r="D88" s="1"/>
      <c r="E88" s="112">
        <f>IFERROR(__xludf.DUMMYFUNCTION("""COMPUTED_VALUE"""),46255.64583333333)</f>
        <v>46255.64583</v>
      </c>
      <c r="F88" s="1">
        <f>IFERROR(__xludf.DUMMYFUNCTION("""COMPUTED_VALUE"""),414.5)</f>
        <v>414.5</v>
      </c>
      <c r="G88" s="1"/>
      <c r="H88" s="29">
        <f t="shared" si="4"/>
        <v>3.154161641</v>
      </c>
      <c r="I88" s="1">
        <f t="shared" si="5"/>
        <v>892.9</v>
      </c>
      <c r="J88" s="245">
        <f t="shared" si="6"/>
        <v>-0.4466478057</v>
      </c>
      <c r="K88" s="246">
        <f t="shared" si="7"/>
        <v>3.154161641</v>
      </c>
      <c r="L88" s="65">
        <f t="shared" si="8"/>
        <v>1344.82</v>
      </c>
      <c r="M88" s="25">
        <f t="shared" si="9"/>
        <v>-0.02862169191</v>
      </c>
      <c r="N88" s="65">
        <f t="shared" si="10"/>
        <v>426.38</v>
      </c>
      <c r="O88" s="25">
        <f t="shared" si="11"/>
        <v>-0.02866103739</v>
      </c>
      <c r="P88" s="25">
        <f t="shared" si="12"/>
        <v>0.00003934548685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IFERROR(__xludf.DUMMYFUNCTION("""COMPUTED_VALUE"""),46258.64583333333)</f>
        <v>46258.64583</v>
      </c>
      <c r="C89" s="1">
        <f>IFERROR(__xludf.DUMMYFUNCTION("""COMPUTED_VALUE"""),1300.9)</f>
        <v>1300.9</v>
      </c>
      <c r="D89" s="1"/>
      <c r="E89" s="112">
        <f>IFERROR(__xludf.DUMMYFUNCTION("""COMPUTED_VALUE"""),46258.64583333333)</f>
        <v>46258.64583</v>
      </c>
      <c r="F89" s="1">
        <f>IFERROR(__xludf.DUMMYFUNCTION("""COMPUTED_VALUE"""),408.75)</f>
        <v>408.75</v>
      </c>
      <c r="G89" s="1"/>
      <c r="H89" s="29">
        <f t="shared" si="4"/>
        <v>3.182629969</v>
      </c>
      <c r="I89" s="1">
        <f t="shared" si="5"/>
        <v>892.15</v>
      </c>
      <c r="J89" s="245">
        <f t="shared" si="6"/>
        <v>-0.4678886525</v>
      </c>
      <c r="K89" s="246">
        <f t="shared" si="7"/>
        <v>3.182629969</v>
      </c>
      <c r="L89" s="65">
        <f t="shared" si="8"/>
        <v>1341.96</v>
      </c>
      <c r="M89" s="25">
        <f t="shared" si="9"/>
        <v>-0.03156276424</v>
      </c>
      <c r="N89" s="65">
        <f t="shared" si="10"/>
        <v>425.27</v>
      </c>
      <c r="O89" s="25">
        <f t="shared" si="11"/>
        <v>-0.04041590214</v>
      </c>
      <c r="P89" s="25">
        <f t="shared" si="12"/>
        <v>0.008853137901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IFERROR(__xludf.DUMMYFUNCTION("""COMPUTED_VALUE"""),46259.64583333333)</f>
        <v>46259.64583</v>
      </c>
      <c r="C90" s="1">
        <f>IFERROR(__xludf.DUMMYFUNCTION("""COMPUTED_VALUE"""),1305.9)</f>
        <v>1305.9</v>
      </c>
      <c r="D90" s="25"/>
      <c r="E90" s="112">
        <f>IFERROR(__xludf.DUMMYFUNCTION("""COMPUTED_VALUE"""),46259.64583333333)</f>
        <v>46259.64583</v>
      </c>
      <c r="F90" s="1">
        <f>IFERROR(__xludf.DUMMYFUNCTION("""COMPUTED_VALUE"""),413.1)</f>
        <v>413.1</v>
      </c>
      <c r="G90" s="1"/>
      <c r="H90" s="29">
        <f t="shared" si="4"/>
        <v>3.161220044</v>
      </c>
      <c r="I90" s="1">
        <f t="shared" si="5"/>
        <v>892.8</v>
      </c>
      <c r="J90" s="245">
        <f t="shared" si="6"/>
        <v>-0.4494799187</v>
      </c>
      <c r="K90" s="246">
        <f t="shared" si="7"/>
        <v>3.161220044</v>
      </c>
      <c r="L90" s="65">
        <f t="shared" si="8"/>
        <v>1340.165</v>
      </c>
      <c r="M90" s="25">
        <f t="shared" si="9"/>
        <v>-0.02623860939</v>
      </c>
      <c r="N90" s="65">
        <f t="shared" si="10"/>
        <v>424.625</v>
      </c>
      <c r="O90" s="25">
        <f t="shared" si="11"/>
        <v>-0.02789881385</v>
      </c>
      <c r="P90" s="25">
        <f t="shared" si="12"/>
        <v>0.001660204458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IFERROR(__xludf.DUMMYFUNCTION("""COMPUTED_VALUE"""),46260.64583333333)</f>
        <v>46260.64583</v>
      </c>
      <c r="C91" s="1">
        <f>IFERROR(__xludf.DUMMYFUNCTION("""COMPUTED_VALUE"""),1331.7)</f>
        <v>1331.7</v>
      </c>
      <c r="D91" s="1"/>
      <c r="E91" s="112">
        <f>IFERROR(__xludf.DUMMYFUNCTION("""COMPUTED_VALUE"""),46260.64583333333)</f>
        <v>46260.64583</v>
      </c>
      <c r="F91" s="1">
        <f>IFERROR(__xludf.DUMMYFUNCTION("""COMPUTED_VALUE"""),419.2)</f>
        <v>419.2</v>
      </c>
      <c r="G91" s="1"/>
      <c r="H91" s="29">
        <f t="shared" si="4"/>
        <v>3.176765267</v>
      </c>
      <c r="I91" s="1">
        <f t="shared" si="5"/>
        <v>912.5</v>
      </c>
      <c r="J91" s="245">
        <f t="shared" si="6"/>
        <v>0.1084463232</v>
      </c>
      <c r="K91" s="246">
        <f t="shared" si="7"/>
        <v>3.176765267</v>
      </c>
      <c r="L91" s="65">
        <f t="shared" si="8"/>
        <v>1338.21</v>
      </c>
      <c r="M91" s="25">
        <f t="shared" si="9"/>
        <v>-0.004888488398</v>
      </c>
      <c r="N91" s="65">
        <f t="shared" si="10"/>
        <v>423.82</v>
      </c>
      <c r="O91" s="25">
        <f t="shared" si="11"/>
        <v>-0.01102099237</v>
      </c>
      <c r="P91" s="25">
        <f t="shared" si="12"/>
        <v>0.006132503968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IFERROR(__xludf.DUMMYFUNCTION("""COMPUTED_VALUE"""),46261.64583333333)</f>
        <v>46261.64583</v>
      </c>
      <c r="C92" s="1">
        <f>IFERROR(__xludf.DUMMYFUNCTION("""COMPUTED_VALUE"""),1310.6)</f>
        <v>1310.6</v>
      </c>
      <c r="D92" s="1"/>
      <c r="E92" s="112">
        <f>IFERROR(__xludf.DUMMYFUNCTION("""COMPUTED_VALUE"""),46261.64583333333)</f>
        <v>46261.64583</v>
      </c>
      <c r="F92" s="1">
        <f>IFERROR(__xludf.DUMMYFUNCTION("""COMPUTED_VALUE"""),411.05)</f>
        <v>411.05</v>
      </c>
      <c r="G92" s="1"/>
      <c r="H92" s="29">
        <f t="shared" si="4"/>
        <v>3.1884199</v>
      </c>
      <c r="I92" s="1">
        <f t="shared" si="5"/>
        <v>899.55</v>
      </c>
      <c r="J92" s="245">
        <f t="shared" si="6"/>
        <v>-0.2583122977</v>
      </c>
      <c r="K92" s="246">
        <f t="shared" si="7"/>
        <v>3.1884199</v>
      </c>
      <c r="L92" s="65">
        <f t="shared" si="8"/>
        <v>1335.915</v>
      </c>
      <c r="M92" s="25">
        <f t="shared" si="9"/>
        <v>-0.01931558065</v>
      </c>
      <c r="N92" s="65">
        <f t="shared" si="10"/>
        <v>422.6625</v>
      </c>
      <c r="O92" s="25">
        <f t="shared" si="11"/>
        <v>-0.02825082107</v>
      </c>
      <c r="P92" s="25">
        <f t="shared" si="12"/>
        <v>0.008935240418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IFERROR(__xludf.DUMMYFUNCTION("""COMPUTED_VALUE"""),46262.64583333333)</f>
        <v>46262.64583</v>
      </c>
      <c r="C93" s="1">
        <f>IFERROR(__xludf.DUMMYFUNCTION("""COMPUTED_VALUE"""),1306.4)</f>
        <v>1306.4</v>
      </c>
      <c r="D93" s="1"/>
      <c r="E93" s="112">
        <f>IFERROR(__xludf.DUMMYFUNCTION("""COMPUTED_VALUE"""),46262.64583333333)</f>
        <v>46262.64583</v>
      </c>
      <c r="F93" s="1">
        <f>IFERROR(__xludf.DUMMYFUNCTION("""COMPUTED_VALUE"""),412.05)</f>
        <v>412.05</v>
      </c>
      <c r="G93" s="1"/>
      <c r="H93" s="29">
        <f t="shared" si="4"/>
        <v>3.170489018</v>
      </c>
      <c r="I93" s="1">
        <f t="shared" si="5"/>
        <v>894.35</v>
      </c>
      <c r="J93" s="245">
        <f t="shared" si="6"/>
        <v>-0.4055821687</v>
      </c>
      <c r="K93" s="246">
        <f t="shared" si="7"/>
        <v>3.170489018</v>
      </c>
      <c r="L93" s="65">
        <f t="shared" si="8"/>
        <v>1333.365</v>
      </c>
      <c r="M93" s="25">
        <f t="shared" si="9"/>
        <v>-0.02064069198</v>
      </c>
      <c r="N93" s="65">
        <f t="shared" si="10"/>
        <v>421.655</v>
      </c>
      <c r="O93" s="25">
        <f t="shared" si="11"/>
        <v>-0.02331027788</v>
      </c>
      <c r="P93" s="25">
        <f t="shared" si="12"/>
        <v>0.002669585901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IFERROR(__xludf.DUMMYFUNCTION("""COMPUTED_VALUE"""),46265.64583333333)</f>
        <v>46265.64583</v>
      </c>
      <c r="C94" s="1">
        <f>IFERROR(__xludf.DUMMYFUNCTION("""COMPUTED_VALUE"""),1276.5)</f>
        <v>1276.5</v>
      </c>
      <c r="D94" s="1"/>
      <c r="E94" s="112">
        <f>IFERROR(__xludf.DUMMYFUNCTION("""COMPUTED_VALUE"""),46265.64583333333)</f>
        <v>46265.64583</v>
      </c>
      <c r="F94" s="1">
        <f>IFERROR(__xludf.DUMMYFUNCTION("""COMPUTED_VALUE"""),401.15)</f>
        <v>401.15</v>
      </c>
      <c r="G94" s="1"/>
      <c r="H94" s="29">
        <f t="shared" si="4"/>
        <v>3.182101458</v>
      </c>
      <c r="I94" s="1">
        <f t="shared" si="5"/>
        <v>875.35</v>
      </c>
      <c r="J94" s="245">
        <f t="shared" si="6"/>
        <v>-0.9436836202</v>
      </c>
      <c r="K94" s="246">
        <f t="shared" si="7"/>
        <v>3.182101458</v>
      </c>
      <c r="L94" s="65">
        <f t="shared" si="8"/>
        <v>1327.29</v>
      </c>
      <c r="M94" s="25">
        <f t="shared" si="9"/>
        <v>-0.03978848414</v>
      </c>
      <c r="N94" s="65">
        <f t="shared" si="10"/>
        <v>419.5125</v>
      </c>
      <c r="O94" s="25">
        <f t="shared" si="11"/>
        <v>-0.04577464789</v>
      </c>
      <c r="P94" s="25">
        <f t="shared" si="12"/>
        <v>0.005986163751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B95" s="166">
        <f>IFERROR(__xludf.DUMMYFUNCTION("""COMPUTED_VALUE"""),46266.64583333333)</f>
        <v>46266.64583</v>
      </c>
      <c r="C95" s="1">
        <f>IFERROR(__xludf.DUMMYFUNCTION("""COMPUTED_VALUE"""),1272.3)</f>
        <v>1272.3</v>
      </c>
      <c r="E95" s="112">
        <f>IFERROR(__xludf.DUMMYFUNCTION("""COMPUTED_VALUE"""),46266.64583333333)</f>
        <v>46266.64583</v>
      </c>
      <c r="F95" s="1">
        <f>IFERROR(__xludf.DUMMYFUNCTION("""COMPUTED_VALUE"""),402.2)</f>
        <v>402.2</v>
      </c>
      <c r="G95" s="1"/>
      <c r="H95" s="29">
        <f t="shared" si="4"/>
        <v>3.163351566</v>
      </c>
      <c r="I95" s="1">
        <f t="shared" si="5"/>
        <v>870.1</v>
      </c>
      <c r="J95" s="245">
        <f t="shared" si="6"/>
        <v>-1.092369548</v>
      </c>
      <c r="K95" s="246">
        <f t="shared" si="7"/>
        <v>3.163351566</v>
      </c>
      <c r="L95" s="65">
        <f t="shared" si="8"/>
        <v>1321.67</v>
      </c>
      <c r="M95" s="25">
        <f t="shared" si="9"/>
        <v>-0.03880374126</v>
      </c>
      <c r="N95" s="65">
        <f t="shared" si="10"/>
        <v>417.82</v>
      </c>
      <c r="O95" s="25">
        <f t="shared" si="11"/>
        <v>-0.0388363998</v>
      </c>
      <c r="P95" s="25">
        <f t="shared" si="12"/>
        <v>0.0000326585451</v>
      </c>
    </row>
    <row r="96">
      <c r="A96" s="1"/>
      <c r="B96" s="112">
        <f>IFERROR(__xludf.DUMMYFUNCTION("""COMPUTED_VALUE"""),46267.64583333333)</f>
        <v>46267.64583</v>
      </c>
      <c r="C96" s="1">
        <f>IFERROR(__xludf.DUMMYFUNCTION("""COMPUTED_VALUE"""),1266.6)</f>
        <v>1266.6</v>
      </c>
      <c r="D96" s="1"/>
      <c r="E96" s="112">
        <f>IFERROR(__xludf.DUMMYFUNCTION("""COMPUTED_VALUE"""),46267.64583333333)</f>
        <v>46267.64583</v>
      </c>
      <c r="F96" s="1">
        <f>IFERROR(__xludf.DUMMYFUNCTION("""COMPUTED_VALUE"""),402.7)</f>
        <v>402.7</v>
      </c>
      <c r="G96" s="1"/>
      <c r="H96" s="29">
        <f t="shared" si="4"/>
        <v>3.145269431</v>
      </c>
      <c r="I96" s="1">
        <f t="shared" si="5"/>
        <v>863.9</v>
      </c>
      <c r="J96" s="245">
        <f t="shared" si="6"/>
        <v>-1.267960548</v>
      </c>
      <c r="K96" s="246">
        <f t="shared" si="7"/>
        <v>3.145269431</v>
      </c>
      <c r="L96" s="65">
        <f t="shared" si="8"/>
        <v>1315.3</v>
      </c>
      <c r="M96" s="25">
        <f t="shared" si="9"/>
        <v>-0.03844939207</v>
      </c>
      <c r="N96" s="65">
        <f t="shared" si="10"/>
        <v>415.705</v>
      </c>
      <c r="O96" s="25">
        <f t="shared" si="11"/>
        <v>-0.03229451204</v>
      </c>
      <c r="P96" s="25">
        <f t="shared" si="12"/>
        <v>-0.00615488003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IFERROR(__xludf.DUMMYFUNCTION("""COMPUTED_VALUE"""),46268.64583333333)</f>
        <v>46268.64583</v>
      </c>
      <c r="C97" s="1">
        <f>IFERROR(__xludf.DUMMYFUNCTION("""COMPUTED_VALUE"""),1272.0)</f>
        <v>1272</v>
      </c>
      <c r="D97" s="1"/>
      <c r="E97" s="112">
        <f>IFERROR(__xludf.DUMMYFUNCTION("""COMPUTED_VALUE"""),46268.64583333333)</f>
        <v>46268.64583</v>
      </c>
      <c r="F97" s="1">
        <f>IFERROR(__xludf.DUMMYFUNCTION("""COMPUTED_VALUE"""),405.0)</f>
        <v>405</v>
      </c>
      <c r="G97" s="1"/>
      <c r="H97" s="29">
        <f t="shared" si="4"/>
        <v>3.140740741</v>
      </c>
      <c r="I97" s="1">
        <f t="shared" si="5"/>
        <v>867</v>
      </c>
      <c r="J97" s="245">
        <f t="shared" si="6"/>
        <v>-1.180165048</v>
      </c>
      <c r="K97" s="246">
        <f t="shared" si="7"/>
        <v>3.140740741</v>
      </c>
      <c r="L97" s="65">
        <f t="shared" si="8"/>
        <v>1309.98</v>
      </c>
      <c r="M97" s="25">
        <f t="shared" si="9"/>
        <v>-0.02985849057</v>
      </c>
      <c r="N97" s="65">
        <f t="shared" si="10"/>
        <v>414.13</v>
      </c>
      <c r="O97" s="25">
        <f t="shared" si="11"/>
        <v>-0.02254320988</v>
      </c>
      <c r="P97" s="25">
        <f t="shared" si="12"/>
        <v>-0.007315280689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IFERROR(__xludf.DUMMYFUNCTION("""COMPUTED_VALUE"""),46269.64583333333)</f>
        <v>46269.64583</v>
      </c>
      <c r="C98" s="1">
        <f>IFERROR(__xludf.DUMMYFUNCTION("""COMPUTED_VALUE"""),1283.8)</f>
        <v>1283.8</v>
      </c>
      <c r="D98" s="1"/>
      <c r="E98" s="112">
        <f>IFERROR(__xludf.DUMMYFUNCTION("""COMPUTED_VALUE"""),46269.64583333333)</f>
        <v>46269.64583</v>
      </c>
      <c r="F98" s="1">
        <f>IFERROR(__xludf.DUMMYFUNCTION("""COMPUTED_VALUE"""),405.0)</f>
        <v>405</v>
      </c>
      <c r="G98" s="1"/>
      <c r="H98" s="29">
        <f t="shared" si="4"/>
        <v>3.169876543</v>
      </c>
      <c r="I98" s="1">
        <f t="shared" si="5"/>
        <v>878.8</v>
      </c>
      <c r="J98" s="245">
        <f t="shared" si="6"/>
        <v>-0.8459757251</v>
      </c>
      <c r="K98" s="246">
        <f t="shared" si="7"/>
        <v>3.169876543</v>
      </c>
      <c r="L98" s="65">
        <f t="shared" si="8"/>
        <v>1306.03</v>
      </c>
      <c r="M98" s="25">
        <f t="shared" si="9"/>
        <v>-0.01731578127</v>
      </c>
      <c r="N98" s="65">
        <f t="shared" si="10"/>
        <v>412.68</v>
      </c>
      <c r="O98" s="25">
        <f t="shared" si="11"/>
        <v>-0.01896296296</v>
      </c>
      <c r="P98" s="25">
        <f t="shared" si="12"/>
        <v>0.001647181689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B99" s="166">
        <f>IFERROR(__xludf.DUMMYFUNCTION("""COMPUTED_VALUE"""),46272.64583333333)</f>
        <v>46272.64583</v>
      </c>
      <c r="C99" s="1">
        <f>IFERROR(__xludf.DUMMYFUNCTION("""COMPUTED_VALUE"""),1268.7)</f>
        <v>1268.7</v>
      </c>
      <c r="E99" s="112">
        <f>IFERROR(__xludf.DUMMYFUNCTION("""COMPUTED_VALUE"""),46272.64583333333)</f>
        <v>46272.64583</v>
      </c>
      <c r="F99" s="1">
        <f>IFERROR(__xludf.DUMMYFUNCTION("""COMPUTED_VALUE"""),398.6)</f>
        <v>398.6</v>
      </c>
      <c r="G99" s="1"/>
      <c r="H99" s="29">
        <f t="shared" si="4"/>
        <v>3.182890115</v>
      </c>
      <c r="I99" s="1">
        <f t="shared" si="5"/>
        <v>870.1</v>
      </c>
      <c r="J99" s="245">
        <f t="shared" si="6"/>
        <v>-1.092369548</v>
      </c>
      <c r="K99" s="246">
        <f t="shared" si="7"/>
        <v>3.182890115</v>
      </c>
      <c r="L99" s="65">
        <f t="shared" si="8"/>
        <v>1301.585</v>
      </c>
      <c r="M99" s="25">
        <f t="shared" si="9"/>
        <v>-0.02592023331</v>
      </c>
      <c r="N99" s="65">
        <f t="shared" si="10"/>
        <v>411.0675</v>
      </c>
      <c r="O99" s="25">
        <f t="shared" si="11"/>
        <v>-0.03127822378</v>
      </c>
      <c r="P99" s="25">
        <f t="shared" si="12"/>
        <v>0.005357990474</v>
      </c>
    </row>
    <row r="100">
      <c r="B100" s="166">
        <f>IFERROR(__xludf.DUMMYFUNCTION("""COMPUTED_VALUE"""),46273.64583333333)</f>
        <v>46273.64583</v>
      </c>
      <c r="C100" s="1">
        <f>IFERROR(__xludf.DUMMYFUNCTION("""COMPUTED_VALUE"""),1262.8)</f>
        <v>1262.8</v>
      </c>
      <c r="E100" s="112">
        <f>IFERROR(__xludf.DUMMYFUNCTION("""COMPUTED_VALUE"""),46273.64583333333)</f>
        <v>46273.64583</v>
      </c>
      <c r="F100" s="1">
        <f>IFERROR(__xludf.DUMMYFUNCTION("""COMPUTED_VALUE"""),398.3)</f>
        <v>398.3</v>
      </c>
      <c r="G100" s="1"/>
      <c r="H100" s="29">
        <f t="shared" si="4"/>
        <v>3.170474517</v>
      </c>
      <c r="I100" s="1">
        <f t="shared" si="5"/>
        <v>864.5</v>
      </c>
      <c r="J100" s="245">
        <f t="shared" si="6"/>
        <v>-1.25096787</v>
      </c>
      <c r="K100" s="246">
        <f t="shared" si="7"/>
        <v>3.170474517</v>
      </c>
      <c r="L100" s="65">
        <f t="shared" si="8"/>
        <v>1297.735</v>
      </c>
      <c r="M100" s="25">
        <f t="shared" si="9"/>
        <v>-0.02766471334</v>
      </c>
      <c r="N100" s="65">
        <f t="shared" si="10"/>
        <v>409.7825</v>
      </c>
      <c r="O100" s="25">
        <f t="shared" si="11"/>
        <v>-0.02882877228</v>
      </c>
      <c r="P100" s="25">
        <f t="shared" si="12"/>
        <v>0.001164058947</v>
      </c>
    </row>
    <row r="101">
      <c r="A101" s="1"/>
      <c r="B101" s="112">
        <f>IFERROR(__xludf.DUMMYFUNCTION("""COMPUTED_VALUE"""),46274.64583333333)</f>
        <v>46274.64583</v>
      </c>
      <c r="C101" s="1">
        <f>IFERROR(__xludf.DUMMYFUNCTION("""COMPUTED_VALUE"""),1257.7)</f>
        <v>1257.7</v>
      </c>
      <c r="D101" s="1"/>
      <c r="E101" s="112">
        <f>IFERROR(__xludf.DUMMYFUNCTION("""COMPUTED_VALUE"""),46274.64583333333)</f>
        <v>46274.64583</v>
      </c>
      <c r="F101" s="1">
        <f>IFERROR(__xludf.DUMMYFUNCTION("""COMPUTED_VALUE"""),397.0)</f>
        <v>397</v>
      </c>
      <c r="G101" s="1"/>
      <c r="H101" s="29">
        <f t="shared" si="4"/>
        <v>3.168010076</v>
      </c>
      <c r="I101" s="1">
        <f t="shared" si="5"/>
        <v>860.7</v>
      </c>
      <c r="J101" s="245">
        <f t="shared" si="6"/>
        <v>-1.358588161</v>
      </c>
      <c r="K101" s="246">
        <f t="shared" si="7"/>
        <v>3.168010076</v>
      </c>
      <c r="L101" s="65">
        <f t="shared" si="8"/>
        <v>1293.98</v>
      </c>
      <c r="M101" s="25">
        <f t="shared" si="9"/>
        <v>-0.02884630675</v>
      </c>
      <c r="N101" s="65">
        <f t="shared" si="10"/>
        <v>408.5825</v>
      </c>
      <c r="O101" s="25">
        <f t="shared" si="11"/>
        <v>-0.02917506297</v>
      </c>
      <c r="P101" s="25">
        <f t="shared" si="12"/>
        <v>0.0003287562219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IFERROR(__xludf.DUMMYFUNCTION("""COMPUTED_VALUE"""),46275.64583333333)</f>
        <v>46275.64583</v>
      </c>
      <c r="C102" s="1">
        <f>IFERROR(__xludf.DUMMYFUNCTION("""COMPUTED_VALUE"""),1254.3)</f>
        <v>1254.3</v>
      </c>
      <c r="D102" s="1"/>
      <c r="E102" s="112">
        <f>IFERROR(__xludf.DUMMYFUNCTION("""COMPUTED_VALUE"""),46275.64583333333)</f>
        <v>46275.64583</v>
      </c>
      <c r="F102" s="1">
        <f>IFERROR(__xludf.DUMMYFUNCTION("""COMPUTED_VALUE"""),395.6)</f>
        <v>395.6</v>
      </c>
      <c r="G102" s="1"/>
      <c r="H102" s="29">
        <f t="shared" si="4"/>
        <v>3.170626896</v>
      </c>
      <c r="I102" s="1">
        <f t="shared" si="5"/>
        <v>858.7</v>
      </c>
      <c r="J102" s="245">
        <f t="shared" si="6"/>
        <v>-1.415230419</v>
      </c>
      <c r="K102" s="246">
        <f t="shared" si="7"/>
        <v>3.170626896</v>
      </c>
      <c r="L102" s="65">
        <f t="shared" si="8"/>
        <v>1290.46</v>
      </c>
      <c r="M102" s="25">
        <f t="shared" si="9"/>
        <v>-0.02882882883</v>
      </c>
      <c r="N102" s="65">
        <f t="shared" si="10"/>
        <v>407.3925</v>
      </c>
      <c r="O102" s="25">
        <f t="shared" si="11"/>
        <v>-0.02980915066</v>
      </c>
      <c r="P102" s="25">
        <f t="shared" si="12"/>
        <v>0.0009803218284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IFERROR(__xludf.DUMMYFUNCTION("""COMPUTED_VALUE"""),46276.64583333333)</f>
        <v>46276.64583</v>
      </c>
      <c r="C103" s="1">
        <f>IFERROR(__xludf.DUMMYFUNCTION("""COMPUTED_VALUE"""),1246.5)</f>
        <v>1246.5</v>
      </c>
      <c r="D103" s="1"/>
      <c r="E103" s="112">
        <f>IFERROR(__xludf.DUMMYFUNCTION("""COMPUTED_VALUE"""),46276.64583333333)</f>
        <v>46276.64583</v>
      </c>
      <c r="F103" s="1">
        <f>IFERROR(__xludf.DUMMYFUNCTION("""COMPUTED_VALUE"""),391.85)</f>
        <v>391.85</v>
      </c>
      <c r="G103" s="1"/>
      <c r="H103" s="29">
        <f t="shared" si="4"/>
        <v>3.181064183</v>
      </c>
      <c r="I103" s="1">
        <f t="shared" si="5"/>
        <v>854.65</v>
      </c>
      <c r="J103" s="245">
        <f t="shared" si="6"/>
        <v>-1.529930991</v>
      </c>
      <c r="K103" s="246">
        <f t="shared" si="7"/>
        <v>3.181064183</v>
      </c>
      <c r="L103" s="65">
        <f t="shared" si="8"/>
        <v>1286.715</v>
      </c>
      <c r="M103" s="25">
        <f t="shared" si="9"/>
        <v>-0.03226233454</v>
      </c>
      <c r="N103" s="65">
        <f t="shared" si="10"/>
        <v>406.11</v>
      </c>
      <c r="O103" s="25">
        <f t="shared" si="11"/>
        <v>-0.03639147633</v>
      </c>
      <c r="P103" s="25">
        <f t="shared" si="12"/>
        <v>0.004129141794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IFERROR(__xludf.DUMMYFUNCTION("""COMPUTED_VALUE"""),46280.64583333333)</f>
        <v>46280.64583</v>
      </c>
      <c r="C104" s="1">
        <f>IFERROR(__xludf.DUMMYFUNCTION("""COMPUTED_VALUE"""),1225.2)</f>
        <v>1225.2</v>
      </c>
      <c r="D104" s="1"/>
      <c r="E104" s="112">
        <f>IFERROR(__xludf.DUMMYFUNCTION("""COMPUTED_VALUE"""),46280.64583333333)</f>
        <v>46280.64583</v>
      </c>
      <c r="F104" s="1">
        <f>IFERROR(__xludf.DUMMYFUNCTION("""COMPUTED_VALUE"""),381.75)</f>
        <v>381.75</v>
      </c>
      <c r="G104" s="1"/>
      <c r="H104" s="29">
        <f t="shared" si="4"/>
        <v>3.209430255</v>
      </c>
      <c r="I104" s="1">
        <f t="shared" si="5"/>
        <v>843.45</v>
      </c>
      <c r="J104" s="245">
        <f t="shared" si="6"/>
        <v>-1.847127636</v>
      </c>
      <c r="K104" s="246">
        <f t="shared" si="7"/>
        <v>3.209430255</v>
      </c>
      <c r="L104" s="65">
        <f t="shared" si="8"/>
        <v>1282.145</v>
      </c>
      <c r="M104" s="25">
        <f t="shared" si="9"/>
        <v>-0.04647812602</v>
      </c>
      <c r="N104" s="65">
        <f t="shared" si="10"/>
        <v>404.435</v>
      </c>
      <c r="O104" s="25">
        <f t="shared" si="11"/>
        <v>-0.05942370661</v>
      </c>
      <c r="P104" s="25">
        <f t="shared" si="12"/>
        <v>0.01294558059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IFERROR(__xludf.DUMMYFUNCTION("""COMPUTED_VALUE"""),46281.64583333333)</f>
        <v>46281.64583</v>
      </c>
      <c r="C105" s="1">
        <f>IFERROR(__xludf.DUMMYFUNCTION("""COMPUTED_VALUE"""),1226.6)</f>
        <v>1226.6</v>
      </c>
      <c r="D105" s="1"/>
      <c r="E105" s="112">
        <f>IFERROR(__xludf.DUMMYFUNCTION("""COMPUTED_VALUE"""),46281.64583333333)</f>
        <v>46281.64583</v>
      </c>
      <c r="F105" s="1">
        <f>IFERROR(__xludf.DUMMYFUNCTION("""COMPUTED_VALUE"""),381.05)</f>
        <v>381.05</v>
      </c>
      <c r="G105" s="1"/>
      <c r="H105" s="29">
        <f t="shared" si="4"/>
        <v>3.219000131</v>
      </c>
      <c r="I105" s="1">
        <f t="shared" si="5"/>
        <v>845.55</v>
      </c>
      <c r="J105" s="245">
        <f t="shared" si="6"/>
        <v>-1.787653265</v>
      </c>
      <c r="K105" s="246">
        <f t="shared" si="7"/>
        <v>3.219000131</v>
      </c>
      <c r="L105" s="65">
        <f t="shared" si="8"/>
        <v>1278.285</v>
      </c>
      <c r="M105" s="25">
        <f t="shared" si="9"/>
        <v>-0.04213680091</v>
      </c>
      <c r="N105" s="65">
        <f t="shared" si="10"/>
        <v>402.8675</v>
      </c>
      <c r="O105" s="25">
        <f t="shared" si="11"/>
        <v>-0.05725626558</v>
      </c>
      <c r="P105" s="25">
        <f t="shared" si="12"/>
        <v>0.01511946467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IFERROR(__xludf.DUMMYFUNCTION("""COMPUTED_VALUE"""),46282.64583333333)</f>
        <v>46282.64583</v>
      </c>
      <c r="C106" s="1">
        <f>IFERROR(__xludf.DUMMYFUNCTION("""COMPUTED_VALUE"""),1232.5)</f>
        <v>1232.5</v>
      </c>
      <c r="D106" s="1"/>
      <c r="E106" s="112">
        <f>IFERROR(__xludf.DUMMYFUNCTION("""COMPUTED_VALUE"""),46282.64583333333)</f>
        <v>46282.64583</v>
      </c>
      <c r="F106" s="1">
        <f>IFERROR(__xludf.DUMMYFUNCTION("""COMPUTED_VALUE"""),383.25)</f>
        <v>383.25</v>
      </c>
      <c r="G106" s="1"/>
      <c r="H106" s="29">
        <f t="shared" si="4"/>
        <v>3.215916504</v>
      </c>
      <c r="I106" s="1">
        <f t="shared" si="5"/>
        <v>849.25</v>
      </c>
      <c r="J106" s="245">
        <f t="shared" si="6"/>
        <v>-1.682865088</v>
      </c>
      <c r="K106" s="246">
        <f t="shared" si="7"/>
        <v>3.215916504</v>
      </c>
      <c r="L106" s="65">
        <f t="shared" si="8"/>
        <v>1275.475</v>
      </c>
      <c r="M106" s="25">
        <f t="shared" si="9"/>
        <v>-0.03486815416</v>
      </c>
      <c r="N106" s="65">
        <f t="shared" si="10"/>
        <v>401.655</v>
      </c>
      <c r="O106" s="25">
        <f t="shared" si="11"/>
        <v>-0.04802348337</v>
      </c>
      <c r="P106" s="25">
        <f t="shared" si="12"/>
        <v>0.01315532921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IFERROR(__xludf.DUMMYFUNCTION("""COMPUTED_VALUE"""),46283.64583333333)</f>
        <v>46283.64583</v>
      </c>
      <c r="C107" s="1">
        <f>IFERROR(__xludf.DUMMYFUNCTION("""COMPUTED_VALUE"""),1259.7)</f>
        <v>1259.7</v>
      </c>
      <c r="D107" s="1"/>
      <c r="E107" s="112">
        <f>IFERROR(__xludf.DUMMYFUNCTION("""COMPUTED_VALUE"""),46283.64583333333)</f>
        <v>46283.64583</v>
      </c>
      <c r="F107" s="1">
        <f>IFERROR(__xludf.DUMMYFUNCTION("""COMPUTED_VALUE"""),388.3)</f>
        <v>388.3</v>
      </c>
      <c r="G107" s="1"/>
      <c r="H107" s="29">
        <f t="shared" si="4"/>
        <v>3.244141128</v>
      </c>
      <c r="I107" s="1">
        <f t="shared" si="5"/>
        <v>871.4</v>
      </c>
      <c r="J107" s="245">
        <f t="shared" si="6"/>
        <v>-1.05555208</v>
      </c>
      <c r="K107" s="246">
        <f t="shared" si="7"/>
        <v>3.244141128</v>
      </c>
      <c r="L107" s="65">
        <f t="shared" si="8"/>
        <v>1273.405</v>
      </c>
      <c r="M107" s="25">
        <f t="shared" si="9"/>
        <v>-0.0108795745</v>
      </c>
      <c r="N107" s="65">
        <f t="shared" si="10"/>
        <v>400.52</v>
      </c>
      <c r="O107" s="25">
        <f t="shared" si="11"/>
        <v>-0.03147051249</v>
      </c>
      <c r="P107" s="25">
        <f t="shared" si="12"/>
        <v>0.02059093799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IFERROR(__xludf.DUMMYFUNCTION("""COMPUTED_VALUE"""),46286.64583333333)</f>
        <v>46286.64583</v>
      </c>
      <c r="C108" s="1">
        <f>IFERROR(__xludf.DUMMYFUNCTION("""COMPUTED_VALUE"""),1256.3)</f>
        <v>1256.3</v>
      </c>
      <c r="D108" s="1"/>
      <c r="E108" s="112">
        <f>IFERROR(__xludf.DUMMYFUNCTION("""COMPUTED_VALUE"""),46286.64583333333)</f>
        <v>46286.64583</v>
      </c>
      <c r="F108" s="1">
        <f>IFERROR(__xludf.DUMMYFUNCTION("""COMPUTED_VALUE"""),390.75)</f>
        <v>390.75</v>
      </c>
      <c r="G108" s="1"/>
      <c r="H108" s="29">
        <f t="shared" si="4"/>
        <v>3.215099168</v>
      </c>
      <c r="I108" s="1">
        <f t="shared" si="5"/>
        <v>865.55</v>
      </c>
      <c r="J108" s="245">
        <f t="shared" si="6"/>
        <v>-1.221230685</v>
      </c>
      <c r="K108" s="246">
        <f t="shared" si="7"/>
        <v>3.215099168</v>
      </c>
      <c r="L108" s="65">
        <f t="shared" si="8"/>
        <v>1270.85</v>
      </c>
      <c r="M108" s="25">
        <f t="shared" si="9"/>
        <v>-0.01158162859</v>
      </c>
      <c r="N108" s="65">
        <f t="shared" si="10"/>
        <v>399.3325</v>
      </c>
      <c r="O108" s="25">
        <f t="shared" si="11"/>
        <v>-0.02196417147</v>
      </c>
      <c r="P108" s="25">
        <f t="shared" si="12"/>
        <v>0.01038254287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IFERROR(__xludf.DUMMYFUNCTION("""COMPUTED_VALUE"""),46287.64583333333)</f>
        <v>46287.64583</v>
      </c>
      <c r="C109" s="1">
        <f>IFERROR(__xludf.DUMMYFUNCTION("""COMPUTED_VALUE"""),1238.2)</f>
        <v>1238.2</v>
      </c>
      <c r="D109" s="1"/>
      <c r="E109" s="112">
        <f>IFERROR(__xludf.DUMMYFUNCTION("""COMPUTED_VALUE"""),46287.64583333333)</f>
        <v>46287.64583</v>
      </c>
      <c r="F109" s="1">
        <f>IFERROR(__xludf.DUMMYFUNCTION("""COMPUTED_VALUE"""),386.9)</f>
        <v>386.9</v>
      </c>
      <c r="G109" s="1"/>
      <c r="H109" s="29">
        <f t="shared" si="4"/>
        <v>3.200310158</v>
      </c>
      <c r="I109" s="1">
        <f t="shared" si="5"/>
        <v>851.3</v>
      </c>
      <c r="J109" s="245">
        <f t="shared" si="6"/>
        <v>-1.624806773</v>
      </c>
      <c r="K109" s="246">
        <f t="shared" si="7"/>
        <v>3.200310158</v>
      </c>
      <c r="L109" s="65">
        <f t="shared" si="8"/>
        <v>1267.715</v>
      </c>
      <c r="M109" s="25">
        <f t="shared" si="9"/>
        <v>-0.02383702148</v>
      </c>
      <c r="N109" s="65">
        <f t="shared" si="10"/>
        <v>398.24</v>
      </c>
      <c r="O109" s="25">
        <f t="shared" si="11"/>
        <v>-0.0293098992</v>
      </c>
      <c r="P109" s="25">
        <f t="shared" si="12"/>
        <v>0.005472877716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B110" s="166">
        <f>IFERROR(__xludf.DUMMYFUNCTION("""COMPUTED_VALUE"""),46288.64583333333)</f>
        <v>46288.64583</v>
      </c>
      <c r="C110" s="1">
        <f>IFERROR(__xludf.DUMMYFUNCTION("""COMPUTED_VALUE"""),1251.4)</f>
        <v>1251.4</v>
      </c>
      <c r="E110" s="112">
        <f>IFERROR(__xludf.DUMMYFUNCTION("""COMPUTED_VALUE"""),46288.64583333333)</f>
        <v>46288.64583</v>
      </c>
      <c r="F110" s="1">
        <f>IFERROR(__xludf.DUMMYFUNCTION("""COMPUTED_VALUE"""),392.75)</f>
        <v>392.75</v>
      </c>
      <c r="G110" s="1"/>
      <c r="H110" s="29">
        <f t="shared" si="4"/>
        <v>3.186250796</v>
      </c>
      <c r="I110" s="1">
        <f t="shared" si="5"/>
        <v>858.65</v>
      </c>
      <c r="J110" s="245">
        <f t="shared" si="6"/>
        <v>-1.416646475</v>
      </c>
      <c r="K110" s="246">
        <f t="shared" si="7"/>
        <v>3.186250796</v>
      </c>
      <c r="L110" s="65">
        <f t="shared" si="8"/>
        <v>1264.99</v>
      </c>
      <c r="M110" s="25">
        <f t="shared" si="9"/>
        <v>-0.01085983698</v>
      </c>
      <c r="N110" s="65">
        <f t="shared" si="10"/>
        <v>397.2225</v>
      </c>
      <c r="O110" s="25">
        <f t="shared" si="11"/>
        <v>-0.01138765118</v>
      </c>
      <c r="P110" s="25">
        <f t="shared" si="12"/>
        <v>0.000527814195</v>
      </c>
    </row>
    <row r="111">
      <c r="A111" s="1"/>
      <c r="B111" s="112">
        <f>IFERROR(__xludf.DUMMYFUNCTION("""COMPUTED_VALUE"""),46289.64583333333)</f>
        <v>46289.64583</v>
      </c>
      <c r="C111" s="1">
        <f>IFERROR(__xludf.DUMMYFUNCTION("""COMPUTED_VALUE"""),1236.1)</f>
        <v>1236.1</v>
      </c>
      <c r="D111" s="1"/>
      <c r="E111" s="112">
        <f>IFERROR(__xludf.DUMMYFUNCTION("""COMPUTED_VALUE"""),46289.64583333333)</f>
        <v>46289.64583</v>
      </c>
      <c r="F111" s="1">
        <f>IFERROR(__xludf.DUMMYFUNCTION("""COMPUTED_VALUE"""),384.1)</f>
        <v>384.1</v>
      </c>
      <c r="G111" s="1"/>
      <c r="H111" s="29">
        <f t="shared" si="4"/>
        <v>3.218172351</v>
      </c>
      <c r="I111" s="1">
        <f t="shared" si="5"/>
        <v>852</v>
      </c>
      <c r="J111" s="245">
        <f t="shared" si="6"/>
        <v>-1.604981983</v>
      </c>
      <c r="K111" s="246">
        <f t="shared" si="7"/>
        <v>3.218172351</v>
      </c>
      <c r="L111" s="65">
        <f t="shared" si="8"/>
        <v>1260.21</v>
      </c>
      <c r="M111" s="25">
        <f t="shared" si="9"/>
        <v>-0.01950489443</v>
      </c>
      <c r="N111" s="65">
        <f t="shared" si="10"/>
        <v>395.4675</v>
      </c>
      <c r="O111" s="25">
        <f t="shared" si="11"/>
        <v>-0.02959515751</v>
      </c>
      <c r="P111" s="25">
        <f t="shared" si="12"/>
        <v>0.01009026309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IFERROR(__xludf.DUMMYFUNCTION("""COMPUTED_VALUE"""),46290.64583333333)</f>
        <v>46290.64583</v>
      </c>
      <c r="C112" s="1">
        <f>IFERROR(__xludf.DUMMYFUNCTION("""COMPUTED_VALUE"""),1236.4)</f>
        <v>1236.4</v>
      </c>
      <c r="D112" s="1"/>
      <c r="E112" s="112">
        <f>IFERROR(__xludf.DUMMYFUNCTION("""COMPUTED_VALUE"""),46290.64583333333)</f>
        <v>46290.64583</v>
      </c>
      <c r="F112" s="1">
        <f>IFERROR(__xludf.DUMMYFUNCTION("""COMPUTED_VALUE"""),383.8)</f>
        <v>383.8</v>
      </c>
      <c r="G112" s="1"/>
      <c r="H112" s="29">
        <f t="shared" si="4"/>
        <v>3.221469515</v>
      </c>
      <c r="I112" s="1">
        <f t="shared" si="5"/>
        <v>852.6</v>
      </c>
      <c r="J112" s="245">
        <f t="shared" si="6"/>
        <v>-1.587989306</v>
      </c>
      <c r="K112" s="246">
        <f t="shared" si="7"/>
        <v>3.221469515</v>
      </c>
      <c r="L112" s="65">
        <f t="shared" si="8"/>
        <v>1256.5</v>
      </c>
      <c r="M112" s="25">
        <f t="shared" si="9"/>
        <v>-0.0162568748</v>
      </c>
      <c r="N112" s="65">
        <f t="shared" si="10"/>
        <v>394.105</v>
      </c>
      <c r="O112" s="25">
        <f t="shared" si="11"/>
        <v>-0.02684992183</v>
      </c>
      <c r="P112" s="25">
        <f t="shared" si="12"/>
        <v>0.01059304704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IFERROR(__xludf.DUMMYFUNCTION("""COMPUTED_VALUE"""),46293.64583333333)</f>
        <v>46293.64583</v>
      </c>
      <c r="C113" s="1">
        <f>IFERROR(__xludf.DUMMYFUNCTION("""COMPUTED_VALUE"""),1213.5)</f>
        <v>1213.5</v>
      </c>
      <c r="D113" s="1"/>
      <c r="E113" s="112">
        <f>IFERROR(__xludf.DUMMYFUNCTION("""COMPUTED_VALUE"""),46293.64583333333)</f>
        <v>46293.64583</v>
      </c>
      <c r="F113" s="1">
        <f>IFERROR(__xludf.DUMMYFUNCTION("""COMPUTED_VALUE"""),374.35)</f>
        <v>374.35</v>
      </c>
      <c r="G113" s="1"/>
      <c r="H113" s="29">
        <f t="shared" si="4"/>
        <v>3.241618806</v>
      </c>
      <c r="I113" s="1">
        <f t="shared" si="5"/>
        <v>839.15</v>
      </c>
      <c r="J113" s="245">
        <f t="shared" si="6"/>
        <v>-1.968908491</v>
      </c>
      <c r="K113" s="246">
        <f t="shared" si="7"/>
        <v>3.241618806</v>
      </c>
      <c r="L113" s="65">
        <f t="shared" si="8"/>
        <v>1251.855</v>
      </c>
      <c r="M113" s="25">
        <f t="shared" si="9"/>
        <v>-0.03160692213</v>
      </c>
      <c r="N113" s="65">
        <f t="shared" si="10"/>
        <v>392.22</v>
      </c>
      <c r="O113" s="25">
        <f t="shared" si="11"/>
        <v>-0.04773607586</v>
      </c>
      <c r="P113" s="25">
        <f t="shared" si="12"/>
        <v>0.01612915374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IFERROR(__xludf.DUMMYFUNCTION("""COMPUTED_VALUE"""),46294.64583333333)</f>
        <v>46294.64583</v>
      </c>
      <c r="C114" s="1">
        <f>IFERROR(__xludf.DUMMYFUNCTION("""COMPUTED_VALUE"""),1202.6)</f>
        <v>1202.6</v>
      </c>
      <c r="D114" s="1"/>
      <c r="E114" s="112">
        <f>IFERROR(__xludf.DUMMYFUNCTION("""COMPUTED_VALUE"""),46294.64583333333)</f>
        <v>46294.64583</v>
      </c>
      <c r="F114" s="1">
        <f>IFERROR(__xludf.DUMMYFUNCTION("""COMPUTED_VALUE"""),365.75)</f>
        <v>365.75</v>
      </c>
      <c r="G114" s="1"/>
      <c r="H114" s="29">
        <f t="shared" si="4"/>
        <v>3.288038278</v>
      </c>
      <c r="I114" s="1">
        <f t="shared" si="5"/>
        <v>836.85</v>
      </c>
      <c r="J114" s="245">
        <f t="shared" si="6"/>
        <v>-2.034047088</v>
      </c>
      <c r="K114" s="246">
        <f t="shared" si="7"/>
        <v>3.288038278</v>
      </c>
      <c r="L114" s="65">
        <f t="shared" si="8"/>
        <v>1248.16</v>
      </c>
      <c r="M114" s="25">
        <f t="shared" si="9"/>
        <v>-0.0378845834</v>
      </c>
      <c r="N114" s="65">
        <f t="shared" si="10"/>
        <v>390.45</v>
      </c>
      <c r="O114" s="25">
        <f t="shared" si="11"/>
        <v>-0.06753246753</v>
      </c>
      <c r="P114" s="25">
        <f t="shared" si="12"/>
        <v>0.02964788413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IFERROR(__xludf.DUMMYFUNCTION("""COMPUTED_VALUE"""),46295.64583333333)</f>
        <v>46295.64583</v>
      </c>
      <c r="C115" s="1">
        <f>IFERROR(__xludf.DUMMYFUNCTION("""COMPUTED_VALUE"""),1204.1)</f>
        <v>1204.1</v>
      </c>
      <c r="D115" s="1"/>
      <c r="E115" s="112">
        <f>IFERROR(__xludf.DUMMYFUNCTION("""COMPUTED_VALUE"""),46295.64583333333)</f>
        <v>46295.64583</v>
      </c>
      <c r="F115" s="1">
        <f>IFERROR(__xludf.DUMMYFUNCTION("""COMPUTED_VALUE"""),374.0)</f>
        <v>374</v>
      </c>
      <c r="G115" s="1"/>
      <c r="H115" s="29">
        <f t="shared" si="4"/>
        <v>3.219518717</v>
      </c>
      <c r="I115" s="1">
        <f t="shared" si="5"/>
        <v>830.1</v>
      </c>
      <c r="J115" s="245">
        <f t="shared" si="6"/>
        <v>-2.225214709</v>
      </c>
      <c r="K115" s="246">
        <f t="shared" si="7"/>
        <v>3.219518717</v>
      </c>
      <c r="L115" s="65">
        <f t="shared" si="8"/>
        <v>1244.75</v>
      </c>
      <c r="M115" s="25">
        <f t="shared" si="9"/>
        <v>-0.03375965451</v>
      </c>
      <c r="N115" s="65">
        <f t="shared" si="10"/>
        <v>389.04</v>
      </c>
      <c r="O115" s="25">
        <f t="shared" si="11"/>
        <v>-0.04021390374</v>
      </c>
      <c r="P115" s="25">
        <f t="shared" si="12"/>
        <v>0.00645424923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IFERROR(__xludf.DUMMYFUNCTION("""COMPUTED_VALUE"""),46296.64583333333)</f>
        <v>46296.64583</v>
      </c>
      <c r="C116" s="1">
        <f>IFERROR(__xludf.DUMMYFUNCTION("""COMPUTED_VALUE"""),1182.8)</f>
        <v>1182.8</v>
      </c>
      <c r="D116" s="1"/>
      <c r="E116" s="112">
        <f>IFERROR(__xludf.DUMMYFUNCTION("""COMPUTED_VALUE"""),46296.64583333333)</f>
        <v>46296.64583</v>
      </c>
      <c r="F116" s="1">
        <f>IFERROR(__xludf.DUMMYFUNCTION("""COMPUTED_VALUE"""),362.25)</f>
        <v>362.25</v>
      </c>
      <c r="G116" s="1"/>
      <c r="H116" s="29">
        <f t="shared" si="4"/>
        <v>3.265148378</v>
      </c>
      <c r="I116" s="1">
        <f t="shared" si="5"/>
        <v>820.55</v>
      </c>
      <c r="J116" s="245">
        <f t="shared" si="6"/>
        <v>-2.495681491</v>
      </c>
      <c r="K116" s="246">
        <f t="shared" si="7"/>
        <v>3.265148378</v>
      </c>
      <c r="L116" s="65">
        <f t="shared" si="8"/>
        <v>1240.56</v>
      </c>
      <c r="M116" s="25">
        <f t="shared" si="9"/>
        <v>-0.04883327697</v>
      </c>
      <c r="N116" s="65">
        <f t="shared" si="10"/>
        <v>387.0175</v>
      </c>
      <c r="O116" s="25">
        <f t="shared" si="11"/>
        <v>-0.06837129055</v>
      </c>
      <c r="P116" s="25">
        <f t="shared" si="12"/>
        <v>0.01953801358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IFERROR(__xludf.DUMMYFUNCTION("""COMPUTED_VALUE"""),46300.64583333333)</f>
        <v>46300.64583</v>
      </c>
      <c r="C117" s="1">
        <f>IFERROR(__xludf.DUMMYFUNCTION("""COMPUTED_VALUE"""),1184.4)</f>
        <v>1184.4</v>
      </c>
      <c r="D117" s="1"/>
      <c r="E117" s="112">
        <f>IFERROR(__xludf.DUMMYFUNCTION("""COMPUTED_VALUE"""),46300.64583333333)</f>
        <v>46300.64583</v>
      </c>
      <c r="F117" s="1">
        <f>IFERROR(__xludf.DUMMYFUNCTION("""COMPUTED_VALUE"""),366.5)</f>
        <v>366.5</v>
      </c>
      <c r="G117" s="1"/>
      <c r="H117" s="29">
        <f t="shared" si="4"/>
        <v>3.23165075</v>
      </c>
      <c r="I117" s="1">
        <f t="shared" si="5"/>
        <v>817.9</v>
      </c>
      <c r="J117" s="245">
        <f t="shared" si="6"/>
        <v>-2.570732483</v>
      </c>
      <c r="K117" s="246">
        <f t="shared" si="7"/>
        <v>3.23165075</v>
      </c>
      <c r="L117" s="65">
        <f t="shared" si="8"/>
        <v>1236.18</v>
      </c>
      <c r="M117" s="25">
        <f t="shared" si="9"/>
        <v>-0.0437183384</v>
      </c>
      <c r="N117" s="65">
        <f t="shared" si="10"/>
        <v>385.0925</v>
      </c>
      <c r="O117" s="25">
        <f t="shared" si="11"/>
        <v>-0.05072987722</v>
      </c>
      <c r="P117" s="25">
        <f t="shared" si="12"/>
        <v>0.007011538818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IFERROR(__xludf.DUMMYFUNCTION("""COMPUTED_VALUE"""),46301.64583333333)</f>
        <v>46301.64583</v>
      </c>
      <c r="C118" s="1">
        <f>IFERROR(__xludf.DUMMYFUNCTION("""COMPUTED_VALUE"""),1177.0)</f>
        <v>1177</v>
      </c>
      <c r="D118" s="1"/>
      <c r="E118" s="112">
        <f>IFERROR(__xludf.DUMMYFUNCTION("""COMPUTED_VALUE"""),46301.64583333333)</f>
        <v>46301.64583</v>
      </c>
      <c r="F118" s="1">
        <f>IFERROR(__xludf.DUMMYFUNCTION("""COMPUTED_VALUE"""),361.55)</f>
        <v>361.55</v>
      </c>
      <c r="G118" s="1"/>
      <c r="H118" s="29">
        <f t="shared" si="4"/>
        <v>3.255428018</v>
      </c>
      <c r="I118" s="1">
        <f t="shared" si="5"/>
        <v>815.45</v>
      </c>
      <c r="J118" s="245">
        <f t="shared" si="6"/>
        <v>-2.640119249</v>
      </c>
      <c r="K118" s="246">
        <f t="shared" si="7"/>
        <v>3.255428018</v>
      </c>
      <c r="L118" s="65">
        <f t="shared" si="8"/>
        <v>1230.84</v>
      </c>
      <c r="M118" s="25">
        <f t="shared" si="9"/>
        <v>-0.04574341546</v>
      </c>
      <c r="N118" s="65">
        <f t="shared" si="10"/>
        <v>382.92</v>
      </c>
      <c r="O118" s="25">
        <f t="shared" si="11"/>
        <v>-0.05910662426</v>
      </c>
      <c r="P118" s="25">
        <f t="shared" si="12"/>
        <v>0.01336320879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IFERROR(__xludf.DUMMYFUNCTION("""COMPUTED_VALUE"""),46302.64583333333)</f>
        <v>46302.64583</v>
      </c>
      <c r="C119" s="1">
        <f>IFERROR(__xludf.DUMMYFUNCTION("""COMPUTED_VALUE"""),1165.5)</f>
        <v>1165.5</v>
      </c>
      <c r="D119" s="1"/>
      <c r="E119" s="112">
        <f>IFERROR(__xludf.DUMMYFUNCTION("""COMPUTED_VALUE"""),46302.64583333333)</f>
        <v>46302.64583</v>
      </c>
      <c r="F119" s="1">
        <f>IFERROR(__xludf.DUMMYFUNCTION("""COMPUTED_VALUE"""),356.9)</f>
        <v>356.9</v>
      </c>
      <c r="G119" s="1"/>
      <c r="H119" s="29">
        <f t="shared" si="4"/>
        <v>3.265620622</v>
      </c>
      <c r="I119" s="1">
        <f t="shared" si="5"/>
        <v>808.6</v>
      </c>
      <c r="J119" s="245">
        <f t="shared" si="6"/>
        <v>-2.834118983</v>
      </c>
      <c r="K119" s="246">
        <f t="shared" si="7"/>
        <v>3.265620622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81"/>
      <c r="B120" s="182">
        <f>IFERROR(__xludf.DUMMYFUNCTION("""COMPUTED_VALUE"""),46303.64583333333)</f>
        <v>46303.64583</v>
      </c>
      <c r="C120" s="183">
        <f>IFERROR(__xludf.DUMMYFUNCTION("""COMPUTED_VALUE"""),1130.1)</f>
        <v>1130.1</v>
      </c>
      <c r="D120" s="183"/>
      <c r="E120" s="182">
        <f>IFERROR(__xludf.DUMMYFUNCTION("""COMPUTED_VALUE"""),46303.64583333333)</f>
        <v>46303.64583</v>
      </c>
      <c r="F120" s="183">
        <f>IFERROR(__xludf.DUMMYFUNCTION("""COMPUTED_VALUE"""),341.0)</f>
        <v>341</v>
      </c>
      <c r="G120" s="183"/>
      <c r="H120" s="29">
        <f t="shared" si="4"/>
        <v>3.314076246</v>
      </c>
      <c r="I120" s="1">
        <f t="shared" si="5"/>
        <v>789.1</v>
      </c>
      <c r="J120" s="245">
        <f t="shared" si="6"/>
        <v>-3.386380999</v>
      </c>
      <c r="K120" s="246">
        <f t="shared" si="7"/>
        <v>3.314076246</v>
      </c>
      <c r="L120" s="185"/>
      <c r="M120" s="186"/>
      <c r="N120" s="185"/>
      <c r="O120" s="186"/>
      <c r="P120" s="18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73"/>
      <c r="B121" s="174">
        <f>IFERROR(__xludf.DUMMYFUNCTION("""COMPUTED_VALUE"""),46304.64583333333)</f>
        <v>46304.64583</v>
      </c>
      <c r="C121" s="175">
        <f>IFERROR(__xludf.DUMMYFUNCTION("""COMPUTED_VALUE"""),1133.0)</f>
        <v>1133</v>
      </c>
      <c r="D121" s="175"/>
      <c r="E121" s="174">
        <f>IFERROR(__xludf.DUMMYFUNCTION("""COMPUTED_VALUE"""),46304.64583333333)</f>
        <v>46304.64583</v>
      </c>
      <c r="F121" s="175">
        <f>IFERROR(__xludf.DUMMYFUNCTION("""COMPUTED_VALUE"""),351.5)</f>
        <v>351.5</v>
      </c>
      <c r="G121" s="175"/>
      <c r="H121" s="29">
        <f t="shared" si="4"/>
        <v>3.223328592</v>
      </c>
      <c r="I121" s="1">
        <f t="shared" si="5"/>
        <v>781.5</v>
      </c>
      <c r="J121" s="245">
        <f t="shared" si="6"/>
        <v>-3.60162158</v>
      </c>
      <c r="K121" s="246">
        <f t="shared" si="7"/>
        <v>3.223328592</v>
      </c>
      <c r="L121" s="177"/>
      <c r="M121" s="178"/>
      <c r="N121" s="177"/>
      <c r="O121" s="178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</row>
    <row r="122">
      <c r="A122" s="173"/>
      <c r="B122" s="174">
        <f>IFERROR(__xludf.DUMMYFUNCTION("""COMPUTED_VALUE"""),46307.64583333333)</f>
        <v>46307.64583</v>
      </c>
      <c r="C122" s="175">
        <f>IFERROR(__xludf.DUMMYFUNCTION("""COMPUTED_VALUE"""),1124.9)</f>
        <v>1124.9</v>
      </c>
      <c r="D122" s="175"/>
      <c r="E122" s="174">
        <f>IFERROR(__xludf.DUMMYFUNCTION("""COMPUTED_VALUE"""),46307.64583333333)</f>
        <v>46307.64583</v>
      </c>
      <c r="F122" s="175">
        <f>IFERROR(__xludf.DUMMYFUNCTION("""COMPUTED_VALUE"""),348.0)</f>
        <v>348</v>
      </c>
      <c r="G122" s="175"/>
      <c r="H122" s="29">
        <f t="shared" si="4"/>
        <v>3.232471264</v>
      </c>
      <c r="I122" s="1">
        <f t="shared" si="5"/>
        <v>776.9</v>
      </c>
      <c r="J122" s="245">
        <f t="shared" si="6"/>
        <v>-3.731898773</v>
      </c>
      <c r="K122" s="246">
        <f t="shared" si="7"/>
        <v>3.232471264</v>
      </c>
      <c r="L122" s="177"/>
      <c r="M122" s="178"/>
      <c r="N122" s="177"/>
      <c r="O122" s="178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</row>
    <row r="123">
      <c r="A123" s="173"/>
      <c r="B123" s="174">
        <f>IFERROR(__xludf.DUMMYFUNCTION("""COMPUTED_VALUE"""),46308.64583333333)</f>
        <v>46308.64583</v>
      </c>
      <c r="C123" s="175">
        <f>IFERROR(__xludf.DUMMYFUNCTION("""COMPUTED_VALUE"""),1137.0)</f>
        <v>1137</v>
      </c>
      <c r="D123" s="175"/>
      <c r="E123" s="174">
        <f>IFERROR(__xludf.DUMMYFUNCTION("""COMPUTED_VALUE"""),46308.64583333333)</f>
        <v>46308.64583</v>
      </c>
      <c r="F123" s="175">
        <f>IFERROR(__xludf.DUMMYFUNCTION("""COMPUTED_VALUE"""),350.0)</f>
        <v>350</v>
      </c>
      <c r="G123" s="175"/>
      <c r="H123" s="29">
        <f t="shared" si="4"/>
        <v>3.248571429</v>
      </c>
      <c r="I123" s="175"/>
      <c r="J123" s="176"/>
      <c r="K123" s="179"/>
      <c r="L123" s="177"/>
      <c r="M123" s="178"/>
      <c r="N123" s="177"/>
      <c r="O123" s="178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</row>
    <row r="124">
      <c r="A124" s="173"/>
      <c r="B124" s="174">
        <f>IFERROR(__xludf.DUMMYFUNCTION("""COMPUTED_VALUE"""),46309.64583333333)</f>
        <v>46309.64583</v>
      </c>
      <c r="C124" s="175">
        <f>IFERROR(__xludf.DUMMYFUNCTION("""COMPUTED_VALUE"""),1135.9)</f>
        <v>1135.9</v>
      </c>
      <c r="D124" s="175"/>
      <c r="E124" s="174">
        <f>IFERROR(__xludf.DUMMYFUNCTION("""COMPUTED_VALUE"""),46309.64583333333)</f>
        <v>46309.64583</v>
      </c>
      <c r="F124" s="175">
        <f>IFERROR(__xludf.DUMMYFUNCTION("""COMPUTED_VALUE"""),349.0)</f>
        <v>349</v>
      </c>
      <c r="G124" s="175"/>
      <c r="H124" s="179"/>
      <c r="I124" s="175"/>
      <c r="J124" s="176"/>
      <c r="K124" s="179"/>
      <c r="L124" s="177"/>
      <c r="M124" s="178"/>
      <c r="N124" s="177"/>
      <c r="O124" s="178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</row>
    <row r="125">
      <c r="B125" s="166">
        <f>IFERROR(__xludf.DUMMYFUNCTION("""COMPUTED_VALUE"""),46310.64583333333)</f>
        <v>46310.64583</v>
      </c>
      <c r="C125" s="230">
        <f>IFERROR(__xludf.DUMMYFUNCTION("""COMPUTED_VALUE"""),1137.4)</f>
        <v>1137.4</v>
      </c>
      <c r="E125" s="166">
        <f>IFERROR(__xludf.DUMMYFUNCTION("""COMPUTED_VALUE"""),46310.64583333333)</f>
        <v>46310.64583</v>
      </c>
      <c r="F125" s="230">
        <f>IFERROR(__xludf.DUMMYFUNCTION("""COMPUTED_VALUE"""),350.9)</f>
        <v>350.9</v>
      </c>
    </row>
    <row r="126">
      <c r="B126" s="166">
        <f>IFERROR(__xludf.DUMMYFUNCTION("""COMPUTED_VALUE"""),46311.64583333333)</f>
        <v>46311.64583</v>
      </c>
      <c r="C126" s="230">
        <f>IFERROR(__xludf.DUMMYFUNCTION("""COMPUTED_VALUE"""),1187.2)</f>
        <v>1187.2</v>
      </c>
      <c r="E126" s="166">
        <f>IFERROR(__xludf.DUMMYFUNCTION("""COMPUTED_VALUE"""),46311.64583333333)</f>
        <v>46311.64583</v>
      </c>
      <c r="F126" s="230">
        <f>IFERROR(__xludf.DUMMYFUNCTION("""COMPUTED_VALUE"""),360.0)</f>
        <v>360</v>
      </c>
    </row>
    <row r="128">
      <c r="A128" s="173" t="s">
        <v>9</v>
      </c>
      <c r="B128" s="174">
        <f>IFERROR(__xludf.DUMMYFUNCTION("GOOGLEFINANCE(B9,""TRADETIME"")"),46311.64583333333)</f>
        <v>46311.64583</v>
      </c>
      <c r="C128" s="175">
        <f>IFERROR(__xludf.DUMMYFUNCTION("GOOGLEFINANCE(B9,""PRICE"")"),1191.0)</f>
        <v>1191</v>
      </c>
      <c r="D128" s="175"/>
      <c r="E128" s="174">
        <f>IFERROR(__xludf.DUMMYFUNCTION("GOOGLEFINANCE(E9,""TRADETIME"")"),46311.64583333333)</f>
        <v>46311.64583</v>
      </c>
      <c r="F128" s="175">
        <f>IFERROR(__xludf.DUMMYFUNCTION("GOOGLEFINANCE(E9,""PRICE"")"),360.0)</f>
        <v>360</v>
      </c>
      <c r="G128" s="175"/>
      <c r="H128" s="179">
        <f>C128/F128</f>
        <v>3.308333333</v>
      </c>
      <c r="I128" s="175">
        <f>C128-F128</f>
        <v>831</v>
      </c>
      <c r="J128" s="176">
        <f>((I128-$I$129)/$I$130)</f>
        <v>-2.199725693</v>
      </c>
      <c r="K128" s="179">
        <f>C128/F128</f>
        <v>3.308333333</v>
      </c>
      <c r="L128" s="177">
        <f>AVERAGE(C73:C109)</f>
        <v>1300.659459</v>
      </c>
      <c r="M128" s="178">
        <f>(C128-L128)/C128</f>
        <v>-0.09207343364</v>
      </c>
      <c r="N128" s="177">
        <f>AVERAGE(F73:F109)</f>
        <v>410.127027</v>
      </c>
      <c r="O128" s="178">
        <f>(F128-N128)/F128</f>
        <v>-0.1392417417</v>
      </c>
      <c r="P128" s="178">
        <f>M128-O128</f>
        <v>0.04716830811</v>
      </c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</row>
    <row r="129">
      <c r="A129" s="1"/>
      <c r="B129" s="1"/>
      <c r="C129" s="1"/>
      <c r="D129" s="1"/>
      <c r="E129" s="1"/>
      <c r="F129" s="1"/>
      <c r="G129" s="1"/>
      <c r="H129" s="96" t="s">
        <v>138</v>
      </c>
      <c r="I129" s="177">
        <f>AVERAGE(I11:I118)</f>
        <v>908.6708333</v>
      </c>
      <c r="J129" s="11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96" t="s">
        <v>139</v>
      </c>
      <c r="I130" s="189">
        <f>_xlfn.STDEV.P(I11:I117)</f>
        <v>35.30932679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9.5"/>
    <col customWidth="1" min="5" max="5" width="16.25"/>
    <col customWidth="1" min="6" max="6" width="7.63"/>
    <col customWidth="1" min="7" max="7" width="15.38"/>
    <col customWidth="1" min="8" max="11" width="10.75"/>
    <col customWidth="1" min="12" max="12" width="16.88"/>
    <col customWidth="1" min="13" max="13" width="16.25"/>
    <col customWidth="1" min="14" max="14" width="14.5"/>
    <col customWidth="1" min="15" max="15" width="19.25"/>
    <col customWidth="1" min="16" max="16" width="16.0"/>
  </cols>
  <sheetData>
    <row r="1">
      <c r="A1" s="9"/>
      <c r="B1" s="204" t="s">
        <v>0</v>
      </c>
      <c r="C1" s="205">
        <f>AVERAGE(C98:C118)</f>
        <v>2137.566667</v>
      </c>
      <c r="D1" s="9"/>
      <c r="E1" s="204" t="s">
        <v>0</v>
      </c>
      <c r="F1" s="205">
        <f>AVERAGE(F98:F118)</f>
        <v>1241.22381</v>
      </c>
      <c r="G1" s="193">
        <f>STDEV(F74:F93)</f>
        <v>27.53865035</v>
      </c>
      <c r="H1" s="9"/>
      <c r="I1" s="9"/>
      <c r="J1" s="9"/>
      <c r="K1" s="9"/>
      <c r="L1" s="9"/>
      <c r="M1" s="206"/>
      <c r="N1" s="9"/>
      <c r="O1" s="9"/>
      <c r="P1" s="193" t="s">
        <v>1</v>
      </c>
      <c r="Q1" s="193" t="s">
        <v>2</v>
      </c>
      <c r="R1" s="193" t="s">
        <v>3</v>
      </c>
      <c r="S1" s="9"/>
      <c r="T1" s="7" t="s">
        <v>5</v>
      </c>
      <c r="U1" s="7" t="s">
        <v>176</v>
      </c>
      <c r="V1" s="7" t="s">
        <v>177</v>
      </c>
      <c r="W1" s="7" t="s">
        <v>11</v>
      </c>
      <c r="X1" s="13" t="s">
        <v>12</v>
      </c>
      <c r="Y1" s="14"/>
      <c r="Z1" s="1"/>
      <c r="AA1" s="9"/>
      <c r="AB1" s="9"/>
      <c r="AC1" s="9"/>
    </row>
    <row r="2">
      <c r="A2" s="9"/>
      <c r="B2" s="207" t="s">
        <v>20</v>
      </c>
      <c r="C2" s="208">
        <f>AVERAGE(C88:C118)</f>
        <v>2195.806452</v>
      </c>
      <c r="D2" s="9"/>
      <c r="E2" s="207" t="s">
        <v>20</v>
      </c>
      <c r="F2" s="208">
        <f>AVERAGE(F88:F118)</f>
        <v>1264.76129</v>
      </c>
      <c r="G2" s="206"/>
      <c r="H2" s="209"/>
      <c r="I2" s="209"/>
      <c r="J2" s="209"/>
      <c r="K2" s="209"/>
      <c r="L2" s="206"/>
      <c r="M2" s="193" t="s">
        <v>23</v>
      </c>
      <c r="N2" s="210">
        <f>CORREL(C88:C118,F88:F118)</f>
        <v>0.766710829</v>
      </c>
      <c r="O2" s="193" t="s">
        <v>25</v>
      </c>
      <c r="P2" s="199">
        <f>AVERAGE(K88:K117)</f>
        <v>1.73531661</v>
      </c>
      <c r="Q2" s="199">
        <f>MAX(K88:K117)</f>
        <v>1.828456028</v>
      </c>
      <c r="R2" s="199">
        <f>MIN(K88:K117)</f>
        <v>1.653121507</v>
      </c>
      <c r="S2" s="40">
        <f t="shared" ref="S2:S5" si="1">Q2-R2</f>
        <v>0.1753345208</v>
      </c>
      <c r="T2" s="1">
        <f>MATCH(MAX(K11:K116), K11:K116, 0)</f>
        <v>2</v>
      </c>
      <c r="U2" s="1">
        <f t="array" ref="U2">INDEX(C11:C116, MATCH(MAX(K11:K116), K11:K116, 0))</f>
        <v>2435.4</v>
      </c>
      <c r="V2" s="1">
        <f t="array" ref="V2">INDEX(F11:F116, MATCH(MAX(K11:K116), K11:K116, 0))</f>
        <v>1189.1</v>
      </c>
      <c r="W2" s="54">
        <f t="shared" ref="W2:W3" si="2">U2/V2</f>
        <v>2.048103608</v>
      </c>
      <c r="X2" s="7" t="s">
        <v>2</v>
      </c>
      <c r="Y2" s="14"/>
      <c r="Z2" s="1"/>
      <c r="AA2" s="9"/>
      <c r="AB2" s="9"/>
      <c r="AC2" s="9"/>
    </row>
    <row r="3">
      <c r="A3" s="193">
        <f>STDEV(C75:C93)</f>
        <v>62.8935818</v>
      </c>
      <c r="B3" s="211" t="s">
        <v>61</v>
      </c>
      <c r="C3" s="212">
        <f>max(C98:C118)</f>
        <v>2270</v>
      </c>
      <c r="D3" s="213">
        <f>C1+A3*2</f>
        <v>2263.35383</v>
      </c>
      <c r="E3" s="211" t="s">
        <v>61</v>
      </c>
      <c r="F3" s="212">
        <f>max(F98:F118)</f>
        <v>1282.8</v>
      </c>
      <c r="G3" s="213">
        <f>F1+G1*2</f>
        <v>1296.30111</v>
      </c>
      <c r="H3" s="209"/>
      <c r="I3" s="209"/>
      <c r="J3" s="209"/>
      <c r="K3" s="209"/>
      <c r="L3" s="206"/>
      <c r="M3" s="193" t="s">
        <v>64</v>
      </c>
      <c r="N3" s="210">
        <f>CORREL(C58:C118,F58:F118)</f>
        <v>0.8062655404</v>
      </c>
      <c r="O3" s="193" t="s">
        <v>67</v>
      </c>
      <c r="P3" s="199">
        <f>AVERAGE((K58:K117))</f>
        <v>1.762981766</v>
      </c>
      <c r="Q3" s="199">
        <f>MAX(K58:K117)</f>
        <v>1.886174681</v>
      </c>
      <c r="R3" s="199">
        <f>MIN(K58:K117)</f>
        <v>1.653121507</v>
      </c>
      <c r="S3" s="40">
        <f t="shared" si="1"/>
        <v>0.2330531735</v>
      </c>
      <c r="T3" s="1">
        <f>MATCH(Min(K11:K116), K11:K116, 0)</f>
        <v>102</v>
      </c>
      <c r="U3" s="1">
        <f t="array" ref="U3">INDEX(C11:C116, MATCH(Min(K11:K116), K11:K116, 0))</f>
        <v>2070.7</v>
      </c>
      <c r="V3" s="1">
        <f t="array" ref="V3">INDEX(F11:F116, MATCH(MIN(K11:K116), K11:K116, 0))</f>
        <v>1252.6</v>
      </c>
      <c r="W3" s="54">
        <f t="shared" si="2"/>
        <v>1.653121507</v>
      </c>
      <c r="X3" s="7" t="s">
        <v>3</v>
      </c>
      <c r="Y3" s="9"/>
      <c r="Z3" s="1"/>
      <c r="AA3" s="9"/>
      <c r="AB3" s="9"/>
      <c r="AC3" s="9"/>
    </row>
    <row r="4">
      <c r="A4" s="9"/>
      <c r="B4" s="211" t="s">
        <v>73</v>
      </c>
      <c r="C4" s="212">
        <f>MIN(C98:C118)</f>
        <v>2032.4</v>
      </c>
      <c r="D4" s="213">
        <f>C1-A3*2</f>
        <v>2011.779503</v>
      </c>
      <c r="E4" s="211" t="s">
        <v>73</v>
      </c>
      <c r="F4" s="212">
        <f>MIN(F98:F118)</f>
        <v>1185</v>
      </c>
      <c r="G4" s="213">
        <f>F1-G1*2</f>
        <v>1186.146509</v>
      </c>
      <c r="H4" s="209"/>
      <c r="I4" s="209"/>
      <c r="J4" s="209"/>
      <c r="K4" s="209"/>
      <c r="L4" s="206"/>
      <c r="M4" s="193" t="s">
        <v>77</v>
      </c>
      <c r="N4" s="210">
        <f>CORREL(C28:C118,F28:F118)</f>
        <v>0.7902011899</v>
      </c>
      <c r="O4" s="193" t="s">
        <v>79</v>
      </c>
      <c r="P4" s="199">
        <f>AVERAGE(K28:K117)</f>
        <v>1.80331717</v>
      </c>
      <c r="Q4" s="199">
        <f>MAX(K28:K117)</f>
        <v>1.967752312</v>
      </c>
      <c r="R4" s="199">
        <f>MIN(K28:K117)</f>
        <v>1.653121507</v>
      </c>
      <c r="S4" s="40">
        <f t="shared" si="1"/>
        <v>0.3146308048</v>
      </c>
      <c r="T4" s="1"/>
      <c r="U4" s="1"/>
      <c r="V4" s="1"/>
      <c r="W4" s="54"/>
      <c r="X4" s="1"/>
      <c r="Y4" s="9"/>
      <c r="Z4" s="1"/>
      <c r="AA4" s="9"/>
      <c r="AB4" s="9"/>
      <c r="AC4" s="9"/>
    </row>
    <row r="5">
      <c r="A5" s="9"/>
      <c r="B5" s="211" t="s">
        <v>81</v>
      </c>
      <c r="C5" s="212">
        <f>max(C108:C118)</f>
        <v>2114.4</v>
      </c>
      <c r="D5" s="213">
        <f>C1+A3</f>
        <v>2200.460248</v>
      </c>
      <c r="E5" s="211" t="s">
        <v>81</v>
      </c>
      <c r="F5" s="212">
        <f>max(F108:F118)</f>
        <v>1270.4</v>
      </c>
      <c r="G5" s="213">
        <f>F1+G1</f>
        <v>1268.76246</v>
      </c>
      <c r="H5" s="9"/>
      <c r="I5" s="9"/>
      <c r="J5" s="9"/>
      <c r="K5" s="9"/>
      <c r="L5" s="9"/>
      <c r="M5" s="193" t="s">
        <v>82</v>
      </c>
      <c r="N5" s="210">
        <f>CORREL(C11:C118,F11:F118)</f>
        <v>0.6177138423</v>
      </c>
      <c r="O5" s="193" t="s">
        <v>83</v>
      </c>
      <c r="P5" s="199">
        <f>AVERAGE(K11:K117)</f>
        <v>1.833907786</v>
      </c>
      <c r="Q5" s="199">
        <f>MAX(K11:K117)</f>
        <v>2.048103608</v>
      </c>
      <c r="R5" s="199">
        <f>MIN(K11:K117)</f>
        <v>1.653121507</v>
      </c>
      <c r="S5" s="40">
        <f t="shared" si="1"/>
        <v>0.3949821005</v>
      </c>
      <c r="T5" s="96" t="s">
        <v>176</v>
      </c>
      <c r="U5" s="96">
        <v>4.0</v>
      </c>
      <c r="V5" s="99">
        <f>U2*U7*U5</f>
        <v>1704780</v>
      </c>
      <c r="W5" s="101">
        <f>V2*U6*U8</f>
        <v>2080925</v>
      </c>
      <c r="X5" s="99"/>
      <c r="Y5" s="9"/>
      <c r="Z5" s="1"/>
      <c r="AA5" s="9"/>
      <c r="AB5" s="9"/>
      <c r="AC5" s="9"/>
    </row>
    <row r="6">
      <c r="A6" s="9"/>
      <c r="B6" s="211" t="s">
        <v>87</v>
      </c>
      <c r="C6" s="212">
        <f>MIN(C108:C118)</f>
        <v>2032.4</v>
      </c>
      <c r="D6" s="213">
        <f>C1-A3</f>
        <v>2074.673085</v>
      </c>
      <c r="E6" s="211" t="s">
        <v>87</v>
      </c>
      <c r="F6" s="212">
        <f>MIN(F108:F118)</f>
        <v>1185</v>
      </c>
      <c r="G6" s="213">
        <f>F1-G1</f>
        <v>1213.685159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6" t="s">
        <v>177</v>
      </c>
      <c r="U6" s="96">
        <v>5.0</v>
      </c>
      <c r="V6" s="99">
        <f>U3*U5*U7</f>
        <v>1449490</v>
      </c>
      <c r="W6" s="99">
        <f>V3*U6*U8</f>
        <v>2192050</v>
      </c>
      <c r="X6" s="99"/>
      <c r="Y6" s="9"/>
      <c r="Z6" s="1"/>
      <c r="AA6" s="9"/>
      <c r="AB6" s="9"/>
      <c r="AC6" s="9"/>
    </row>
    <row r="7">
      <c r="A7" s="9"/>
      <c r="B7" s="214" t="s">
        <v>88</v>
      </c>
      <c r="C7" s="193">
        <f>max(C88:C118)</f>
        <v>2399.3</v>
      </c>
      <c r="D7" s="9"/>
      <c r="E7" s="214" t="s">
        <v>88</v>
      </c>
      <c r="F7" s="193">
        <f>max(F88:F118)</f>
        <v>1351.4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7" t="s">
        <v>176</v>
      </c>
      <c r="U7" s="7">
        <v>175.0</v>
      </c>
      <c r="V7" s="1"/>
      <c r="W7" s="1"/>
      <c r="X7" s="1"/>
      <c r="Y7" s="9"/>
      <c r="Z7" s="1"/>
      <c r="AA7" s="9"/>
      <c r="AB7" s="9"/>
      <c r="AC7" s="9"/>
    </row>
    <row r="8">
      <c r="A8" s="9"/>
      <c r="B8" s="211" t="s">
        <v>90</v>
      </c>
      <c r="C8" s="215">
        <f>AVERAGE(C98:C118)</f>
        <v>2137.566667</v>
      </c>
      <c r="D8" s="9"/>
      <c r="E8" s="211" t="s">
        <v>90</v>
      </c>
      <c r="F8" s="215">
        <f>AVERAGE(F98:F118)</f>
        <v>1241.22381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7" t="s">
        <v>177</v>
      </c>
      <c r="U8" s="7">
        <v>350.0</v>
      </c>
      <c r="V8" s="1"/>
      <c r="W8" s="1"/>
      <c r="X8" s="1"/>
      <c r="Y8" s="9"/>
      <c r="Z8" s="1"/>
      <c r="AA8" s="9"/>
      <c r="AB8" s="9"/>
      <c r="AC8" s="9"/>
    </row>
    <row r="9">
      <c r="A9" s="9"/>
      <c r="B9" s="216" t="s">
        <v>119</v>
      </c>
      <c r="C9" s="9"/>
      <c r="D9" s="9"/>
      <c r="E9" s="216" t="s">
        <v>120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"/>
      <c r="U9" s="1"/>
      <c r="V9" s="1"/>
      <c r="W9" s="1"/>
      <c r="X9" s="1"/>
      <c r="Y9" s="9"/>
      <c r="Z9" s="1"/>
      <c r="AA9" s="9"/>
      <c r="AB9" s="9"/>
      <c r="AC9" s="9"/>
    </row>
    <row r="10">
      <c r="A10" s="9"/>
      <c r="B10" s="193" t="str">
        <f>IFERROR(__xludf.DUMMYFUNCTION("GOOGLEFINANCE(B9,""price"",TODAY()-165,TODAY())"),"Date")</f>
        <v>Date</v>
      </c>
      <c r="C10" s="193" t="str">
        <f>IFERROR(__xludf.DUMMYFUNCTION("""COMPUTED_VALUE"""),"Close")</f>
        <v>Close</v>
      </c>
      <c r="D10" s="9"/>
      <c r="E10" s="193" t="str">
        <f>IFERROR(__xludf.DUMMYFUNCTION("GOOGLEFINANCE(E9,""price"",TODAY()-165,TODAY())"),"Date")</f>
        <v>Date</v>
      </c>
      <c r="F10" s="193" t="str">
        <f>IFERROR(__xludf.DUMMYFUNCTION("""COMPUTED_VALUE"""),"Close")</f>
        <v>Close</v>
      </c>
      <c r="G10" s="9"/>
      <c r="H10" s="7" t="s">
        <v>92</v>
      </c>
      <c r="I10" s="7" t="s">
        <v>93</v>
      </c>
      <c r="J10" s="7" t="s">
        <v>94</v>
      </c>
      <c r="K10" s="193" t="s">
        <v>92</v>
      </c>
      <c r="L10" s="110" t="s">
        <v>184</v>
      </c>
      <c r="M10" s="110" t="s">
        <v>186</v>
      </c>
      <c r="N10" s="110" t="s">
        <v>187</v>
      </c>
      <c r="O10" s="110" t="s">
        <v>188</v>
      </c>
      <c r="P10" s="214" t="s">
        <v>99</v>
      </c>
      <c r="Q10" s="9"/>
      <c r="R10" s="9"/>
      <c r="S10" s="9"/>
      <c r="T10" s="1"/>
      <c r="U10" s="1"/>
      <c r="V10" s="1"/>
      <c r="W10" s="1"/>
      <c r="X10" s="1"/>
      <c r="Y10" s="110" t="s">
        <v>1</v>
      </c>
      <c r="Z10" s="111" t="s">
        <v>176</v>
      </c>
      <c r="AA10" s="111" t="s">
        <v>177</v>
      </c>
      <c r="AB10" s="9"/>
      <c r="AC10" s="9"/>
    </row>
    <row r="11">
      <c r="A11" s="9"/>
      <c r="B11" s="217">
        <f>IFERROR(__xludf.DUMMYFUNCTION("""COMPUTED_VALUE"""),46147.64583333333)</f>
        <v>46147.64583</v>
      </c>
      <c r="C11" s="193">
        <f>IFERROR(__xludf.DUMMYFUNCTION("""COMPUTED_VALUE"""),2427.3)</f>
        <v>2427.3</v>
      </c>
      <c r="D11" s="9"/>
      <c r="E11" s="217">
        <f>IFERROR(__xludf.DUMMYFUNCTION("""COMPUTED_VALUE"""),46147.64583333333)</f>
        <v>46147.64583</v>
      </c>
      <c r="F11" s="193">
        <f>IFERROR(__xludf.DUMMYFUNCTION("""COMPUTED_VALUE"""),1200.2)</f>
        <v>1200.2</v>
      </c>
      <c r="G11" s="9"/>
      <c r="H11" s="29">
        <f t="shared" ref="H11:H119" si="3">C11/F11</f>
        <v>2.022412931</v>
      </c>
      <c r="I11" s="1">
        <f t="shared" ref="I11:I119" si="4">C11-F11</f>
        <v>1227.1</v>
      </c>
      <c r="J11" s="113">
        <f t="shared" ref="J11:J119" si="5">((I11-$I$129)/$I$130)</f>
        <v>2.222814022</v>
      </c>
      <c r="K11" s="199">
        <f t="shared" ref="K11:K119" si="6">C11/F11</f>
        <v>2.022412931</v>
      </c>
      <c r="L11" s="9"/>
      <c r="M11" s="9"/>
      <c r="N11" s="9"/>
      <c r="O11" s="9"/>
      <c r="P11" s="9"/>
      <c r="Q11" s="9"/>
      <c r="R11" s="9"/>
      <c r="S11" s="9"/>
      <c r="T11" s="1"/>
      <c r="U11" s="1"/>
      <c r="V11" s="1">
        <f>V5-V6</f>
        <v>255290</v>
      </c>
      <c r="W11" s="54">
        <f>W6-W5</f>
        <v>111125</v>
      </c>
      <c r="X11" s="101">
        <f>V11+W11</f>
        <v>366415</v>
      </c>
      <c r="Y11" s="110" t="s">
        <v>101</v>
      </c>
      <c r="Z11" s="115">
        <f>AVERAGE(C88,C118)</f>
        <v>2182.2</v>
      </c>
      <c r="AA11" s="115">
        <f>AVERAGE(F88,F118)</f>
        <v>1253.5</v>
      </c>
      <c r="AB11" s="9"/>
      <c r="AC11" s="9"/>
    </row>
    <row r="12">
      <c r="A12" s="9"/>
      <c r="B12" s="217">
        <f>IFERROR(__xludf.DUMMYFUNCTION("""COMPUTED_VALUE"""),46148.64583333333)</f>
        <v>46148.64583</v>
      </c>
      <c r="C12" s="193">
        <f>IFERROR(__xludf.DUMMYFUNCTION("""COMPUTED_VALUE"""),2435.4)</f>
        <v>2435.4</v>
      </c>
      <c r="D12" s="9"/>
      <c r="E12" s="217">
        <f>IFERROR(__xludf.DUMMYFUNCTION("""COMPUTED_VALUE"""),46148.64583333333)</f>
        <v>46148.64583</v>
      </c>
      <c r="F12" s="193">
        <f>IFERROR(__xludf.DUMMYFUNCTION("""COMPUTED_VALUE"""),1189.1)</f>
        <v>1189.1</v>
      </c>
      <c r="G12" s="9"/>
      <c r="H12" s="29">
        <f t="shared" si="3"/>
        <v>2.048103608</v>
      </c>
      <c r="I12" s="1">
        <f t="shared" si="4"/>
        <v>1246.3</v>
      </c>
      <c r="J12" s="113">
        <f t="shared" si="5"/>
        <v>2.423668435</v>
      </c>
      <c r="K12" s="199">
        <f t="shared" si="6"/>
        <v>2.048103608</v>
      </c>
      <c r="L12" s="9"/>
      <c r="M12" s="9"/>
      <c r="N12" s="9"/>
      <c r="O12" s="9"/>
      <c r="P12" s="9"/>
      <c r="Q12" s="9"/>
      <c r="R12" s="9"/>
      <c r="S12" s="9"/>
      <c r="T12" s="7" t="s">
        <v>103</v>
      </c>
      <c r="U12" s="116">
        <f>S2/2</f>
        <v>0.08766726039</v>
      </c>
      <c r="V12" s="1"/>
      <c r="W12" s="1"/>
      <c r="X12" s="1"/>
      <c r="Y12" s="110" t="s">
        <v>104</v>
      </c>
      <c r="Z12" s="115">
        <f>AVERAGE(C58,C118)</f>
        <v>2130.9</v>
      </c>
      <c r="AA12" s="115">
        <f>AVERAGE(F58,F118)</f>
        <v>1203.1</v>
      </c>
      <c r="AB12" s="9"/>
      <c r="AC12" s="9"/>
    </row>
    <row r="13">
      <c r="A13" s="9"/>
      <c r="B13" s="217">
        <f>IFERROR(__xludf.DUMMYFUNCTION("""COMPUTED_VALUE"""),46149.64583333333)</f>
        <v>46149.64583</v>
      </c>
      <c r="C13" s="193">
        <f>IFERROR(__xludf.DUMMYFUNCTION("""COMPUTED_VALUE"""),2401.4)</f>
        <v>2401.4</v>
      </c>
      <c r="D13" s="9"/>
      <c r="E13" s="217">
        <f>IFERROR(__xludf.DUMMYFUNCTION("""COMPUTED_VALUE"""),46149.64583333333)</f>
        <v>46149.64583</v>
      </c>
      <c r="F13" s="193">
        <f>IFERROR(__xludf.DUMMYFUNCTION("""COMPUTED_VALUE"""),1183.4)</f>
        <v>1183.4</v>
      </c>
      <c r="G13" s="9"/>
      <c r="H13" s="29">
        <f t="shared" si="3"/>
        <v>2.029237789</v>
      </c>
      <c r="I13" s="1">
        <f t="shared" si="4"/>
        <v>1218</v>
      </c>
      <c r="J13" s="113">
        <f t="shared" si="5"/>
        <v>2.127617399</v>
      </c>
      <c r="K13" s="199">
        <f t="shared" si="6"/>
        <v>2.029237789</v>
      </c>
      <c r="L13" s="9"/>
      <c r="M13" s="9"/>
      <c r="N13" s="9"/>
      <c r="O13" s="209"/>
      <c r="P13" s="9"/>
      <c r="Q13" s="9"/>
      <c r="R13" s="9"/>
      <c r="S13" s="9"/>
      <c r="T13" s="117"/>
      <c r="U13" s="118">
        <f>(X11*U12)/S2</f>
        <v>183207.5</v>
      </c>
      <c r="V13" s="117"/>
      <c r="W13" s="117"/>
      <c r="X13" s="119">
        <f>X11/(R2/U12)</f>
        <v>19431.48103</v>
      </c>
      <c r="Y13" s="110" t="s">
        <v>105</v>
      </c>
      <c r="Z13" s="115">
        <f>AVERAGE(C28,C118)</f>
        <v>2169.6</v>
      </c>
      <c r="AA13" s="115">
        <f>AVERAGE(F28,F118)</f>
        <v>1184.4</v>
      </c>
      <c r="AB13" s="9"/>
      <c r="AC13" s="9"/>
    </row>
    <row r="14">
      <c r="A14" s="9"/>
      <c r="B14" s="217">
        <f>IFERROR(__xludf.DUMMYFUNCTION("""COMPUTED_VALUE"""),46150.64583333333)</f>
        <v>46150.64583</v>
      </c>
      <c r="C14" s="193">
        <f>IFERROR(__xludf.DUMMYFUNCTION("""COMPUTED_VALUE"""),2394.4)</f>
        <v>2394.4</v>
      </c>
      <c r="D14" s="9"/>
      <c r="E14" s="217">
        <f>IFERROR(__xludf.DUMMYFUNCTION("""COMPUTED_VALUE"""),46150.64583333333)</f>
        <v>46150.64583</v>
      </c>
      <c r="F14" s="193">
        <f>IFERROR(__xludf.DUMMYFUNCTION("""COMPUTED_VALUE"""),1198.4)</f>
        <v>1198.4</v>
      </c>
      <c r="G14" s="9"/>
      <c r="H14" s="29">
        <f t="shared" si="3"/>
        <v>1.99799733</v>
      </c>
      <c r="I14" s="1">
        <f t="shared" si="4"/>
        <v>1196</v>
      </c>
      <c r="J14" s="113">
        <f t="shared" si="5"/>
        <v>1.897471718</v>
      </c>
      <c r="K14" s="199">
        <f t="shared" si="6"/>
        <v>1.99799733</v>
      </c>
      <c r="L14" s="9"/>
      <c r="M14" s="9"/>
      <c r="N14" s="9"/>
      <c r="O14" s="9"/>
      <c r="P14" s="9"/>
      <c r="Q14" s="9"/>
      <c r="R14" s="9"/>
      <c r="S14" s="1"/>
      <c r="T14" s="1"/>
      <c r="U14" s="1"/>
      <c r="V14" s="1"/>
      <c r="W14" s="1"/>
      <c r="X14" s="1"/>
      <c r="Y14" s="1"/>
      <c r="Z14" s="1"/>
      <c r="AA14" s="9"/>
      <c r="AB14" s="9"/>
      <c r="AC14" s="9"/>
    </row>
    <row r="15">
      <c r="A15" s="9"/>
      <c r="B15" s="217">
        <f>IFERROR(__xludf.DUMMYFUNCTION("""COMPUTED_VALUE"""),46153.64583333333)</f>
        <v>46153.64583</v>
      </c>
      <c r="C15" s="193">
        <f>IFERROR(__xludf.DUMMYFUNCTION("""COMPUTED_VALUE"""),2392.9)</f>
        <v>2392.9</v>
      </c>
      <c r="D15" s="9"/>
      <c r="E15" s="217">
        <f>IFERROR(__xludf.DUMMYFUNCTION("""COMPUTED_VALUE"""),46153.64583333333)</f>
        <v>46153.64583</v>
      </c>
      <c r="F15" s="193">
        <f>IFERROR(__xludf.DUMMYFUNCTION("""COMPUTED_VALUE"""),1194.9)</f>
        <v>1194.9</v>
      </c>
      <c r="G15" s="9"/>
      <c r="H15" s="29">
        <f t="shared" si="3"/>
        <v>2.002594359</v>
      </c>
      <c r="I15" s="1">
        <f t="shared" si="4"/>
        <v>1198</v>
      </c>
      <c r="J15" s="113">
        <f t="shared" si="5"/>
        <v>1.918394052</v>
      </c>
      <c r="K15" s="199">
        <f t="shared" si="6"/>
        <v>2.002594359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217">
        <f>IFERROR(__xludf.DUMMYFUNCTION("""COMPUTED_VALUE"""),46154.64583333333)</f>
        <v>46154.64583</v>
      </c>
      <c r="C16" s="193">
        <f>IFERROR(__xludf.DUMMYFUNCTION("""COMPUTED_VALUE"""),2300.3)</f>
        <v>2300.3</v>
      </c>
      <c r="D16" s="9"/>
      <c r="E16" s="217">
        <f>IFERROR(__xludf.DUMMYFUNCTION("""COMPUTED_VALUE"""),46154.64583333333)</f>
        <v>46154.64583</v>
      </c>
      <c r="F16" s="193">
        <f>IFERROR(__xludf.DUMMYFUNCTION("""COMPUTED_VALUE"""),1145.8)</f>
        <v>1145.8</v>
      </c>
      <c r="G16" s="9"/>
      <c r="H16" s="29">
        <f t="shared" si="3"/>
        <v>2.007592948</v>
      </c>
      <c r="I16" s="1">
        <f t="shared" si="4"/>
        <v>1154.5</v>
      </c>
      <c r="J16" s="113">
        <f t="shared" si="5"/>
        <v>1.463333273</v>
      </c>
      <c r="K16" s="199">
        <f t="shared" si="6"/>
        <v>2.007592948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217">
        <f>IFERROR(__xludf.DUMMYFUNCTION("""COMPUTED_VALUE"""),46155.64583333333)</f>
        <v>46155.64583</v>
      </c>
      <c r="C17" s="193">
        <f>IFERROR(__xludf.DUMMYFUNCTION("""COMPUTED_VALUE"""),2272.8)</f>
        <v>2272.8</v>
      </c>
      <c r="D17" s="9"/>
      <c r="E17" s="217">
        <f>IFERROR(__xludf.DUMMYFUNCTION("""COMPUTED_VALUE"""),46155.64583333333)</f>
        <v>46155.64583</v>
      </c>
      <c r="F17" s="193">
        <f>IFERROR(__xludf.DUMMYFUNCTION("""COMPUTED_VALUE"""),1143.2)</f>
        <v>1143.2</v>
      </c>
      <c r="G17" s="9"/>
      <c r="H17" s="29">
        <f t="shared" si="3"/>
        <v>1.988103569</v>
      </c>
      <c r="I17" s="1">
        <f t="shared" si="4"/>
        <v>1129.6</v>
      </c>
      <c r="J17" s="113">
        <f t="shared" si="5"/>
        <v>1.202850206</v>
      </c>
      <c r="K17" s="199">
        <f t="shared" si="6"/>
        <v>1.988103569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217">
        <f>IFERROR(__xludf.DUMMYFUNCTION("""COMPUTED_VALUE"""),46156.64583333333)</f>
        <v>46156.64583</v>
      </c>
      <c r="C18" s="193">
        <f>IFERROR(__xludf.DUMMYFUNCTION("""COMPUTED_VALUE"""),2246.0)</f>
        <v>2246</v>
      </c>
      <c r="D18" s="9"/>
      <c r="E18" s="217">
        <f>IFERROR(__xludf.DUMMYFUNCTION("""COMPUTED_VALUE"""),46156.64583333333)</f>
        <v>46156.64583</v>
      </c>
      <c r="F18" s="193">
        <f>IFERROR(__xludf.DUMMYFUNCTION("""COMPUTED_VALUE"""),1124.0)</f>
        <v>1124</v>
      </c>
      <c r="G18" s="9"/>
      <c r="H18" s="29">
        <f t="shared" si="3"/>
        <v>1.998220641</v>
      </c>
      <c r="I18" s="1">
        <f t="shared" si="4"/>
        <v>1122</v>
      </c>
      <c r="J18" s="113">
        <f t="shared" si="5"/>
        <v>1.123345334</v>
      </c>
      <c r="K18" s="199">
        <f t="shared" si="6"/>
        <v>1.998220641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217">
        <f>IFERROR(__xludf.DUMMYFUNCTION("""COMPUTED_VALUE"""),46157.64583333333)</f>
        <v>46157.64583</v>
      </c>
      <c r="C19" s="193">
        <f>IFERROR(__xludf.DUMMYFUNCTION("""COMPUTED_VALUE"""),2264.0)</f>
        <v>2264</v>
      </c>
      <c r="D19" s="9"/>
      <c r="E19" s="217">
        <f>IFERROR(__xludf.DUMMYFUNCTION("""COMPUTED_VALUE"""),46157.64583333333)</f>
        <v>46157.64583</v>
      </c>
      <c r="F19" s="193">
        <f>IFERROR(__xludf.DUMMYFUNCTION("""COMPUTED_VALUE"""),1132.6)</f>
        <v>1132.6</v>
      </c>
      <c r="G19" s="9"/>
      <c r="H19" s="29">
        <f t="shared" si="3"/>
        <v>1.998940491</v>
      </c>
      <c r="I19" s="1">
        <f t="shared" si="4"/>
        <v>1131.4</v>
      </c>
      <c r="J19" s="113">
        <f t="shared" si="5"/>
        <v>1.221680307</v>
      </c>
      <c r="K19" s="199">
        <f t="shared" si="6"/>
        <v>1.998940491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217">
        <f>IFERROR(__xludf.DUMMYFUNCTION("""COMPUTED_VALUE"""),46160.64583333333)</f>
        <v>46160.64583</v>
      </c>
      <c r="C20" s="193">
        <f>IFERROR(__xludf.DUMMYFUNCTION("""COMPUTED_VALUE"""),2283.2)</f>
        <v>2283.2</v>
      </c>
      <c r="D20" s="9"/>
      <c r="E20" s="217">
        <f>IFERROR(__xludf.DUMMYFUNCTION("""COMPUTED_VALUE"""),46160.64583333333)</f>
        <v>46160.64583</v>
      </c>
      <c r="F20" s="193">
        <f>IFERROR(__xludf.DUMMYFUNCTION("""COMPUTED_VALUE"""),1146.6)</f>
        <v>1146.6</v>
      </c>
      <c r="G20" s="9"/>
      <c r="H20" s="29">
        <f t="shared" si="3"/>
        <v>1.991278563</v>
      </c>
      <c r="I20" s="1">
        <f t="shared" si="4"/>
        <v>1136.6</v>
      </c>
      <c r="J20" s="113">
        <f t="shared" si="5"/>
        <v>1.276078377</v>
      </c>
      <c r="K20" s="199">
        <f t="shared" si="6"/>
        <v>1.991278563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217">
        <f>IFERROR(__xludf.DUMMYFUNCTION("""COMPUTED_VALUE"""),46161.64583333333)</f>
        <v>46161.64583</v>
      </c>
      <c r="C21" s="193">
        <f>IFERROR(__xludf.DUMMYFUNCTION("""COMPUTED_VALUE"""),2327.1)</f>
        <v>2327.1</v>
      </c>
      <c r="D21" s="9"/>
      <c r="E21" s="217">
        <f>IFERROR(__xludf.DUMMYFUNCTION("""COMPUTED_VALUE"""),46161.64583333333)</f>
        <v>46161.64583</v>
      </c>
      <c r="F21" s="193">
        <f>IFERROR(__xludf.DUMMYFUNCTION("""COMPUTED_VALUE"""),1179.4)</f>
        <v>1179.4</v>
      </c>
      <c r="G21" s="9"/>
      <c r="H21" s="29">
        <f t="shared" si="3"/>
        <v>1.973121926</v>
      </c>
      <c r="I21" s="1">
        <f t="shared" si="4"/>
        <v>1147.7</v>
      </c>
      <c r="J21" s="113">
        <f t="shared" si="5"/>
        <v>1.392197335</v>
      </c>
      <c r="K21" s="199">
        <f t="shared" si="6"/>
        <v>1.973121926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217">
        <f>IFERROR(__xludf.DUMMYFUNCTION("""COMPUTED_VALUE"""),46162.64583333333)</f>
        <v>46162.64583</v>
      </c>
      <c r="C22" s="193">
        <f>IFERROR(__xludf.DUMMYFUNCTION("""COMPUTED_VALUE"""),2327.4)</f>
        <v>2327.4</v>
      </c>
      <c r="D22" s="9"/>
      <c r="E22" s="217">
        <f>IFERROR(__xludf.DUMMYFUNCTION("""COMPUTED_VALUE"""),46162.64583333333)</f>
        <v>46162.64583</v>
      </c>
      <c r="F22" s="193">
        <f>IFERROR(__xludf.DUMMYFUNCTION("""COMPUTED_VALUE"""),1169.8)</f>
        <v>1169.8</v>
      </c>
      <c r="G22" s="9"/>
      <c r="H22" s="29">
        <f t="shared" si="3"/>
        <v>1.989570867</v>
      </c>
      <c r="I22" s="1">
        <f t="shared" si="4"/>
        <v>1157.6</v>
      </c>
      <c r="J22" s="113">
        <f t="shared" si="5"/>
        <v>1.495762892</v>
      </c>
      <c r="K22" s="199">
        <f t="shared" si="6"/>
        <v>1.989570867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217">
        <f>IFERROR(__xludf.DUMMYFUNCTION("""COMPUTED_VALUE"""),46163.64583333333)</f>
        <v>46163.64583</v>
      </c>
      <c r="C23" s="193">
        <f>IFERROR(__xludf.DUMMYFUNCTION("""COMPUTED_VALUE"""),2327.2)</f>
        <v>2327.2</v>
      </c>
      <c r="D23" s="9"/>
      <c r="E23" s="217">
        <f>IFERROR(__xludf.DUMMYFUNCTION("""COMPUTED_VALUE"""),46163.64583333333)</f>
        <v>46163.64583</v>
      </c>
      <c r="F23" s="193">
        <f>IFERROR(__xludf.DUMMYFUNCTION("""COMPUTED_VALUE"""),1168.2)</f>
        <v>1168.2</v>
      </c>
      <c r="G23" s="9"/>
      <c r="H23" s="29">
        <f t="shared" si="3"/>
        <v>1.992124636</v>
      </c>
      <c r="I23" s="1">
        <f t="shared" si="4"/>
        <v>1159</v>
      </c>
      <c r="J23" s="113">
        <f t="shared" si="5"/>
        <v>1.510408526</v>
      </c>
      <c r="K23" s="199">
        <f t="shared" si="6"/>
        <v>1.992124636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217">
        <f>IFERROR(__xludf.DUMMYFUNCTION("""COMPUTED_VALUE"""),46164.64583333333)</f>
        <v>46164.64583</v>
      </c>
      <c r="C24" s="193">
        <f>IFERROR(__xludf.DUMMYFUNCTION("""COMPUTED_VALUE"""),2317.3)</f>
        <v>2317.3</v>
      </c>
      <c r="D24" s="9"/>
      <c r="E24" s="217">
        <f>IFERROR(__xludf.DUMMYFUNCTION("""COMPUTED_VALUE"""),46164.64583333333)</f>
        <v>46164.64583</v>
      </c>
      <c r="F24" s="193">
        <f>IFERROR(__xludf.DUMMYFUNCTION("""COMPUTED_VALUE"""),1164.0)</f>
        <v>1164</v>
      </c>
      <c r="G24" s="9"/>
      <c r="H24" s="29">
        <f t="shared" si="3"/>
        <v>1.99080756</v>
      </c>
      <c r="I24" s="1">
        <f t="shared" si="4"/>
        <v>1153.3</v>
      </c>
      <c r="J24" s="113">
        <f t="shared" si="5"/>
        <v>1.450779872</v>
      </c>
      <c r="K24" s="199">
        <f t="shared" si="6"/>
        <v>1.99080756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217">
        <f>IFERROR(__xludf.DUMMYFUNCTION("""COMPUTED_VALUE"""),46167.64583333333)</f>
        <v>46167.64583</v>
      </c>
      <c r="C25" s="193">
        <f>IFERROR(__xludf.DUMMYFUNCTION("""COMPUTED_VALUE"""),2308.2)</f>
        <v>2308.2</v>
      </c>
      <c r="D25" s="9"/>
      <c r="E25" s="217">
        <f>IFERROR(__xludf.DUMMYFUNCTION("""COMPUTED_VALUE"""),46167.64583333333)</f>
        <v>46167.64583</v>
      </c>
      <c r="F25" s="193">
        <f>IFERROR(__xludf.DUMMYFUNCTION("""COMPUTED_VALUE"""),1165.7)</f>
        <v>1165.7</v>
      </c>
      <c r="G25" s="9"/>
      <c r="H25" s="29">
        <f t="shared" si="3"/>
        <v>1.980097795</v>
      </c>
      <c r="I25" s="1">
        <f t="shared" si="4"/>
        <v>1142.5</v>
      </c>
      <c r="J25" s="113">
        <f t="shared" si="5"/>
        <v>1.337799265</v>
      </c>
      <c r="K25" s="199">
        <f t="shared" si="6"/>
        <v>1.980097795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217">
        <f>IFERROR(__xludf.DUMMYFUNCTION("""COMPUTED_VALUE"""),46168.64583333333)</f>
        <v>46168.64583</v>
      </c>
      <c r="C26" s="193">
        <f>IFERROR(__xludf.DUMMYFUNCTION("""COMPUTED_VALUE"""),2276.2)</f>
        <v>2276.2</v>
      </c>
      <c r="D26" s="9"/>
      <c r="E26" s="217">
        <f>IFERROR(__xludf.DUMMYFUNCTION("""COMPUTED_VALUE"""),46168.64583333333)</f>
        <v>46168.64583</v>
      </c>
      <c r="F26" s="193">
        <f>IFERROR(__xludf.DUMMYFUNCTION("""COMPUTED_VALUE"""),1161.9)</f>
        <v>1161.9</v>
      </c>
      <c r="G26" s="9"/>
      <c r="H26" s="29">
        <f t="shared" si="3"/>
        <v>1.959032619</v>
      </c>
      <c r="I26" s="1">
        <f t="shared" si="4"/>
        <v>1114.3</v>
      </c>
      <c r="J26" s="113">
        <f t="shared" si="5"/>
        <v>1.042794345</v>
      </c>
      <c r="K26" s="199">
        <f t="shared" si="6"/>
        <v>1.959032619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217">
        <f>IFERROR(__xludf.DUMMYFUNCTION("""COMPUTED_VALUE"""),46169.64583333333)</f>
        <v>46169.64583</v>
      </c>
      <c r="C27" s="193">
        <f>IFERROR(__xludf.DUMMYFUNCTION("""COMPUTED_VALUE"""),2284.2)</f>
        <v>2284.2</v>
      </c>
      <c r="D27" s="9"/>
      <c r="E27" s="217">
        <f>IFERROR(__xludf.DUMMYFUNCTION("""COMPUTED_VALUE"""),46169.64583333333)</f>
        <v>46169.64583</v>
      </c>
      <c r="F27" s="193">
        <f>IFERROR(__xludf.DUMMYFUNCTION("""COMPUTED_VALUE"""),1165.2)</f>
        <v>1165.2</v>
      </c>
      <c r="G27" s="9"/>
      <c r="H27" s="29">
        <f t="shared" si="3"/>
        <v>1.960350154</v>
      </c>
      <c r="I27" s="1">
        <f t="shared" si="4"/>
        <v>1119</v>
      </c>
      <c r="J27" s="113">
        <f t="shared" si="5"/>
        <v>1.091961832</v>
      </c>
      <c r="K27" s="199">
        <f t="shared" si="6"/>
        <v>1.960350154</v>
      </c>
      <c r="L27" s="9"/>
      <c r="M27" s="9"/>
      <c r="N27" s="9"/>
      <c r="O27" s="9"/>
      <c r="P27" s="9"/>
      <c r="Q27" s="9"/>
      <c r="R27" s="212" t="s">
        <v>112</v>
      </c>
      <c r="S27" s="229">
        <f>AVERAGE(K88:K118)</f>
        <v>1.735968572</v>
      </c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217">
        <f>IFERROR(__xludf.DUMMYFUNCTION("""COMPUTED_VALUE"""),46171.64583333333)</f>
        <v>46171.64583</v>
      </c>
      <c r="C28" s="193">
        <f>IFERROR(__xludf.DUMMYFUNCTION("""COMPUTED_VALUE"""),2258.9)</f>
        <v>2258.9</v>
      </c>
      <c r="D28" s="9"/>
      <c r="E28" s="217">
        <f>IFERROR(__xludf.DUMMYFUNCTION("""COMPUTED_VALUE"""),46171.64583333333)</f>
        <v>46171.64583</v>
      </c>
      <c r="F28" s="193">
        <f>IFERROR(__xludf.DUMMYFUNCTION("""COMPUTED_VALUE"""),1183.8)</f>
        <v>1183.8</v>
      </c>
      <c r="G28" s="9"/>
      <c r="H28" s="29">
        <f t="shared" si="3"/>
        <v>1.908177057</v>
      </c>
      <c r="I28" s="1">
        <f t="shared" si="4"/>
        <v>1075.1</v>
      </c>
      <c r="J28" s="113">
        <f t="shared" si="5"/>
        <v>0.6327165855</v>
      </c>
      <c r="K28" s="199">
        <f t="shared" si="6"/>
        <v>1.908177057</v>
      </c>
      <c r="L28" s="9"/>
      <c r="M28" s="9"/>
      <c r="N28" s="9"/>
      <c r="O28" s="9"/>
      <c r="P28" s="9"/>
      <c r="Q28" s="9"/>
      <c r="R28" s="212" t="s">
        <v>113</v>
      </c>
      <c r="S28" s="229">
        <f>MAX(K88:K118)</f>
        <v>1.828456028</v>
      </c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217">
        <f>IFERROR(__xludf.DUMMYFUNCTION("""COMPUTED_VALUE"""),46174.64583333333)</f>
        <v>46174.64583</v>
      </c>
      <c r="C29" s="193">
        <f>IFERROR(__xludf.DUMMYFUNCTION("""COMPUTED_VALUE"""),2297.4)</f>
        <v>2297.4</v>
      </c>
      <c r="D29" s="9"/>
      <c r="E29" s="217">
        <f>IFERROR(__xludf.DUMMYFUNCTION("""COMPUTED_VALUE"""),46174.64583333333)</f>
        <v>46174.64583</v>
      </c>
      <c r="F29" s="193">
        <f>IFERROR(__xludf.DUMMYFUNCTION("""COMPUTED_VALUE"""),1195.1)</f>
        <v>1195.1</v>
      </c>
      <c r="G29" s="9"/>
      <c r="H29" s="29">
        <f t="shared" si="3"/>
        <v>1.922349594</v>
      </c>
      <c r="I29" s="1">
        <f t="shared" si="4"/>
        <v>1102.3</v>
      </c>
      <c r="J29" s="113">
        <f t="shared" si="5"/>
        <v>0.9172603373</v>
      </c>
      <c r="K29" s="199">
        <f t="shared" si="6"/>
        <v>1.922349594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217">
        <f>IFERROR(__xludf.DUMMYFUNCTION("""COMPUTED_VALUE"""),46175.64583333333)</f>
        <v>46175.64583</v>
      </c>
      <c r="C30" s="193">
        <f>IFERROR(__xludf.DUMMYFUNCTION("""COMPUTED_VALUE"""),2446.9)</f>
        <v>2446.9</v>
      </c>
      <c r="D30" s="9"/>
      <c r="E30" s="217">
        <f>IFERROR(__xludf.DUMMYFUNCTION("""COMPUTED_VALUE"""),46175.64583333333)</f>
        <v>46175.64583</v>
      </c>
      <c r="F30" s="193">
        <f>IFERROR(__xludf.DUMMYFUNCTION("""COMPUTED_VALUE"""),1243.5)</f>
        <v>1243.5</v>
      </c>
      <c r="G30" s="9"/>
      <c r="H30" s="29">
        <f t="shared" si="3"/>
        <v>1.967752312</v>
      </c>
      <c r="I30" s="1">
        <f t="shared" si="4"/>
        <v>1203.4</v>
      </c>
      <c r="J30" s="113">
        <f t="shared" si="5"/>
        <v>1.974884356</v>
      </c>
      <c r="K30" s="199">
        <f t="shared" si="6"/>
        <v>1.967752312</v>
      </c>
      <c r="L30" s="193">
        <f t="shared" ref="L30:L119" si="7">AVERAGE(C11:C30)</f>
        <v>2329.425</v>
      </c>
      <c r="M30" s="210">
        <f t="shared" ref="M30:M119" si="8">(C30-L30)/C30</f>
        <v>0.04800972659</v>
      </c>
      <c r="N30" s="213">
        <f t="shared" ref="N30:N119" si="9">AVERAGE(F11:F30)</f>
        <v>1172.74</v>
      </c>
      <c r="O30" s="210">
        <f t="shared" ref="O30:O119" si="10">(F30-N30)/F30</f>
        <v>0.05690390028</v>
      </c>
      <c r="P30" s="210">
        <f t="shared" ref="P30:P118" si="11">M30-O30</f>
        <v>-0.008894173689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217">
        <f>IFERROR(__xludf.DUMMYFUNCTION("""COMPUTED_VALUE"""),46176.64583333333)</f>
        <v>46176.64583</v>
      </c>
      <c r="C31" s="193">
        <f>IFERROR(__xludf.DUMMYFUNCTION("""COMPUTED_VALUE"""),2241.7)</f>
        <v>2241.7</v>
      </c>
      <c r="D31" s="9"/>
      <c r="E31" s="217">
        <f>IFERROR(__xludf.DUMMYFUNCTION("""COMPUTED_VALUE"""),46176.64583333333)</f>
        <v>46176.64583</v>
      </c>
      <c r="F31" s="193">
        <f>IFERROR(__xludf.DUMMYFUNCTION("""COMPUTED_VALUE"""),1179.0)</f>
        <v>1179</v>
      </c>
      <c r="G31" s="9"/>
      <c r="H31" s="29">
        <f t="shared" si="3"/>
        <v>1.901357082</v>
      </c>
      <c r="I31" s="1">
        <f t="shared" si="4"/>
        <v>1062.7</v>
      </c>
      <c r="J31" s="113">
        <f t="shared" si="5"/>
        <v>0.5029981104</v>
      </c>
      <c r="K31" s="199">
        <f t="shared" si="6"/>
        <v>1.901357082</v>
      </c>
      <c r="L31" s="213">
        <f t="shared" si="7"/>
        <v>2320.145</v>
      </c>
      <c r="M31" s="210">
        <f t="shared" si="8"/>
        <v>-0.03499353169</v>
      </c>
      <c r="N31" s="213">
        <f t="shared" si="9"/>
        <v>1171.68</v>
      </c>
      <c r="O31" s="210">
        <f t="shared" si="10"/>
        <v>0.006208651399</v>
      </c>
      <c r="P31" s="210">
        <f t="shared" si="11"/>
        <v>-0.04120218309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217">
        <f>IFERROR(__xludf.DUMMYFUNCTION("""COMPUTED_VALUE"""),46177.64583333333)</f>
        <v>46177.64583</v>
      </c>
      <c r="C32" s="193">
        <f>IFERROR(__xludf.DUMMYFUNCTION("""COMPUTED_VALUE"""),2241.0)</f>
        <v>2241</v>
      </c>
      <c r="D32" s="9"/>
      <c r="E32" s="217">
        <f>IFERROR(__xludf.DUMMYFUNCTION("""COMPUTED_VALUE"""),46177.64583333333)</f>
        <v>46177.64583</v>
      </c>
      <c r="F32" s="193">
        <f>IFERROR(__xludf.DUMMYFUNCTION("""COMPUTED_VALUE"""),1168.3)</f>
        <v>1168.3</v>
      </c>
      <c r="G32" s="9"/>
      <c r="H32" s="29">
        <f t="shared" si="3"/>
        <v>1.918171702</v>
      </c>
      <c r="I32" s="1">
        <f t="shared" si="4"/>
        <v>1072.7</v>
      </c>
      <c r="J32" s="113">
        <f t="shared" si="5"/>
        <v>0.6076097838</v>
      </c>
      <c r="K32" s="199">
        <f t="shared" si="6"/>
        <v>1.918171702</v>
      </c>
      <c r="L32" s="213">
        <f t="shared" si="7"/>
        <v>2310.425</v>
      </c>
      <c r="M32" s="210">
        <f t="shared" si="8"/>
        <v>-0.03097947345</v>
      </c>
      <c r="N32" s="213">
        <f t="shared" si="9"/>
        <v>1170.64</v>
      </c>
      <c r="O32" s="210">
        <f t="shared" si="10"/>
        <v>-0.002002910211</v>
      </c>
      <c r="P32" s="210">
        <f t="shared" si="11"/>
        <v>-0.02897656324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217">
        <f>IFERROR(__xludf.DUMMYFUNCTION("""COMPUTED_VALUE"""),46178.64583333333)</f>
        <v>46178.64583</v>
      </c>
      <c r="C33" s="193">
        <f>IFERROR(__xludf.DUMMYFUNCTION("""COMPUTED_VALUE"""),2198.9)</f>
        <v>2198.9</v>
      </c>
      <c r="D33" s="9"/>
      <c r="E33" s="217">
        <f>IFERROR(__xludf.DUMMYFUNCTION("""COMPUTED_VALUE"""),46178.64583333333)</f>
        <v>46178.64583</v>
      </c>
      <c r="F33" s="193">
        <f>IFERROR(__xludf.DUMMYFUNCTION("""COMPUTED_VALUE"""),1154.7)</f>
        <v>1154.7</v>
      </c>
      <c r="G33" s="9"/>
      <c r="H33" s="29">
        <f t="shared" si="3"/>
        <v>1.904304148</v>
      </c>
      <c r="I33" s="1">
        <f t="shared" si="4"/>
        <v>1044.2</v>
      </c>
      <c r="J33" s="113">
        <f t="shared" si="5"/>
        <v>0.3094665144</v>
      </c>
      <c r="K33" s="199">
        <f t="shared" si="6"/>
        <v>1.904304148</v>
      </c>
      <c r="L33" s="213">
        <f t="shared" si="7"/>
        <v>2300.3</v>
      </c>
      <c r="M33" s="210">
        <f t="shared" si="8"/>
        <v>-0.04611396607</v>
      </c>
      <c r="N33" s="213">
        <f t="shared" si="9"/>
        <v>1169.205</v>
      </c>
      <c r="O33" s="210">
        <f t="shared" si="10"/>
        <v>-0.01256170434</v>
      </c>
      <c r="P33" s="210">
        <f t="shared" si="11"/>
        <v>-0.03355226174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217">
        <f>IFERROR(__xludf.DUMMYFUNCTION("""COMPUTED_VALUE"""),46181.64583333333)</f>
        <v>46181.64583</v>
      </c>
      <c r="C34" s="193">
        <f>IFERROR(__xludf.DUMMYFUNCTION("""COMPUTED_VALUE"""),2151.4)</f>
        <v>2151.4</v>
      </c>
      <c r="D34" s="9"/>
      <c r="E34" s="217">
        <f>IFERROR(__xludf.DUMMYFUNCTION("""COMPUTED_VALUE"""),46181.64583333333)</f>
        <v>46181.64583</v>
      </c>
      <c r="F34" s="193">
        <f>IFERROR(__xludf.DUMMYFUNCTION("""COMPUTED_VALUE"""),1151.3)</f>
        <v>1151.3</v>
      </c>
      <c r="G34" s="9"/>
      <c r="H34" s="29">
        <f t="shared" si="3"/>
        <v>1.868670199</v>
      </c>
      <c r="I34" s="1">
        <f t="shared" si="4"/>
        <v>1000.1</v>
      </c>
      <c r="J34" s="113">
        <f t="shared" si="5"/>
        <v>-0.1518709656</v>
      </c>
      <c r="K34" s="199">
        <f t="shared" si="6"/>
        <v>1.868670199</v>
      </c>
      <c r="L34" s="213">
        <f t="shared" si="7"/>
        <v>2288.15</v>
      </c>
      <c r="M34" s="210">
        <f t="shared" si="8"/>
        <v>-0.06356326113</v>
      </c>
      <c r="N34" s="213">
        <f t="shared" si="9"/>
        <v>1166.85</v>
      </c>
      <c r="O34" s="210">
        <f t="shared" si="10"/>
        <v>-0.01350647095</v>
      </c>
      <c r="P34" s="210">
        <f t="shared" si="11"/>
        <v>-0.05005679019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217">
        <f>IFERROR(__xludf.DUMMYFUNCTION("""COMPUTED_VALUE"""),46182.64583333333)</f>
        <v>46182.64583</v>
      </c>
      <c r="C35" s="193">
        <f>IFERROR(__xludf.DUMMYFUNCTION("""COMPUTED_VALUE"""),2151.0)</f>
        <v>2151</v>
      </c>
      <c r="D35" s="9"/>
      <c r="E35" s="217">
        <f>IFERROR(__xludf.DUMMYFUNCTION("""COMPUTED_VALUE"""),46182.64583333333)</f>
        <v>46182.64583</v>
      </c>
      <c r="F35" s="193">
        <f>IFERROR(__xludf.DUMMYFUNCTION("""COMPUTED_VALUE"""),1146.3)</f>
        <v>1146.3</v>
      </c>
      <c r="G35" s="9"/>
      <c r="H35" s="29">
        <f t="shared" si="3"/>
        <v>1.876472128</v>
      </c>
      <c r="I35" s="1">
        <f t="shared" si="4"/>
        <v>1004.7</v>
      </c>
      <c r="J35" s="113">
        <f t="shared" si="5"/>
        <v>-0.1037495958</v>
      </c>
      <c r="K35" s="199">
        <f t="shared" si="6"/>
        <v>1.876472128</v>
      </c>
      <c r="L35" s="213">
        <f t="shared" si="7"/>
        <v>2276.055</v>
      </c>
      <c r="M35" s="210">
        <f t="shared" si="8"/>
        <v>-0.05813807531</v>
      </c>
      <c r="N35" s="213">
        <f t="shared" si="9"/>
        <v>1164.42</v>
      </c>
      <c r="O35" s="210">
        <f t="shared" si="10"/>
        <v>-0.01580738027</v>
      </c>
      <c r="P35" s="210">
        <f t="shared" si="11"/>
        <v>-0.04233069505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217">
        <f>IFERROR(__xludf.DUMMYFUNCTION("""COMPUTED_VALUE"""),46183.64583333333)</f>
        <v>46183.64583</v>
      </c>
      <c r="C36" s="193">
        <f>IFERROR(__xludf.DUMMYFUNCTION("""COMPUTED_VALUE"""),2153.9)</f>
        <v>2153.9</v>
      </c>
      <c r="D36" s="9"/>
      <c r="E36" s="217">
        <f>IFERROR(__xludf.DUMMYFUNCTION("""COMPUTED_VALUE"""),46183.64583333333)</f>
        <v>46183.64583</v>
      </c>
      <c r="F36" s="193">
        <f>IFERROR(__xludf.DUMMYFUNCTION("""COMPUTED_VALUE"""),1132.1)</f>
        <v>1132.1</v>
      </c>
      <c r="G36" s="9"/>
      <c r="H36" s="29">
        <f t="shared" si="3"/>
        <v>1.902570444</v>
      </c>
      <c r="I36" s="1">
        <f t="shared" si="4"/>
        <v>1021.8</v>
      </c>
      <c r="J36" s="113">
        <f t="shared" si="5"/>
        <v>0.07513636585</v>
      </c>
      <c r="K36" s="199">
        <f t="shared" si="6"/>
        <v>1.902570444</v>
      </c>
      <c r="L36" s="213">
        <f t="shared" si="7"/>
        <v>2268.735</v>
      </c>
      <c r="M36" s="210">
        <f t="shared" si="8"/>
        <v>-0.05331491713</v>
      </c>
      <c r="N36" s="213">
        <f t="shared" si="9"/>
        <v>1163.735</v>
      </c>
      <c r="O36" s="210">
        <f t="shared" si="10"/>
        <v>-0.02794364455</v>
      </c>
      <c r="P36" s="210">
        <f t="shared" si="11"/>
        <v>-0.02537127257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217">
        <f>IFERROR(__xludf.DUMMYFUNCTION("""COMPUTED_VALUE"""),46184.64583333333)</f>
        <v>46184.64583</v>
      </c>
      <c r="C37" s="193">
        <f>IFERROR(__xludf.DUMMYFUNCTION("""COMPUTED_VALUE"""),2135.6)</f>
        <v>2135.6</v>
      </c>
      <c r="D37" s="9"/>
      <c r="E37" s="217">
        <f>IFERROR(__xludf.DUMMYFUNCTION("""COMPUTED_VALUE"""),46184.64583333333)</f>
        <v>46184.64583</v>
      </c>
      <c r="F37" s="193">
        <f>IFERROR(__xludf.DUMMYFUNCTION("""COMPUTED_VALUE"""),1110.2)</f>
        <v>1110.2</v>
      </c>
      <c r="G37" s="9"/>
      <c r="H37" s="29">
        <f t="shared" si="3"/>
        <v>1.923617366</v>
      </c>
      <c r="I37" s="1">
        <f t="shared" si="4"/>
        <v>1025.4</v>
      </c>
      <c r="J37" s="113">
        <f t="shared" si="5"/>
        <v>0.1127965683</v>
      </c>
      <c r="K37" s="199">
        <f t="shared" si="6"/>
        <v>1.923617366</v>
      </c>
      <c r="L37" s="213">
        <f t="shared" si="7"/>
        <v>2261.875</v>
      </c>
      <c r="M37" s="210">
        <f t="shared" si="8"/>
        <v>-0.05912858213</v>
      </c>
      <c r="N37" s="213">
        <f t="shared" si="9"/>
        <v>1162.085</v>
      </c>
      <c r="O37" s="210">
        <f t="shared" si="10"/>
        <v>-0.04673482255</v>
      </c>
      <c r="P37" s="210">
        <f t="shared" si="11"/>
        <v>-0.01239375958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217">
        <f>IFERROR(__xludf.DUMMYFUNCTION("""COMPUTED_VALUE"""),46185.64583333333)</f>
        <v>46185.64583</v>
      </c>
      <c r="C38" s="193">
        <f>IFERROR(__xludf.DUMMYFUNCTION("""COMPUTED_VALUE"""),2161.4)</f>
        <v>2161.4</v>
      </c>
      <c r="D38" s="9"/>
      <c r="E38" s="217">
        <f>IFERROR(__xludf.DUMMYFUNCTION("""COMPUTED_VALUE"""),46185.64583333333)</f>
        <v>46185.64583</v>
      </c>
      <c r="F38" s="193">
        <f>IFERROR(__xludf.DUMMYFUNCTION("""COMPUTED_VALUE"""),1109.6)</f>
        <v>1109.6</v>
      </c>
      <c r="G38" s="9"/>
      <c r="H38" s="29">
        <f t="shared" si="3"/>
        <v>1.947909156</v>
      </c>
      <c r="I38" s="1">
        <f t="shared" si="4"/>
        <v>1051.8</v>
      </c>
      <c r="J38" s="113">
        <f t="shared" si="5"/>
        <v>0.3889713863</v>
      </c>
      <c r="K38" s="199">
        <f t="shared" si="6"/>
        <v>1.947909156</v>
      </c>
      <c r="L38" s="213">
        <f t="shared" si="7"/>
        <v>2257.645</v>
      </c>
      <c r="M38" s="210">
        <f t="shared" si="8"/>
        <v>-0.04452900898</v>
      </c>
      <c r="N38" s="213">
        <f t="shared" si="9"/>
        <v>1161.365</v>
      </c>
      <c r="O38" s="210">
        <f t="shared" si="10"/>
        <v>-0.04665194665</v>
      </c>
      <c r="P38" s="210">
        <f t="shared" si="11"/>
        <v>0.002122937672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217">
        <f>IFERROR(__xludf.DUMMYFUNCTION("""COMPUTED_VALUE"""),46188.64583333333)</f>
        <v>46188.64583</v>
      </c>
      <c r="C39" s="193">
        <f>IFERROR(__xludf.DUMMYFUNCTION("""COMPUTED_VALUE"""),2162.0)</f>
        <v>2162</v>
      </c>
      <c r="D39" s="9"/>
      <c r="E39" s="217">
        <f>IFERROR(__xludf.DUMMYFUNCTION("""COMPUTED_VALUE"""),46188.64583333333)</f>
        <v>46188.64583</v>
      </c>
      <c r="F39" s="193">
        <f>IFERROR(__xludf.DUMMYFUNCTION("""COMPUTED_VALUE"""),1119.3)</f>
        <v>1119.3</v>
      </c>
      <c r="G39" s="9"/>
      <c r="H39" s="29">
        <f t="shared" si="3"/>
        <v>1.931564371</v>
      </c>
      <c r="I39" s="1">
        <f t="shared" si="4"/>
        <v>1042.7</v>
      </c>
      <c r="J39" s="113">
        <f t="shared" si="5"/>
        <v>0.2937747634</v>
      </c>
      <c r="K39" s="199">
        <f t="shared" si="6"/>
        <v>1.931564371</v>
      </c>
      <c r="L39" s="213">
        <f t="shared" si="7"/>
        <v>2252.545</v>
      </c>
      <c r="M39" s="210">
        <f t="shared" si="8"/>
        <v>-0.04188020352</v>
      </c>
      <c r="N39" s="213">
        <f t="shared" si="9"/>
        <v>1160.7</v>
      </c>
      <c r="O39" s="210">
        <f t="shared" si="10"/>
        <v>-0.03698740284</v>
      </c>
      <c r="P39" s="210">
        <f t="shared" si="11"/>
        <v>-0.004892800674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217">
        <f>IFERROR(__xludf.DUMMYFUNCTION("""COMPUTED_VALUE"""),46189.64583333333)</f>
        <v>46189.64583</v>
      </c>
      <c r="C40" s="193">
        <f>IFERROR(__xludf.DUMMYFUNCTION("""COMPUTED_VALUE"""),2199.0)</f>
        <v>2199</v>
      </c>
      <c r="D40" s="9"/>
      <c r="E40" s="217">
        <f>IFERROR(__xludf.DUMMYFUNCTION("""COMPUTED_VALUE"""),46189.64583333333)</f>
        <v>46189.64583</v>
      </c>
      <c r="F40" s="193">
        <f>IFERROR(__xludf.DUMMYFUNCTION("""COMPUTED_VALUE"""),1159.0)</f>
        <v>1159</v>
      </c>
      <c r="G40" s="9"/>
      <c r="H40" s="29">
        <f t="shared" si="3"/>
        <v>1.89732528</v>
      </c>
      <c r="I40" s="1">
        <f t="shared" si="4"/>
        <v>1040</v>
      </c>
      <c r="J40" s="113">
        <f t="shared" si="5"/>
        <v>0.2655296116</v>
      </c>
      <c r="K40" s="199">
        <f t="shared" si="6"/>
        <v>1.89732528</v>
      </c>
      <c r="L40" s="213">
        <f t="shared" si="7"/>
        <v>2248.335</v>
      </c>
      <c r="M40" s="210">
        <f t="shared" si="8"/>
        <v>-0.02243519782</v>
      </c>
      <c r="N40" s="213">
        <f t="shared" si="9"/>
        <v>1161.32</v>
      </c>
      <c r="O40" s="210">
        <f t="shared" si="10"/>
        <v>-0.002001725626</v>
      </c>
      <c r="P40" s="210">
        <f t="shared" si="11"/>
        <v>-0.02043347219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217">
        <f>IFERROR(__xludf.DUMMYFUNCTION("""COMPUTED_VALUE"""),46190.64583333333)</f>
        <v>46190.64583</v>
      </c>
      <c r="C41" s="193">
        <f>IFERROR(__xludf.DUMMYFUNCTION("""COMPUTED_VALUE"""),2223.0)</f>
        <v>2223</v>
      </c>
      <c r="D41" s="9"/>
      <c r="E41" s="217">
        <f>IFERROR(__xludf.DUMMYFUNCTION("""COMPUTED_VALUE"""),46190.64583333333)</f>
        <v>46190.64583</v>
      </c>
      <c r="F41" s="193">
        <f>IFERROR(__xludf.DUMMYFUNCTION("""COMPUTED_VALUE"""),1166.8)</f>
        <v>1166.8</v>
      </c>
      <c r="G41" s="9"/>
      <c r="H41" s="29">
        <f t="shared" si="3"/>
        <v>1.905210833</v>
      </c>
      <c r="I41" s="1">
        <f t="shared" si="4"/>
        <v>1056.2</v>
      </c>
      <c r="J41" s="113">
        <f t="shared" si="5"/>
        <v>0.4350005226</v>
      </c>
      <c r="K41" s="199">
        <f t="shared" si="6"/>
        <v>1.905210833</v>
      </c>
      <c r="L41" s="213">
        <f t="shared" si="7"/>
        <v>2243.13</v>
      </c>
      <c r="M41" s="210">
        <f t="shared" si="8"/>
        <v>-0.009055330634</v>
      </c>
      <c r="N41" s="213">
        <f t="shared" si="9"/>
        <v>1160.69</v>
      </c>
      <c r="O41" s="210">
        <f t="shared" si="10"/>
        <v>0.005236544395</v>
      </c>
      <c r="P41" s="210">
        <f t="shared" si="11"/>
        <v>-0.01429187503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217">
        <f>IFERROR(__xludf.DUMMYFUNCTION("""COMPUTED_VALUE"""),46191.64583333333)</f>
        <v>46191.64583</v>
      </c>
      <c r="C42" s="193">
        <f>IFERROR(__xludf.DUMMYFUNCTION("""COMPUTED_VALUE"""),2203.3)</f>
        <v>2203.3</v>
      </c>
      <c r="D42" s="9"/>
      <c r="E42" s="217">
        <f>IFERROR(__xludf.DUMMYFUNCTION("""COMPUTED_VALUE"""),46191.64583333333)</f>
        <v>46191.64583</v>
      </c>
      <c r="F42" s="193">
        <f>IFERROR(__xludf.DUMMYFUNCTION("""COMPUTED_VALUE"""),1161.8)</f>
        <v>1161.8</v>
      </c>
      <c r="G42" s="9"/>
      <c r="H42" s="29">
        <f t="shared" si="3"/>
        <v>1.896453779</v>
      </c>
      <c r="I42" s="1">
        <f t="shared" si="4"/>
        <v>1041.5</v>
      </c>
      <c r="J42" s="113">
        <f t="shared" si="5"/>
        <v>0.2812213626</v>
      </c>
      <c r="K42" s="199">
        <f t="shared" si="6"/>
        <v>1.896453779</v>
      </c>
      <c r="L42" s="213">
        <f t="shared" si="7"/>
        <v>2236.925</v>
      </c>
      <c r="M42" s="210">
        <f t="shared" si="8"/>
        <v>-0.01526119911</v>
      </c>
      <c r="N42" s="213">
        <f t="shared" si="9"/>
        <v>1160.29</v>
      </c>
      <c r="O42" s="210">
        <f t="shared" si="10"/>
        <v>0.001299707351</v>
      </c>
      <c r="P42" s="210">
        <f t="shared" si="11"/>
        <v>-0.01656090646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217">
        <f>IFERROR(__xludf.DUMMYFUNCTION("""COMPUTED_VALUE"""),46192.64583333333)</f>
        <v>46192.64583</v>
      </c>
      <c r="C43" s="193">
        <f>IFERROR(__xludf.DUMMYFUNCTION("""COMPUTED_VALUE"""),2125.0)</f>
        <v>2125</v>
      </c>
      <c r="D43" s="9"/>
      <c r="E43" s="217">
        <f>IFERROR(__xludf.DUMMYFUNCTION("""COMPUTED_VALUE"""),46192.64583333333)</f>
        <v>46192.64583</v>
      </c>
      <c r="F43" s="193">
        <f>IFERROR(__xludf.DUMMYFUNCTION("""COMPUTED_VALUE"""),1131.7)</f>
        <v>1131.7</v>
      </c>
      <c r="G43" s="9"/>
      <c r="H43" s="29">
        <f t="shared" si="3"/>
        <v>1.877706106</v>
      </c>
      <c r="I43" s="1">
        <f t="shared" si="4"/>
        <v>993.3</v>
      </c>
      <c r="J43" s="113">
        <f t="shared" si="5"/>
        <v>-0.2230069036</v>
      </c>
      <c r="K43" s="199">
        <f t="shared" si="6"/>
        <v>1.877706106</v>
      </c>
      <c r="L43" s="213">
        <f t="shared" si="7"/>
        <v>2226.815</v>
      </c>
      <c r="M43" s="210">
        <f t="shared" si="8"/>
        <v>-0.04791294118</v>
      </c>
      <c r="N43" s="213">
        <f t="shared" si="9"/>
        <v>1158.465</v>
      </c>
      <c r="O43" s="210">
        <f t="shared" si="10"/>
        <v>-0.02365026067</v>
      </c>
      <c r="P43" s="210">
        <f t="shared" si="11"/>
        <v>-0.02426268051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217">
        <f>IFERROR(__xludf.DUMMYFUNCTION("""COMPUTED_VALUE"""),46195.64583333333)</f>
        <v>46195.64583</v>
      </c>
      <c r="C44" s="193">
        <f>IFERROR(__xludf.DUMMYFUNCTION("""COMPUTED_VALUE"""),2127.8)</f>
        <v>2127.8</v>
      </c>
      <c r="D44" s="9"/>
      <c r="E44" s="217">
        <f>IFERROR(__xludf.DUMMYFUNCTION("""COMPUTED_VALUE"""),46195.64583333333)</f>
        <v>46195.64583</v>
      </c>
      <c r="F44" s="193">
        <f>IFERROR(__xludf.DUMMYFUNCTION("""COMPUTED_VALUE"""),1130.5)</f>
        <v>1130.5</v>
      </c>
      <c r="G44" s="9"/>
      <c r="H44" s="29">
        <f t="shared" si="3"/>
        <v>1.882176028</v>
      </c>
      <c r="I44" s="1">
        <f t="shared" si="4"/>
        <v>997.3</v>
      </c>
      <c r="J44" s="113">
        <f t="shared" si="5"/>
        <v>-0.1811622342</v>
      </c>
      <c r="K44" s="199">
        <f t="shared" si="6"/>
        <v>1.882176028</v>
      </c>
      <c r="L44" s="213">
        <f t="shared" si="7"/>
        <v>2217.34</v>
      </c>
      <c r="M44" s="210">
        <f t="shared" si="8"/>
        <v>-0.04208102265</v>
      </c>
      <c r="N44" s="213">
        <f t="shared" si="9"/>
        <v>1156.79</v>
      </c>
      <c r="O44" s="210">
        <f t="shared" si="10"/>
        <v>-0.02325519682</v>
      </c>
      <c r="P44" s="210">
        <f t="shared" si="11"/>
        <v>-0.01882582584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217">
        <f>IFERROR(__xludf.DUMMYFUNCTION("""COMPUTED_VALUE"""),46196.64583333333)</f>
        <v>46196.64583</v>
      </c>
      <c r="C45" s="193">
        <f>IFERROR(__xludf.DUMMYFUNCTION("""COMPUTED_VALUE"""),2059.6)</f>
        <v>2059.6</v>
      </c>
      <c r="D45" s="9"/>
      <c r="E45" s="217">
        <f>IFERROR(__xludf.DUMMYFUNCTION("""COMPUTED_VALUE"""),46196.64583333333)</f>
        <v>46196.64583</v>
      </c>
      <c r="F45" s="193">
        <f>IFERROR(__xludf.DUMMYFUNCTION("""COMPUTED_VALUE"""),1109.5)</f>
        <v>1109.5</v>
      </c>
      <c r="G45" s="9"/>
      <c r="H45" s="29">
        <f t="shared" si="3"/>
        <v>1.856331681</v>
      </c>
      <c r="I45" s="1">
        <f t="shared" si="4"/>
        <v>950.1</v>
      </c>
      <c r="J45" s="113">
        <f t="shared" si="5"/>
        <v>-0.674929333</v>
      </c>
      <c r="K45" s="199">
        <f t="shared" si="6"/>
        <v>1.856331681</v>
      </c>
      <c r="L45" s="213">
        <f t="shared" si="7"/>
        <v>2204.91</v>
      </c>
      <c r="M45" s="210">
        <f t="shared" si="8"/>
        <v>-0.07055253447</v>
      </c>
      <c r="N45" s="213">
        <f t="shared" si="9"/>
        <v>1153.98</v>
      </c>
      <c r="O45" s="210">
        <f t="shared" si="10"/>
        <v>-0.04009013069</v>
      </c>
      <c r="P45" s="210">
        <f t="shared" si="11"/>
        <v>-0.03046240378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217">
        <f>IFERROR(__xludf.DUMMYFUNCTION("""COMPUTED_VALUE"""),46197.64583333333)</f>
        <v>46197.64583</v>
      </c>
      <c r="C46" s="193">
        <f>IFERROR(__xludf.DUMMYFUNCTION("""COMPUTED_VALUE"""),2109.0)</f>
        <v>2109</v>
      </c>
      <c r="D46" s="9"/>
      <c r="E46" s="217">
        <f>IFERROR(__xludf.DUMMYFUNCTION("""COMPUTED_VALUE"""),46197.64583333333)</f>
        <v>46197.64583</v>
      </c>
      <c r="F46" s="193">
        <f>IFERROR(__xludf.DUMMYFUNCTION("""COMPUTED_VALUE"""),1113.9)</f>
        <v>1113.9</v>
      </c>
      <c r="G46" s="9"/>
      <c r="H46" s="29">
        <f t="shared" si="3"/>
        <v>1.893347697</v>
      </c>
      <c r="I46" s="1">
        <f t="shared" si="4"/>
        <v>995.1</v>
      </c>
      <c r="J46" s="113">
        <f t="shared" si="5"/>
        <v>-0.2041768023</v>
      </c>
      <c r="K46" s="199">
        <f t="shared" si="6"/>
        <v>1.893347697</v>
      </c>
      <c r="L46" s="213">
        <f t="shared" si="7"/>
        <v>2196.55</v>
      </c>
      <c r="M46" s="210">
        <f t="shared" si="8"/>
        <v>-0.0415125652</v>
      </c>
      <c r="N46" s="213">
        <f t="shared" si="9"/>
        <v>1151.58</v>
      </c>
      <c r="O46" s="210">
        <f t="shared" si="10"/>
        <v>-0.03382709399</v>
      </c>
      <c r="P46" s="210">
        <f t="shared" si="11"/>
        <v>-0.007685471203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217">
        <f>IFERROR(__xludf.DUMMYFUNCTION("""COMPUTED_VALUE"""),46198.64583333333)</f>
        <v>46198.64583</v>
      </c>
      <c r="C47" s="193">
        <f>IFERROR(__xludf.DUMMYFUNCTION("""COMPUTED_VALUE"""),2094.7)</f>
        <v>2094.7</v>
      </c>
      <c r="D47" s="9"/>
      <c r="E47" s="217">
        <f>IFERROR(__xludf.DUMMYFUNCTION("""COMPUTED_VALUE"""),46198.64583333333)</f>
        <v>46198.64583</v>
      </c>
      <c r="F47" s="193">
        <f>IFERROR(__xludf.DUMMYFUNCTION("""COMPUTED_VALUE"""),1100.7)</f>
        <v>1100.7</v>
      </c>
      <c r="G47" s="9"/>
      <c r="H47" s="29">
        <f t="shared" si="3"/>
        <v>1.903061688</v>
      </c>
      <c r="I47" s="1">
        <f t="shared" si="4"/>
        <v>994</v>
      </c>
      <c r="J47" s="113">
        <f t="shared" si="5"/>
        <v>-0.2156840864</v>
      </c>
      <c r="K47" s="199">
        <f t="shared" si="6"/>
        <v>1.903061688</v>
      </c>
      <c r="L47" s="213">
        <f t="shared" si="7"/>
        <v>2187.075</v>
      </c>
      <c r="M47" s="210">
        <f t="shared" si="8"/>
        <v>-0.04409939371</v>
      </c>
      <c r="N47" s="213">
        <f t="shared" si="9"/>
        <v>1148.355</v>
      </c>
      <c r="O47" s="210">
        <f t="shared" si="10"/>
        <v>-0.0432951758</v>
      </c>
      <c r="P47" s="210">
        <f t="shared" si="11"/>
        <v>-0.0008042179107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217">
        <f>IFERROR(__xludf.DUMMYFUNCTION("""COMPUTED_VALUE"""),46202.64583333333)</f>
        <v>46202.64583</v>
      </c>
      <c r="C48" s="193">
        <f>IFERROR(__xludf.DUMMYFUNCTION("""COMPUTED_VALUE"""),2097.9)</f>
        <v>2097.9</v>
      </c>
      <c r="D48" s="9"/>
      <c r="E48" s="217">
        <f>IFERROR(__xludf.DUMMYFUNCTION("""COMPUTED_VALUE"""),46202.64583333333)</f>
        <v>46202.64583</v>
      </c>
      <c r="F48" s="193">
        <f>IFERROR(__xludf.DUMMYFUNCTION("""COMPUTED_VALUE"""),1102.4)</f>
        <v>1102.4</v>
      </c>
      <c r="G48" s="9"/>
      <c r="H48" s="29">
        <f t="shared" si="3"/>
        <v>1.903029753</v>
      </c>
      <c r="I48" s="1">
        <f t="shared" si="4"/>
        <v>995.5</v>
      </c>
      <c r="J48" s="113">
        <f t="shared" si="5"/>
        <v>-0.1999923354</v>
      </c>
      <c r="K48" s="199">
        <f t="shared" si="6"/>
        <v>1.903029753</v>
      </c>
      <c r="L48" s="213">
        <f t="shared" si="7"/>
        <v>2179.025</v>
      </c>
      <c r="M48" s="210">
        <f t="shared" si="8"/>
        <v>-0.038669622</v>
      </c>
      <c r="N48" s="213">
        <f t="shared" si="9"/>
        <v>1144.285</v>
      </c>
      <c r="O48" s="210">
        <f t="shared" si="10"/>
        <v>-0.03799437591</v>
      </c>
      <c r="P48" s="210">
        <f t="shared" si="11"/>
        <v>-0.0006752460958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217">
        <f>IFERROR(__xludf.DUMMYFUNCTION("""COMPUTED_VALUE"""),46203.64583333333)</f>
        <v>46203.64583</v>
      </c>
      <c r="C49" s="193">
        <f>IFERROR(__xludf.DUMMYFUNCTION("""COMPUTED_VALUE"""),2031.5)</f>
        <v>2031.5</v>
      </c>
      <c r="D49" s="9"/>
      <c r="E49" s="217">
        <f>IFERROR(__xludf.DUMMYFUNCTION("""COMPUTED_VALUE"""),46203.64583333333)</f>
        <v>46203.64583</v>
      </c>
      <c r="F49" s="193">
        <f>IFERROR(__xludf.DUMMYFUNCTION("""COMPUTED_VALUE"""),1071.8)</f>
        <v>1071.8</v>
      </c>
      <c r="G49" s="9"/>
      <c r="H49" s="29">
        <f t="shared" si="3"/>
        <v>1.895409591</v>
      </c>
      <c r="I49" s="1">
        <f t="shared" si="4"/>
        <v>959.7</v>
      </c>
      <c r="J49" s="113">
        <f t="shared" si="5"/>
        <v>-0.5745021264</v>
      </c>
      <c r="K49" s="199">
        <f t="shared" si="6"/>
        <v>1.895409591</v>
      </c>
      <c r="L49" s="213">
        <f t="shared" si="7"/>
        <v>2165.73</v>
      </c>
      <c r="M49" s="210">
        <f t="shared" si="8"/>
        <v>-0.06607432931</v>
      </c>
      <c r="N49" s="213">
        <f t="shared" si="9"/>
        <v>1138.12</v>
      </c>
      <c r="O49" s="210">
        <f t="shared" si="10"/>
        <v>-0.0618772159</v>
      </c>
      <c r="P49" s="210">
        <f t="shared" si="11"/>
        <v>-0.004197113415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217">
        <f>IFERROR(__xludf.DUMMYFUNCTION("""COMPUTED_VALUE"""),46204.64583333333)</f>
        <v>46204.64583</v>
      </c>
      <c r="C50" s="193">
        <f>IFERROR(__xludf.DUMMYFUNCTION("""COMPUTED_VALUE"""),1982.6)</f>
        <v>1982.6</v>
      </c>
      <c r="D50" s="9"/>
      <c r="E50" s="217">
        <f>IFERROR(__xludf.DUMMYFUNCTION("""COMPUTED_VALUE"""),46204.64583333333)</f>
        <v>46204.64583</v>
      </c>
      <c r="F50" s="193">
        <f>IFERROR(__xludf.DUMMYFUNCTION("""COMPUTED_VALUE"""),1034.2)</f>
        <v>1034.2</v>
      </c>
      <c r="G50" s="9"/>
      <c r="H50" s="29">
        <f t="shared" si="3"/>
        <v>1.917037324</v>
      </c>
      <c r="I50" s="1">
        <f t="shared" si="4"/>
        <v>948.4</v>
      </c>
      <c r="J50" s="113">
        <f t="shared" si="5"/>
        <v>-0.6927133175</v>
      </c>
      <c r="K50" s="199">
        <f t="shared" si="6"/>
        <v>1.917037324</v>
      </c>
      <c r="L50" s="213">
        <f t="shared" si="7"/>
        <v>2142.515</v>
      </c>
      <c r="M50" s="210">
        <f t="shared" si="8"/>
        <v>-0.08065923535</v>
      </c>
      <c r="N50" s="213">
        <f t="shared" si="9"/>
        <v>1127.655</v>
      </c>
      <c r="O50" s="210">
        <f t="shared" si="10"/>
        <v>-0.09036453297</v>
      </c>
      <c r="P50" s="210">
        <f t="shared" si="11"/>
        <v>0.009705297625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217">
        <f>IFERROR(__xludf.DUMMYFUNCTION("""COMPUTED_VALUE"""),46205.64583333333)</f>
        <v>46205.64583</v>
      </c>
      <c r="C51" s="193">
        <f>IFERROR(__xludf.DUMMYFUNCTION("""COMPUTED_VALUE"""),2068.1)</f>
        <v>2068.1</v>
      </c>
      <c r="D51" s="9"/>
      <c r="E51" s="217">
        <f>IFERROR(__xludf.DUMMYFUNCTION("""COMPUTED_VALUE"""),46205.64583333333)</f>
        <v>46205.64583</v>
      </c>
      <c r="F51" s="193">
        <f>IFERROR(__xludf.DUMMYFUNCTION("""COMPUTED_VALUE"""),1078.1)</f>
        <v>1078.1</v>
      </c>
      <c r="G51" s="9"/>
      <c r="H51" s="29">
        <f t="shared" si="3"/>
        <v>1.918282163</v>
      </c>
      <c r="I51" s="1">
        <f t="shared" si="4"/>
        <v>990</v>
      </c>
      <c r="J51" s="113">
        <f t="shared" si="5"/>
        <v>-0.2575287558</v>
      </c>
      <c r="K51" s="199">
        <f t="shared" si="6"/>
        <v>1.918282163</v>
      </c>
      <c r="L51" s="213">
        <f t="shared" si="7"/>
        <v>2133.835</v>
      </c>
      <c r="M51" s="210">
        <f t="shared" si="8"/>
        <v>-0.03178521348</v>
      </c>
      <c r="N51" s="213">
        <f t="shared" si="9"/>
        <v>1122.61</v>
      </c>
      <c r="O51" s="210">
        <f t="shared" si="10"/>
        <v>-0.04128559503</v>
      </c>
      <c r="P51" s="210">
        <f t="shared" si="11"/>
        <v>0.009500381547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217">
        <f>IFERROR(__xludf.DUMMYFUNCTION("""COMPUTED_VALUE"""),46206.64583333333)</f>
        <v>46206.64583</v>
      </c>
      <c r="C52" s="193">
        <f>IFERROR(__xludf.DUMMYFUNCTION("""COMPUTED_VALUE"""),2093.5)</f>
        <v>2093.5</v>
      </c>
      <c r="D52" s="9"/>
      <c r="E52" s="217">
        <f>IFERROR(__xludf.DUMMYFUNCTION("""COMPUTED_VALUE"""),46206.64583333333)</f>
        <v>46206.64583</v>
      </c>
      <c r="F52" s="193">
        <f>IFERROR(__xludf.DUMMYFUNCTION("""COMPUTED_VALUE"""),1139.0)</f>
        <v>1139</v>
      </c>
      <c r="G52" s="9"/>
      <c r="H52" s="29">
        <f t="shared" si="3"/>
        <v>1.838015803</v>
      </c>
      <c r="I52" s="1">
        <f t="shared" si="4"/>
        <v>954.5</v>
      </c>
      <c r="J52" s="113">
        <f t="shared" si="5"/>
        <v>-0.6289001966</v>
      </c>
      <c r="K52" s="199">
        <f t="shared" si="6"/>
        <v>1.838015803</v>
      </c>
      <c r="L52" s="213">
        <f t="shared" si="7"/>
        <v>2126.46</v>
      </c>
      <c r="M52" s="210">
        <f t="shared" si="8"/>
        <v>-0.01574396943</v>
      </c>
      <c r="N52" s="213">
        <f t="shared" si="9"/>
        <v>1121.145</v>
      </c>
      <c r="O52" s="210">
        <f t="shared" si="10"/>
        <v>0.01567603161</v>
      </c>
      <c r="P52" s="210">
        <f t="shared" si="11"/>
        <v>-0.03142000104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217">
        <f>IFERROR(__xludf.DUMMYFUNCTION("""COMPUTED_VALUE"""),46209.64583333333)</f>
        <v>46209.64583</v>
      </c>
      <c r="C53" s="193">
        <f>IFERROR(__xludf.DUMMYFUNCTION("""COMPUTED_VALUE"""),2057.6)</f>
        <v>2057.6</v>
      </c>
      <c r="D53" s="9"/>
      <c r="E53" s="217">
        <f>IFERROR(__xludf.DUMMYFUNCTION("""COMPUTED_VALUE"""),46209.64583333333)</f>
        <v>46209.64583</v>
      </c>
      <c r="F53" s="193">
        <f>IFERROR(__xludf.DUMMYFUNCTION("""COMPUTED_VALUE"""),1134.2)</f>
        <v>1134.2</v>
      </c>
      <c r="G53" s="9"/>
      <c r="H53" s="29">
        <f t="shared" si="3"/>
        <v>1.814142127</v>
      </c>
      <c r="I53" s="1">
        <f t="shared" si="4"/>
        <v>923.4</v>
      </c>
      <c r="J53" s="113">
        <f t="shared" si="5"/>
        <v>-0.9542425011</v>
      </c>
      <c r="K53" s="199">
        <f t="shared" si="6"/>
        <v>1.814142127</v>
      </c>
      <c r="L53" s="213">
        <f t="shared" si="7"/>
        <v>2119.395</v>
      </c>
      <c r="M53" s="210">
        <f t="shared" si="8"/>
        <v>-0.03003256221</v>
      </c>
      <c r="N53" s="213">
        <f t="shared" si="9"/>
        <v>1120.12</v>
      </c>
      <c r="O53" s="210">
        <f t="shared" si="10"/>
        <v>0.01241403633</v>
      </c>
      <c r="P53" s="210">
        <f t="shared" si="11"/>
        <v>-0.04244659853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217">
        <f>IFERROR(__xludf.DUMMYFUNCTION("""COMPUTED_VALUE"""),46210.64583333333)</f>
        <v>46210.64583</v>
      </c>
      <c r="C54" s="193">
        <f>IFERROR(__xludf.DUMMYFUNCTION("""COMPUTED_VALUE"""),2096.1)</f>
        <v>2096.1</v>
      </c>
      <c r="D54" s="9"/>
      <c r="E54" s="217">
        <f>IFERROR(__xludf.DUMMYFUNCTION("""COMPUTED_VALUE"""),46210.64583333333)</f>
        <v>46210.64583</v>
      </c>
      <c r="F54" s="193">
        <f>IFERROR(__xludf.DUMMYFUNCTION("""COMPUTED_VALUE"""),1168.2)</f>
        <v>1168.2</v>
      </c>
      <c r="G54" s="9"/>
      <c r="H54" s="29">
        <f t="shared" si="3"/>
        <v>1.794298921</v>
      </c>
      <c r="I54" s="1">
        <f t="shared" si="4"/>
        <v>927.9</v>
      </c>
      <c r="J54" s="113">
        <f t="shared" si="5"/>
        <v>-0.9071672481</v>
      </c>
      <c r="K54" s="199">
        <f t="shared" si="6"/>
        <v>1.794298921</v>
      </c>
      <c r="L54" s="213">
        <f t="shared" si="7"/>
        <v>2116.63</v>
      </c>
      <c r="M54" s="210">
        <f t="shared" si="8"/>
        <v>-0.009794380039</v>
      </c>
      <c r="N54" s="213">
        <f t="shared" si="9"/>
        <v>1120.965</v>
      </c>
      <c r="O54" s="210">
        <f t="shared" si="10"/>
        <v>0.04043400103</v>
      </c>
      <c r="P54" s="210">
        <f t="shared" si="11"/>
        <v>-0.05022838107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217">
        <f>IFERROR(__xludf.DUMMYFUNCTION("""COMPUTED_VALUE"""),46211.64583333333)</f>
        <v>46211.64583</v>
      </c>
      <c r="C55" s="193">
        <f>IFERROR(__xludf.DUMMYFUNCTION("""COMPUTED_VALUE"""),2057.5)</f>
        <v>2057.5</v>
      </c>
      <c r="D55" s="9"/>
      <c r="E55" s="217">
        <f>IFERROR(__xludf.DUMMYFUNCTION("""COMPUTED_VALUE"""),46211.64583333333)</f>
        <v>46211.64583</v>
      </c>
      <c r="F55" s="193">
        <f>IFERROR(__xludf.DUMMYFUNCTION("""COMPUTED_VALUE"""),1145.6)</f>
        <v>1145.6</v>
      </c>
      <c r="G55" s="9"/>
      <c r="H55" s="29">
        <f t="shared" si="3"/>
        <v>1.796002095</v>
      </c>
      <c r="I55" s="1">
        <f t="shared" si="4"/>
        <v>911.9</v>
      </c>
      <c r="J55" s="113">
        <f t="shared" si="5"/>
        <v>-1.074545926</v>
      </c>
      <c r="K55" s="199">
        <f t="shared" si="6"/>
        <v>1.796002095</v>
      </c>
      <c r="L55" s="213">
        <f t="shared" si="7"/>
        <v>2111.955</v>
      </c>
      <c r="M55" s="210">
        <f t="shared" si="8"/>
        <v>-0.02646658566</v>
      </c>
      <c r="N55" s="213">
        <f t="shared" si="9"/>
        <v>1120.93</v>
      </c>
      <c r="O55" s="210">
        <f t="shared" si="10"/>
        <v>0.02153456704</v>
      </c>
      <c r="P55" s="210">
        <f t="shared" si="11"/>
        <v>-0.0480011527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217">
        <f>IFERROR(__xludf.DUMMYFUNCTION("""COMPUTED_VALUE"""),46212.64583333333)</f>
        <v>46212.64583</v>
      </c>
      <c r="C56" s="193">
        <f>IFERROR(__xludf.DUMMYFUNCTION("""COMPUTED_VALUE"""),2049.5)</f>
        <v>2049.5</v>
      </c>
      <c r="D56" s="9"/>
      <c r="E56" s="217">
        <f>IFERROR(__xludf.DUMMYFUNCTION("""COMPUTED_VALUE"""),46212.64583333333)</f>
        <v>46212.64583</v>
      </c>
      <c r="F56" s="193">
        <f>IFERROR(__xludf.DUMMYFUNCTION("""COMPUTED_VALUE"""),1150.4)</f>
        <v>1150.4</v>
      </c>
      <c r="G56" s="9"/>
      <c r="H56" s="29">
        <f t="shared" si="3"/>
        <v>1.781554242</v>
      </c>
      <c r="I56" s="1">
        <f t="shared" si="4"/>
        <v>899.1</v>
      </c>
      <c r="J56" s="113">
        <f t="shared" si="5"/>
        <v>-1.208448868</v>
      </c>
      <c r="K56" s="199">
        <f t="shared" si="6"/>
        <v>1.781554242</v>
      </c>
      <c r="L56" s="213">
        <f t="shared" si="7"/>
        <v>2106.735</v>
      </c>
      <c r="M56" s="210">
        <f t="shared" si="8"/>
        <v>-0.02792632349</v>
      </c>
      <c r="N56" s="213">
        <f t="shared" si="9"/>
        <v>1121.845</v>
      </c>
      <c r="O56" s="210">
        <f t="shared" si="10"/>
        <v>0.02482180111</v>
      </c>
      <c r="P56" s="210">
        <f t="shared" si="11"/>
        <v>-0.05274812461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217">
        <f>IFERROR(__xludf.DUMMYFUNCTION("""COMPUTED_VALUE"""),46213.64583333333)</f>
        <v>46213.64583</v>
      </c>
      <c r="C57" s="193">
        <f>IFERROR(__xludf.DUMMYFUNCTION("""COMPUTED_VALUE"""),2069.0)</f>
        <v>2069</v>
      </c>
      <c r="D57" s="9"/>
      <c r="E57" s="217">
        <f>IFERROR(__xludf.DUMMYFUNCTION("""COMPUTED_VALUE"""),46213.64583333333)</f>
        <v>46213.64583</v>
      </c>
      <c r="F57" s="193">
        <f>IFERROR(__xludf.DUMMYFUNCTION("""COMPUTED_VALUE"""),1164.1)</f>
        <v>1164.1</v>
      </c>
      <c r="G57" s="9"/>
      <c r="H57" s="29">
        <f t="shared" si="3"/>
        <v>1.777338717</v>
      </c>
      <c r="I57" s="1">
        <f t="shared" si="4"/>
        <v>904.9</v>
      </c>
      <c r="J57" s="113">
        <f t="shared" si="5"/>
        <v>-1.147774097</v>
      </c>
      <c r="K57" s="199">
        <f t="shared" si="6"/>
        <v>1.777338717</v>
      </c>
      <c r="L57" s="213">
        <f t="shared" si="7"/>
        <v>2103.405</v>
      </c>
      <c r="M57" s="210">
        <f t="shared" si="8"/>
        <v>-0.01662880619</v>
      </c>
      <c r="N57" s="213">
        <f t="shared" si="9"/>
        <v>1124.54</v>
      </c>
      <c r="O57" s="210">
        <f t="shared" si="10"/>
        <v>0.03398333477</v>
      </c>
      <c r="P57" s="210">
        <f t="shared" si="11"/>
        <v>-0.05061214095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217">
        <f>IFERROR(__xludf.DUMMYFUNCTION("""COMPUTED_VALUE"""),46216.64583333333)</f>
        <v>46216.64583</v>
      </c>
      <c r="C58" s="193">
        <f>IFERROR(__xludf.DUMMYFUNCTION("""COMPUTED_VALUE"""),2181.5)</f>
        <v>2181.5</v>
      </c>
      <c r="D58" s="9"/>
      <c r="E58" s="217">
        <f>IFERROR(__xludf.DUMMYFUNCTION("""COMPUTED_VALUE"""),46216.64583333333)</f>
        <v>46216.64583</v>
      </c>
      <c r="F58" s="193">
        <f>IFERROR(__xludf.DUMMYFUNCTION("""COMPUTED_VALUE"""),1221.2)</f>
        <v>1221.2</v>
      </c>
      <c r="G58" s="9"/>
      <c r="H58" s="29">
        <f t="shared" si="3"/>
        <v>1.786357681</v>
      </c>
      <c r="I58" s="1">
        <f t="shared" si="4"/>
        <v>960.3</v>
      </c>
      <c r="J58" s="113">
        <f t="shared" si="5"/>
        <v>-0.568225426</v>
      </c>
      <c r="K58" s="199">
        <f t="shared" si="6"/>
        <v>1.786357681</v>
      </c>
      <c r="L58" s="213">
        <f t="shared" si="7"/>
        <v>2104.41</v>
      </c>
      <c r="M58" s="210">
        <f t="shared" si="8"/>
        <v>0.03533807014</v>
      </c>
      <c r="N58" s="213">
        <f t="shared" si="9"/>
        <v>1130.12</v>
      </c>
      <c r="O58" s="210">
        <f t="shared" si="10"/>
        <v>0.07458237799</v>
      </c>
      <c r="P58" s="210">
        <f t="shared" si="11"/>
        <v>-0.03924430785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217">
        <f>IFERROR(__xludf.DUMMYFUNCTION("""COMPUTED_VALUE"""),46217.64583333333)</f>
        <v>46217.64583</v>
      </c>
      <c r="C59" s="193">
        <f>IFERROR(__xludf.DUMMYFUNCTION("""COMPUTED_VALUE"""),2200.6)</f>
        <v>2200.6</v>
      </c>
      <c r="D59" s="9"/>
      <c r="E59" s="217">
        <f>IFERROR(__xludf.DUMMYFUNCTION("""COMPUTED_VALUE"""),46217.64583333333)</f>
        <v>46217.64583</v>
      </c>
      <c r="F59" s="193">
        <f>IFERROR(__xludf.DUMMYFUNCTION("""COMPUTED_VALUE"""),1166.7)</f>
        <v>1166.7</v>
      </c>
      <c r="G59" s="9"/>
      <c r="H59" s="29">
        <f t="shared" si="3"/>
        <v>1.886174681</v>
      </c>
      <c r="I59" s="1">
        <f t="shared" si="4"/>
        <v>1033.9</v>
      </c>
      <c r="J59" s="113">
        <f t="shared" si="5"/>
        <v>0.2017164908</v>
      </c>
      <c r="K59" s="199">
        <f t="shared" si="6"/>
        <v>1.886174681</v>
      </c>
      <c r="L59" s="213">
        <f t="shared" si="7"/>
        <v>2106.34</v>
      </c>
      <c r="M59" s="210">
        <f t="shared" si="8"/>
        <v>0.04283377261</v>
      </c>
      <c r="N59" s="213">
        <f t="shared" si="9"/>
        <v>1132.49</v>
      </c>
      <c r="O59" s="210">
        <f t="shared" si="10"/>
        <v>0.02932201937</v>
      </c>
      <c r="P59" s="210">
        <f t="shared" si="11"/>
        <v>0.01351175324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217">
        <f>IFERROR(__xludf.DUMMYFUNCTION("""COMPUTED_VALUE"""),46218.64583333333)</f>
        <v>46218.64583</v>
      </c>
      <c r="C60" s="193">
        <f>IFERROR(__xludf.DUMMYFUNCTION("""COMPUTED_VALUE"""),2189.2)</f>
        <v>2189.2</v>
      </c>
      <c r="D60" s="9"/>
      <c r="E60" s="217">
        <f>IFERROR(__xludf.DUMMYFUNCTION("""COMPUTED_VALUE"""),46218.64583333333)</f>
        <v>46218.64583</v>
      </c>
      <c r="F60" s="193">
        <f>IFERROR(__xludf.DUMMYFUNCTION("""COMPUTED_VALUE"""),1168.0)</f>
        <v>1168</v>
      </c>
      <c r="G60" s="9"/>
      <c r="H60" s="29">
        <f t="shared" si="3"/>
        <v>1.874315068</v>
      </c>
      <c r="I60" s="1">
        <f t="shared" si="4"/>
        <v>1021.2</v>
      </c>
      <c r="J60" s="113">
        <f t="shared" si="5"/>
        <v>0.06885966544</v>
      </c>
      <c r="K60" s="199">
        <f t="shared" si="6"/>
        <v>1.874315068</v>
      </c>
      <c r="L60" s="213">
        <f t="shared" si="7"/>
        <v>2105.85</v>
      </c>
      <c r="M60" s="210">
        <f t="shared" si="8"/>
        <v>0.03807326877</v>
      </c>
      <c r="N60" s="213">
        <f t="shared" si="9"/>
        <v>1132.94</v>
      </c>
      <c r="O60" s="210">
        <f t="shared" si="10"/>
        <v>0.03001712329</v>
      </c>
      <c r="P60" s="210">
        <f t="shared" si="11"/>
        <v>0.008056145486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217">
        <f>IFERROR(__xludf.DUMMYFUNCTION("""COMPUTED_VALUE"""),46219.64583333333)</f>
        <v>46219.64583</v>
      </c>
      <c r="C61" s="193">
        <f>IFERROR(__xludf.DUMMYFUNCTION("""COMPUTED_VALUE"""),2201.0)</f>
        <v>2201</v>
      </c>
      <c r="D61" s="9"/>
      <c r="E61" s="217">
        <f>IFERROR(__xludf.DUMMYFUNCTION("""COMPUTED_VALUE"""),46219.64583333333)</f>
        <v>46219.64583</v>
      </c>
      <c r="F61" s="193">
        <f>IFERROR(__xludf.DUMMYFUNCTION("""COMPUTED_VALUE"""),1187.4)</f>
        <v>1187.4</v>
      </c>
      <c r="G61" s="9"/>
      <c r="H61" s="29">
        <f t="shared" si="3"/>
        <v>1.853629779</v>
      </c>
      <c r="I61" s="1">
        <f t="shared" si="4"/>
        <v>1013.6</v>
      </c>
      <c r="J61" s="113">
        <f t="shared" si="5"/>
        <v>-0.0106452064</v>
      </c>
      <c r="K61" s="199">
        <f t="shared" si="6"/>
        <v>1.853629779</v>
      </c>
      <c r="L61" s="213">
        <f t="shared" si="7"/>
        <v>2104.75</v>
      </c>
      <c r="M61" s="210">
        <f t="shared" si="8"/>
        <v>0.04373012267</v>
      </c>
      <c r="N61" s="213">
        <f t="shared" si="9"/>
        <v>1133.97</v>
      </c>
      <c r="O61" s="210">
        <f t="shared" si="10"/>
        <v>0.04499747347</v>
      </c>
      <c r="P61" s="210">
        <f t="shared" si="11"/>
        <v>-0.0012673508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217">
        <f>IFERROR(__xludf.DUMMYFUNCTION("""COMPUTED_VALUE"""),46220.64583333333)</f>
        <v>46220.64583</v>
      </c>
      <c r="C62" s="193">
        <f>IFERROR(__xludf.DUMMYFUNCTION("""COMPUTED_VALUE"""),2269.0)</f>
        <v>2269</v>
      </c>
      <c r="D62" s="9"/>
      <c r="E62" s="217">
        <f>IFERROR(__xludf.DUMMYFUNCTION("""COMPUTED_VALUE"""),46220.64583333333)</f>
        <v>46220.64583</v>
      </c>
      <c r="F62" s="193">
        <f>IFERROR(__xludf.DUMMYFUNCTION("""COMPUTED_VALUE"""),1203.9)</f>
        <v>1203.9</v>
      </c>
      <c r="G62" s="9"/>
      <c r="H62" s="29">
        <f t="shared" si="3"/>
        <v>1.884708032</v>
      </c>
      <c r="I62" s="1">
        <f t="shared" si="4"/>
        <v>1065.1</v>
      </c>
      <c r="J62" s="113">
        <f t="shared" si="5"/>
        <v>0.528104912</v>
      </c>
      <c r="K62" s="199">
        <f t="shared" si="6"/>
        <v>1.884708032</v>
      </c>
      <c r="L62" s="213">
        <f t="shared" si="7"/>
        <v>2108.035</v>
      </c>
      <c r="M62" s="210">
        <f t="shared" si="8"/>
        <v>0.07094094315</v>
      </c>
      <c r="N62" s="213">
        <f t="shared" si="9"/>
        <v>1136.075</v>
      </c>
      <c r="O62" s="210">
        <f t="shared" si="10"/>
        <v>0.05633773569</v>
      </c>
      <c r="P62" s="210">
        <f t="shared" si="11"/>
        <v>0.01460320745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217">
        <f>IFERROR(__xludf.DUMMYFUNCTION("""COMPUTED_VALUE"""),46223.64583333333)</f>
        <v>46223.64583</v>
      </c>
      <c r="C63" s="193">
        <f>IFERROR(__xludf.DUMMYFUNCTION("""COMPUTED_VALUE"""),2251.1)</f>
        <v>2251.1</v>
      </c>
      <c r="D63" s="9"/>
      <c r="E63" s="217">
        <f>IFERROR(__xludf.DUMMYFUNCTION("""COMPUTED_VALUE"""),46223.64583333333)</f>
        <v>46223.64583</v>
      </c>
      <c r="F63" s="193">
        <f>IFERROR(__xludf.DUMMYFUNCTION("""COMPUTED_VALUE"""),1221.3)</f>
        <v>1221.3</v>
      </c>
      <c r="G63" s="9"/>
      <c r="H63" s="29">
        <f t="shared" si="3"/>
        <v>1.843199869</v>
      </c>
      <c r="I63" s="1">
        <f t="shared" si="4"/>
        <v>1029.8</v>
      </c>
      <c r="J63" s="113">
        <f t="shared" si="5"/>
        <v>0.1588257046</v>
      </c>
      <c r="K63" s="199">
        <f t="shared" si="6"/>
        <v>1.843199869</v>
      </c>
      <c r="L63" s="213">
        <f t="shared" si="7"/>
        <v>2114.34</v>
      </c>
      <c r="M63" s="210">
        <f t="shared" si="8"/>
        <v>0.06075252099</v>
      </c>
      <c r="N63" s="213">
        <f t="shared" si="9"/>
        <v>1140.555</v>
      </c>
      <c r="O63" s="210">
        <f t="shared" si="10"/>
        <v>0.06611397691</v>
      </c>
      <c r="P63" s="210">
        <f t="shared" si="11"/>
        <v>-0.00536145592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93">
        <v>30.0</v>
      </c>
      <c r="B64" s="217">
        <f>IFERROR(__xludf.DUMMYFUNCTION("""COMPUTED_VALUE"""),46224.64583333333)</f>
        <v>46224.64583</v>
      </c>
      <c r="C64" s="193">
        <f>IFERROR(__xludf.DUMMYFUNCTION("""COMPUTED_VALUE"""),2221.1)</f>
        <v>2221.1</v>
      </c>
      <c r="D64" s="9"/>
      <c r="E64" s="217">
        <f>IFERROR(__xludf.DUMMYFUNCTION("""COMPUTED_VALUE"""),46224.64583333333)</f>
        <v>46224.64583</v>
      </c>
      <c r="F64" s="193">
        <f>IFERROR(__xludf.DUMMYFUNCTION("""COMPUTED_VALUE"""),1239.5)</f>
        <v>1239.5</v>
      </c>
      <c r="G64" s="9"/>
      <c r="H64" s="29">
        <f t="shared" si="3"/>
        <v>1.791932231</v>
      </c>
      <c r="I64" s="1">
        <f t="shared" si="4"/>
        <v>981.6</v>
      </c>
      <c r="J64" s="113">
        <f t="shared" si="5"/>
        <v>-0.3454025615</v>
      </c>
      <c r="K64" s="199">
        <f t="shared" si="6"/>
        <v>1.791932231</v>
      </c>
      <c r="L64" s="213">
        <f t="shared" si="7"/>
        <v>2119.005</v>
      </c>
      <c r="M64" s="210">
        <f t="shared" si="8"/>
        <v>0.04596596281</v>
      </c>
      <c r="N64" s="213">
        <f t="shared" si="9"/>
        <v>1146.005</v>
      </c>
      <c r="O64" s="210">
        <f t="shared" si="10"/>
        <v>0.07542960871</v>
      </c>
      <c r="P64" s="210">
        <f t="shared" si="11"/>
        <v>-0.0294636459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217">
        <f>IFERROR(__xludf.DUMMYFUNCTION("""COMPUTED_VALUE"""),46225.64583333333)</f>
        <v>46225.64583</v>
      </c>
      <c r="C65" s="193">
        <f>IFERROR(__xludf.DUMMYFUNCTION("""COMPUTED_VALUE"""),2208.3)</f>
        <v>2208.3</v>
      </c>
      <c r="D65" s="9"/>
      <c r="E65" s="217">
        <f>IFERROR(__xludf.DUMMYFUNCTION("""COMPUTED_VALUE"""),46225.64583333333)</f>
        <v>46225.64583</v>
      </c>
      <c r="F65" s="193">
        <f>IFERROR(__xludf.DUMMYFUNCTION("""COMPUTED_VALUE"""),1237.3)</f>
        <v>1237.3</v>
      </c>
      <c r="G65" s="9"/>
      <c r="H65" s="29">
        <f t="shared" si="3"/>
        <v>1.784773297</v>
      </c>
      <c r="I65" s="1">
        <f t="shared" si="4"/>
        <v>971</v>
      </c>
      <c r="J65" s="113">
        <f t="shared" si="5"/>
        <v>-0.4562909354</v>
      </c>
      <c r="K65" s="199">
        <f t="shared" si="6"/>
        <v>1.784773297</v>
      </c>
      <c r="L65" s="213">
        <f t="shared" si="7"/>
        <v>2126.44</v>
      </c>
      <c r="M65" s="210">
        <f t="shared" si="8"/>
        <v>0.03706923878</v>
      </c>
      <c r="N65" s="213">
        <f t="shared" si="9"/>
        <v>1152.395</v>
      </c>
      <c r="O65" s="210">
        <f t="shared" si="10"/>
        <v>0.0686211913</v>
      </c>
      <c r="P65" s="210">
        <f t="shared" si="11"/>
        <v>-0.03155195252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217">
        <f>IFERROR(__xludf.DUMMYFUNCTION("""COMPUTED_VALUE"""),46226.64583333333)</f>
        <v>46226.64583</v>
      </c>
      <c r="C66" s="193">
        <f>IFERROR(__xludf.DUMMYFUNCTION("""COMPUTED_VALUE"""),2242.9)</f>
        <v>2242.9</v>
      </c>
      <c r="D66" s="9"/>
      <c r="E66" s="217">
        <f>IFERROR(__xludf.DUMMYFUNCTION("""COMPUTED_VALUE"""),46226.64583333333)</f>
        <v>46226.64583</v>
      </c>
      <c r="F66" s="193">
        <f>IFERROR(__xludf.DUMMYFUNCTION("""COMPUTED_VALUE"""),1244.7)</f>
        <v>1244.7</v>
      </c>
      <c r="G66" s="9"/>
      <c r="H66" s="29">
        <f t="shared" si="3"/>
        <v>1.801960312</v>
      </c>
      <c r="I66" s="1">
        <f t="shared" si="4"/>
        <v>998.2</v>
      </c>
      <c r="J66" s="113">
        <f t="shared" si="5"/>
        <v>-0.1717471836</v>
      </c>
      <c r="K66" s="199">
        <f t="shared" si="6"/>
        <v>1.801960312</v>
      </c>
      <c r="L66" s="213">
        <f t="shared" si="7"/>
        <v>2133.135</v>
      </c>
      <c r="M66" s="210">
        <f t="shared" si="8"/>
        <v>0.04893887378</v>
      </c>
      <c r="N66" s="213">
        <f t="shared" si="9"/>
        <v>1158.935</v>
      </c>
      <c r="O66" s="210">
        <f t="shared" si="10"/>
        <v>0.06890415361</v>
      </c>
      <c r="P66" s="210">
        <f t="shared" si="11"/>
        <v>-0.01996527983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217">
        <f>IFERROR(__xludf.DUMMYFUNCTION("""COMPUTED_VALUE"""),46227.64583333333)</f>
        <v>46227.64583</v>
      </c>
      <c r="C67" s="193">
        <f>IFERROR(__xludf.DUMMYFUNCTION("""COMPUTED_VALUE"""),2254.3)</f>
        <v>2254.3</v>
      </c>
      <c r="D67" s="9"/>
      <c r="E67" s="217">
        <f>IFERROR(__xludf.DUMMYFUNCTION("""COMPUTED_VALUE"""),46227.64583333333)</f>
        <v>46227.64583</v>
      </c>
      <c r="F67" s="193">
        <f>IFERROR(__xludf.DUMMYFUNCTION("""COMPUTED_VALUE"""),1271.0)</f>
        <v>1271</v>
      </c>
      <c r="G67" s="9"/>
      <c r="H67" s="29">
        <f t="shared" si="3"/>
        <v>1.773642801</v>
      </c>
      <c r="I67" s="1">
        <f t="shared" si="4"/>
        <v>983.3</v>
      </c>
      <c r="J67" s="113">
        <f t="shared" si="5"/>
        <v>-0.327618577</v>
      </c>
      <c r="K67" s="199">
        <f t="shared" si="6"/>
        <v>1.773642801</v>
      </c>
      <c r="L67" s="213">
        <f t="shared" si="7"/>
        <v>2141.115</v>
      </c>
      <c r="M67" s="210">
        <f t="shared" si="8"/>
        <v>0.05020849044</v>
      </c>
      <c r="N67" s="213">
        <f t="shared" si="9"/>
        <v>1167.45</v>
      </c>
      <c r="O67" s="210">
        <f t="shared" si="10"/>
        <v>0.08147128245</v>
      </c>
      <c r="P67" s="210">
        <f t="shared" si="11"/>
        <v>-0.03126279201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217">
        <f>IFERROR(__xludf.DUMMYFUNCTION("""COMPUTED_VALUE"""),46230.64583333333)</f>
        <v>46230.64583</v>
      </c>
      <c r="C68" s="193">
        <f>IFERROR(__xludf.DUMMYFUNCTION("""COMPUTED_VALUE"""),2295.6)</f>
        <v>2295.6</v>
      </c>
      <c r="D68" s="9"/>
      <c r="E68" s="217">
        <f>IFERROR(__xludf.DUMMYFUNCTION("""COMPUTED_VALUE"""),46230.64583333333)</f>
        <v>46230.64583</v>
      </c>
      <c r="F68" s="193">
        <f>IFERROR(__xludf.DUMMYFUNCTION("""COMPUTED_VALUE"""),1295.9)</f>
        <v>1295.9</v>
      </c>
      <c r="G68" s="9"/>
      <c r="H68" s="29">
        <f t="shared" si="3"/>
        <v>1.771432981</v>
      </c>
      <c r="I68" s="1">
        <f t="shared" si="4"/>
        <v>999.7</v>
      </c>
      <c r="J68" s="113">
        <f t="shared" si="5"/>
        <v>-0.1560554325</v>
      </c>
      <c r="K68" s="199">
        <f t="shared" si="6"/>
        <v>1.771432981</v>
      </c>
      <c r="L68" s="213">
        <f t="shared" si="7"/>
        <v>2151</v>
      </c>
      <c r="M68" s="210">
        <f t="shared" si="8"/>
        <v>0.06299006796</v>
      </c>
      <c r="N68" s="213">
        <f t="shared" si="9"/>
        <v>1177.125</v>
      </c>
      <c r="O68" s="210">
        <f t="shared" si="10"/>
        <v>0.09165444865</v>
      </c>
      <c r="P68" s="210">
        <f t="shared" si="11"/>
        <v>-0.02866438069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217">
        <f>IFERROR(__xludf.DUMMYFUNCTION("""COMPUTED_VALUE"""),46231.64583333333)</f>
        <v>46231.64583</v>
      </c>
      <c r="C69" s="193">
        <f>IFERROR(__xludf.DUMMYFUNCTION("""COMPUTED_VALUE"""),2398.0)</f>
        <v>2398</v>
      </c>
      <c r="D69" s="9"/>
      <c r="E69" s="217">
        <f>IFERROR(__xludf.DUMMYFUNCTION("""COMPUTED_VALUE"""),46231.64583333333)</f>
        <v>46231.64583</v>
      </c>
      <c r="F69" s="193">
        <f>IFERROR(__xludf.DUMMYFUNCTION("""COMPUTED_VALUE"""),1318.6)</f>
        <v>1318.6</v>
      </c>
      <c r="G69" s="9"/>
      <c r="H69" s="29">
        <f t="shared" si="3"/>
        <v>1.81859548</v>
      </c>
      <c r="I69" s="1">
        <f t="shared" si="4"/>
        <v>1079.4</v>
      </c>
      <c r="J69" s="113">
        <f t="shared" si="5"/>
        <v>0.6776996051</v>
      </c>
      <c r="K69" s="199">
        <f t="shared" si="6"/>
        <v>1.81859548</v>
      </c>
      <c r="L69" s="213">
        <f t="shared" si="7"/>
        <v>2169.325</v>
      </c>
      <c r="M69" s="210">
        <f t="shared" si="8"/>
        <v>0.09536071726</v>
      </c>
      <c r="N69" s="213">
        <f t="shared" si="9"/>
        <v>1189.465</v>
      </c>
      <c r="O69" s="210">
        <f t="shared" si="10"/>
        <v>0.09793341423</v>
      </c>
      <c r="P69" s="210">
        <f t="shared" si="11"/>
        <v>-0.002572696963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217">
        <f>IFERROR(__xludf.DUMMYFUNCTION("""COMPUTED_VALUE"""),46232.64583333333)</f>
        <v>46232.64583</v>
      </c>
      <c r="C70" s="193">
        <f>IFERROR(__xludf.DUMMYFUNCTION("""COMPUTED_VALUE"""),2446.6)</f>
        <v>2446.6</v>
      </c>
      <c r="D70" s="9"/>
      <c r="E70" s="217">
        <f>IFERROR(__xludf.DUMMYFUNCTION("""COMPUTED_VALUE"""),46232.64583333333)</f>
        <v>46232.64583</v>
      </c>
      <c r="F70" s="193">
        <f>IFERROR(__xludf.DUMMYFUNCTION("""COMPUTED_VALUE"""),1344.3)</f>
        <v>1344.3</v>
      </c>
      <c r="G70" s="9"/>
      <c r="H70" s="29">
        <f t="shared" si="3"/>
        <v>1.819980659</v>
      </c>
      <c r="I70" s="1">
        <f t="shared" si="4"/>
        <v>1102.3</v>
      </c>
      <c r="J70" s="113">
        <f t="shared" si="5"/>
        <v>0.9172603373</v>
      </c>
      <c r="K70" s="199">
        <f t="shared" si="6"/>
        <v>1.819980659</v>
      </c>
      <c r="L70" s="213">
        <f t="shared" si="7"/>
        <v>2192.525</v>
      </c>
      <c r="M70" s="210">
        <f t="shared" si="8"/>
        <v>0.1038481975</v>
      </c>
      <c r="N70" s="213">
        <f t="shared" si="9"/>
        <v>1204.97</v>
      </c>
      <c r="O70" s="210">
        <f t="shared" si="10"/>
        <v>0.1036450197</v>
      </c>
      <c r="P70" s="210">
        <f t="shared" si="11"/>
        <v>0.0002031777857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217">
        <f>IFERROR(__xludf.DUMMYFUNCTION("""COMPUTED_VALUE"""),46233.64583333333)</f>
        <v>46233.64583</v>
      </c>
      <c r="C71" s="193">
        <f>IFERROR(__xludf.DUMMYFUNCTION("""COMPUTED_VALUE"""),2431.8)</f>
        <v>2431.8</v>
      </c>
      <c r="D71" s="9"/>
      <c r="E71" s="217">
        <f>IFERROR(__xludf.DUMMYFUNCTION("""COMPUTED_VALUE"""),46233.64583333333)</f>
        <v>46233.64583</v>
      </c>
      <c r="F71" s="193">
        <f>IFERROR(__xludf.DUMMYFUNCTION("""COMPUTED_VALUE"""),1352.7)</f>
        <v>1352.7</v>
      </c>
      <c r="G71" s="9"/>
      <c r="H71" s="29">
        <f t="shared" si="3"/>
        <v>1.797737858</v>
      </c>
      <c r="I71" s="1">
        <f t="shared" si="4"/>
        <v>1079.1</v>
      </c>
      <c r="J71" s="113">
        <f t="shared" si="5"/>
        <v>0.6745612549</v>
      </c>
      <c r="K71" s="199">
        <f t="shared" si="6"/>
        <v>1.797737858</v>
      </c>
      <c r="L71" s="213">
        <f t="shared" si="7"/>
        <v>2210.71</v>
      </c>
      <c r="M71" s="210">
        <f t="shared" si="8"/>
        <v>0.09091619377</v>
      </c>
      <c r="N71" s="213">
        <f t="shared" si="9"/>
        <v>1218.7</v>
      </c>
      <c r="O71" s="210">
        <f t="shared" si="10"/>
        <v>0.09906113699</v>
      </c>
      <c r="P71" s="210">
        <f t="shared" si="11"/>
        <v>-0.008144943219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217">
        <f>IFERROR(__xludf.DUMMYFUNCTION("""COMPUTED_VALUE"""),46234.64583333333)</f>
        <v>46234.64583</v>
      </c>
      <c r="C72" s="193">
        <f>IFERROR(__xludf.DUMMYFUNCTION("""COMPUTED_VALUE"""),2365.6)</f>
        <v>2365.6</v>
      </c>
      <c r="D72" s="9"/>
      <c r="E72" s="217">
        <f>IFERROR(__xludf.DUMMYFUNCTION("""COMPUTED_VALUE"""),46234.64583333333)</f>
        <v>46234.64583</v>
      </c>
      <c r="F72" s="193">
        <f>IFERROR(__xludf.DUMMYFUNCTION("""COMPUTED_VALUE"""),1346.9)</f>
        <v>1346.9</v>
      </c>
      <c r="G72" s="9"/>
      <c r="H72" s="29">
        <f t="shared" si="3"/>
        <v>1.756329349</v>
      </c>
      <c r="I72" s="1">
        <f t="shared" si="4"/>
        <v>1018.7</v>
      </c>
      <c r="J72" s="113">
        <f t="shared" si="5"/>
        <v>0.04270674707</v>
      </c>
      <c r="K72" s="199">
        <f t="shared" si="6"/>
        <v>1.756329349</v>
      </c>
      <c r="L72" s="213">
        <f t="shared" si="7"/>
        <v>2224.315</v>
      </c>
      <c r="M72" s="210">
        <f t="shared" si="8"/>
        <v>0.05972480555</v>
      </c>
      <c r="N72" s="213">
        <f t="shared" si="9"/>
        <v>1229.095</v>
      </c>
      <c r="O72" s="210">
        <f t="shared" si="10"/>
        <v>0.08746380578</v>
      </c>
      <c r="P72" s="210">
        <f t="shared" si="11"/>
        <v>-0.02773900023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217">
        <f>IFERROR(__xludf.DUMMYFUNCTION("""COMPUTED_VALUE"""),46237.64583333333)</f>
        <v>46237.64583</v>
      </c>
      <c r="C73" s="193">
        <f>IFERROR(__xludf.DUMMYFUNCTION("""COMPUTED_VALUE"""),2473.7)</f>
        <v>2473.7</v>
      </c>
      <c r="D73" s="9"/>
      <c r="E73" s="217">
        <f>IFERROR(__xludf.DUMMYFUNCTION("""COMPUTED_VALUE"""),46237.64583333333)</f>
        <v>46237.64583</v>
      </c>
      <c r="F73" s="193">
        <f>IFERROR(__xludf.DUMMYFUNCTION("""COMPUTED_VALUE"""),1377.0)</f>
        <v>1377</v>
      </c>
      <c r="G73" s="9"/>
      <c r="H73" s="29">
        <f t="shared" si="3"/>
        <v>1.79644154</v>
      </c>
      <c r="I73" s="1">
        <f t="shared" si="4"/>
        <v>1096.7</v>
      </c>
      <c r="J73" s="113">
        <f t="shared" si="5"/>
        <v>0.8586778002</v>
      </c>
      <c r="K73" s="199">
        <f t="shared" si="6"/>
        <v>1.79644154</v>
      </c>
      <c r="L73" s="213">
        <f t="shared" si="7"/>
        <v>2245.12</v>
      </c>
      <c r="M73" s="210">
        <f t="shared" si="8"/>
        <v>0.09240409104</v>
      </c>
      <c r="N73" s="213">
        <f t="shared" si="9"/>
        <v>1241.235</v>
      </c>
      <c r="O73" s="210">
        <f t="shared" si="10"/>
        <v>0.09859477124</v>
      </c>
      <c r="P73" s="210">
        <f t="shared" si="11"/>
        <v>-0.006190680204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93">
        <v>20.0</v>
      </c>
      <c r="B74" s="217">
        <f>IFERROR(__xludf.DUMMYFUNCTION("""COMPUTED_VALUE"""),46238.64583333333)</f>
        <v>46238.64583</v>
      </c>
      <c r="C74" s="193">
        <f>IFERROR(__xludf.DUMMYFUNCTION("""COMPUTED_VALUE"""),2460.0)</f>
        <v>2460</v>
      </c>
      <c r="D74" s="9"/>
      <c r="E74" s="217">
        <f>IFERROR(__xludf.DUMMYFUNCTION("""COMPUTED_VALUE"""),46238.64583333333)</f>
        <v>46238.64583</v>
      </c>
      <c r="F74" s="193">
        <f>IFERROR(__xludf.DUMMYFUNCTION("""COMPUTED_VALUE"""),1369.9)</f>
        <v>1369.9</v>
      </c>
      <c r="G74" s="9"/>
      <c r="H74" s="29">
        <f t="shared" si="3"/>
        <v>1.795751515</v>
      </c>
      <c r="I74" s="1">
        <f t="shared" si="4"/>
        <v>1090.1</v>
      </c>
      <c r="J74" s="113">
        <f t="shared" si="5"/>
        <v>0.7896340957</v>
      </c>
      <c r="K74" s="199">
        <f t="shared" si="6"/>
        <v>1.795751515</v>
      </c>
      <c r="L74" s="213">
        <f t="shared" si="7"/>
        <v>2263.315</v>
      </c>
      <c r="M74" s="210">
        <f t="shared" si="8"/>
        <v>0.07995325203</v>
      </c>
      <c r="N74" s="213">
        <f t="shared" si="9"/>
        <v>1251.32</v>
      </c>
      <c r="O74" s="210">
        <f t="shared" si="10"/>
        <v>0.08656106285</v>
      </c>
      <c r="P74" s="210">
        <f t="shared" si="11"/>
        <v>-0.006607810819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217">
        <f>IFERROR(__xludf.DUMMYFUNCTION("""COMPUTED_VALUE"""),46239.64583333333)</f>
        <v>46239.64583</v>
      </c>
      <c r="C75" s="193">
        <f>IFERROR(__xludf.DUMMYFUNCTION("""COMPUTED_VALUE"""),2413.0)</f>
        <v>2413</v>
      </c>
      <c r="D75" s="9"/>
      <c r="E75" s="217">
        <f>IFERROR(__xludf.DUMMYFUNCTION("""COMPUTED_VALUE"""),46239.64583333333)</f>
        <v>46239.64583</v>
      </c>
      <c r="F75" s="193">
        <f>IFERROR(__xludf.DUMMYFUNCTION("""COMPUTED_VALUE"""),1350.0)</f>
        <v>1350</v>
      </c>
      <c r="G75" s="9"/>
      <c r="H75" s="29">
        <f t="shared" si="3"/>
        <v>1.787407407</v>
      </c>
      <c r="I75" s="1">
        <f t="shared" si="4"/>
        <v>1063</v>
      </c>
      <c r="J75" s="113">
        <f t="shared" si="5"/>
        <v>0.5061364606</v>
      </c>
      <c r="K75" s="199">
        <f t="shared" si="6"/>
        <v>1.787407407</v>
      </c>
      <c r="L75" s="213">
        <f t="shared" si="7"/>
        <v>2281.09</v>
      </c>
      <c r="M75" s="210">
        <f t="shared" si="8"/>
        <v>0.05466639039</v>
      </c>
      <c r="N75" s="213">
        <f t="shared" si="9"/>
        <v>1261.54</v>
      </c>
      <c r="O75" s="210">
        <f t="shared" si="10"/>
        <v>0.06552592593</v>
      </c>
      <c r="P75" s="210">
        <f t="shared" si="11"/>
        <v>-0.01085953554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217">
        <f>IFERROR(__xludf.DUMMYFUNCTION("""COMPUTED_VALUE"""),46240.64583333333)</f>
        <v>46240.64583</v>
      </c>
      <c r="C76" s="193">
        <f>IFERROR(__xludf.DUMMYFUNCTION("""COMPUTED_VALUE"""),2373.0)</f>
        <v>2373</v>
      </c>
      <c r="D76" s="9"/>
      <c r="E76" s="217">
        <f>IFERROR(__xludf.DUMMYFUNCTION("""COMPUTED_VALUE"""),46240.64583333333)</f>
        <v>46240.64583</v>
      </c>
      <c r="F76" s="193">
        <f>IFERROR(__xludf.DUMMYFUNCTION("""COMPUTED_VALUE"""),1335.0)</f>
        <v>1335</v>
      </c>
      <c r="G76" s="9"/>
      <c r="H76" s="29">
        <f t="shared" si="3"/>
        <v>1.77752809</v>
      </c>
      <c r="I76" s="1">
        <f t="shared" si="4"/>
        <v>1038</v>
      </c>
      <c r="J76" s="113">
        <f t="shared" si="5"/>
        <v>0.2446072769</v>
      </c>
      <c r="K76" s="199">
        <f t="shared" si="6"/>
        <v>1.77752809</v>
      </c>
      <c r="L76" s="213">
        <f t="shared" si="7"/>
        <v>2297.265</v>
      </c>
      <c r="M76" s="210">
        <f t="shared" si="8"/>
        <v>0.03191529709</v>
      </c>
      <c r="N76" s="213">
        <f t="shared" si="9"/>
        <v>1270.77</v>
      </c>
      <c r="O76" s="210">
        <f t="shared" si="10"/>
        <v>0.04811235955</v>
      </c>
      <c r="P76" s="210">
        <f t="shared" si="11"/>
        <v>-0.01619706246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217">
        <f>IFERROR(__xludf.DUMMYFUNCTION("""COMPUTED_VALUE"""),46241.64583333333)</f>
        <v>46241.64583</v>
      </c>
      <c r="C77" s="193">
        <f>IFERROR(__xludf.DUMMYFUNCTION("""COMPUTED_VALUE"""),2452.7)</f>
        <v>2452.7</v>
      </c>
      <c r="D77" s="9"/>
      <c r="E77" s="217">
        <f>IFERROR(__xludf.DUMMYFUNCTION("""COMPUTED_VALUE"""),46241.64583333333)</f>
        <v>46241.64583</v>
      </c>
      <c r="F77" s="193">
        <f>IFERROR(__xludf.DUMMYFUNCTION("""COMPUTED_VALUE"""),1356.6)</f>
        <v>1356.6</v>
      </c>
      <c r="G77" s="9"/>
      <c r="H77" s="29">
        <f t="shared" si="3"/>
        <v>1.807975822</v>
      </c>
      <c r="I77" s="1">
        <f t="shared" si="4"/>
        <v>1096.1</v>
      </c>
      <c r="J77" s="113">
        <f t="shared" si="5"/>
        <v>0.8524010998</v>
      </c>
      <c r="K77" s="199">
        <f t="shared" si="6"/>
        <v>1.807975822</v>
      </c>
      <c r="L77" s="213">
        <f t="shared" si="7"/>
        <v>2316.45</v>
      </c>
      <c r="M77" s="210">
        <f t="shared" si="8"/>
        <v>0.0555510254</v>
      </c>
      <c r="N77" s="213">
        <f t="shared" si="9"/>
        <v>1280.395</v>
      </c>
      <c r="O77" s="210">
        <f t="shared" si="10"/>
        <v>0.05617352204</v>
      </c>
      <c r="P77" s="210">
        <f t="shared" si="11"/>
        <v>-0.0006224966398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217">
        <f>IFERROR(__xludf.DUMMYFUNCTION("""COMPUTED_VALUE"""),46244.64583333333)</f>
        <v>46244.64583</v>
      </c>
      <c r="C78" s="193">
        <f>IFERROR(__xludf.DUMMYFUNCTION("""COMPUTED_VALUE"""),2425.7)</f>
        <v>2425.7</v>
      </c>
      <c r="D78" s="9"/>
      <c r="E78" s="217">
        <f>IFERROR(__xludf.DUMMYFUNCTION("""COMPUTED_VALUE"""),46244.64583333333)</f>
        <v>46244.64583</v>
      </c>
      <c r="F78" s="193">
        <f>IFERROR(__xludf.DUMMYFUNCTION("""COMPUTED_VALUE"""),1357.2)</f>
        <v>1357.2</v>
      </c>
      <c r="G78" s="9"/>
      <c r="H78" s="29">
        <f t="shared" si="3"/>
        <v>1.787282641</v>
      </c>
      <c r="I78" s="1">
        <f t="shared" si="4"/>
        <v>1068.5</v>
      </c>
      <c r="J78" s="113">
        <f t="shared" si="5"/>
        <v>0.563672881</v>
      </c>
      <c r="K78" s="199">
        <f t="shared" si="6"/>
        <v>1.787282641</v>
      </c>
      <c r="L78" s="213">
        <f t="shared" si="7"/>
        <v>2328.66</v>
      </c>
      <c r="M78" s="210">
        <f t="shared" si="8"/>
        <v>0.04000494703</v>
      </c>
      <c r="N78" s="213">
        <f t="shared" si="9"/>
        <v>1287.195</v>
      </c>
      <c r="O78" s="210">
        <f t="shared" si="10"/>
        <v>0.05158045977</v>
      </c>
      <c r="P78" s="210">
        <f t="shared" si="11"/>
        <v>-0.01157551274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217">
        <f>IFERROR(__xludf.DUMMYFUNCTION("""COMPUTED_VALUE"""),46245.64583333333)</f>
        <v>46245.64583</v>
      </c>
      <c r="C79" s="193">
        <f>IFERROR(__xludf.DUMMYFUNCTION("""COMPUTED_VALUE"""),2445.7)</f>
        <v>2445.7</v>
      </c>
      <c r="D79" s="9"/>
      <c r="E79" s="217">
        <f>IFERROR(__xludf.DUMMYFUNCTION("""COMPUTED_VALUE"""),46245.64583333333)</f>
        <v>46245.64583</v>
      </c>
      <c r="F79" s="193">
        <f>IFERROR(__xludf.DUMMYFUNCTION("""COMPUTED_VALUE"""),1365.4)</f>
        <v>1365.4</v>
      </c>
      <c r="G79" s="9"/>
      <c r="H79" s="29">
        <f t="shared" si="3"/>
        <v>1.791196719</v>
      </c>
      <c r="I79" s="1">
        <f t="shared" si="4"/>
        <v>1080.3</v>
      </c>
      <c r="J79" s="113">
        <f t="shared" si="5"/>
        <v>0.6871146557</v>
      </c>
      <c r="K79" s="199">
        <f t="shared" si="6"/>
        <v>1.791196719</v>
      </c>
      <c r="L79" s="213">
        <f t="shared" si="7"/>
        <v>2340.915</v>
      </c>
      <c r="M79" s="210">
        <f t="shared" si="8"/>
        <v>0.04284458437</v>
      </c>
      <c r="N79" s="213">
        <f t="shared" si="9"/>
        <v>1297.13</v>
      </c>
      <c r="O79" s="210">
        <f t="shared" si="10"/>
        <v>0.05</v>
      </c>
      <c r="P79" s="210">
        <f t="shared" si="11"/>
        <v>-0.007155415627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217">
        <f>IFERROR(__xludf.DUMMYFUNCTION("""COMPUTED_VALUE"""),46246.64583333333)</f>
        <v>46246.64583</v>
      </c>
      <c r="C80" s="193">
        <f>IFERROR(__xludf.DUMMYFUNCTION("""COMPUTED_VALUE"""),2349.7)</f>
        <v>2349.7</v>
      </c>
      <c r="D80" s="9"/>
      <c r="E80" s="217">
        <f>IFERROR(__xludf.DUMMYFUNCTION("""COMPUTED_VALUE"""),46246.64583333333)</f>
        <v>46246.64583</v>
      </c>
      <c r="F80" s="193">
        <f>IFERROR(__xludf.DUMMYFUNCTION("""COMPUTED_VALUE"""),1365.4)</f>
        <v>1365.4</v>
      </c>
      <c r="G80" s="9"/>
      <c r="H80" s="29">
        <f t="shared" si="3"/>
        <v>1.720887652</v>
      </c>
      <c r="I80" s="1">
        <f t="shared" si="4"/>
        <v>984.3</v>
      </c>
      <c r="J80" s="113">
        <f t="shared" si="5"/>
        <v>-0.3171574097</v>
      </c>
      <c r="K80" s="199">
        <f t="shared" si="6"/>
        <v>1.720887652</v>
      </c>
      <c r="L80" s="213">
        <f t="shared" si="7"/>
        <v>2348.94</v>
      </c>
      <c r="M80" s="210">
        <f t="shared" si="8"/>
        <v>0.0003234455462</v>
      </c>
      <c r="N80" s="213">
        <f t="shared" si="9"/>
        <v>1307</v>
      </c>
      <c r="O80" s="210">
        <f t="shared" si="10"/>
        <v>0.04277134906</v>
      </c>
      <c r="P80" s="210">
        <f t="shared" si="11"/>
        <v>-0.04244790351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217">
        <f>IFERROR(__xludf.DUMMYFUNCTION("""COMPUTED_VALUE"""),46247.64583333333)</f>
        <v>46247.64583</v>
      </c>
      <c r="C81" s="193">
        <f>IFERROR(__xludf.DUMMYFUNCTION("""COMPUTED_VALUE"""),2375.0)</f>
        <v>2375</v>
      </c>
      <c r="D81" s="9"/>
      <c r="E81" s="217">
        <f>IFERROR(__xludf.DUMMYFUNCTION("""COMPUTED_VALUE"""),46247.64583333333)</f>
        <v>46247.64583</v>
      </c>
      <c r="F81" s="193">
        <f>IFERROR(__xludf.DUMMYFUNCTION("""COMPUTED_VALUE"""),1370.0)</f>
        <v>1370</v>
      </c>
      <c r="G81" s="9"/>
      <c r="H81" s="29">
        <f t="shared" si="3"/>
        <v>1.733576642</v>
      </c>
      <c r="I81" s="1">
        <f t="shared" si="4"/>
        <v>1005</v>
      </c>
      <c r="J81" s="113">
        <f t="shared" si="5"/>
        <v>-0.1006112456</v>
      </c>
      <c r="K81" s="199">
        <f t="shared" si="6"/>
        <v>1.733576642</v>
      </c>
      <c r="L81" s="213">
        <f t="shared" si="7"/>
        <v>2357.64</v>
      </c>
      <c r="M81" s="210">
        <f t="shared" si="8"/>
        <v>0.007309473684</v>
      </c>
      <c r="N81" s="213">
        <f t="shared" si="9"/>
        <v>1316.13</v>
      </c>
      <c r="O81" s="210">
        <f t="shared" si="10"/>
        <v>0.03932116788</v>
      </c>
      <c r="P81" s="210">
        <f t="shared" si="11"/>
        <v>-0.0320116942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217">
        <f>IFERROR(__xludf.DUMMYFUNCTION("""COMPUTED_VALUE"""),46248.64583333333)</f>
        <v>46248.64583</v>
      </c>
      <c r="C82" s="193">
        <f>IFERROR(__xludf.DUMMYFUNCTION("""COMPUTED_VALUE"""),2361.0)</f>
        <v>2361</v>
      </c>
      <c r="D82" s="9"/>
      <c r="E82" s="217">
        <f>IFERROR(__xludf.DUMMYFUNCTION("""COMPUTED_VALUE"""),46248.64583333333)</f>
        <v>46248.64583</v>
      </c>
      <c r="F82" s="193">
        <f>IFERROR(__xludf.DUMMYFUNCTION("""COMPUTED_VALUE"""),1360.0)</f>
        <v>1360</v>
      </c>
      <c r="G82" s="9"/>
      <c r="H82" s="29">
        <f t="shared" si="3"/>
        <v>1.736029412</v>
      </c>
      <c r="I82" s="1">
        <f t="shared" si="4"/>
        <v>1001</v>
      </c>
      <c r="J82" s="113">
        <f t="shared" si="5"/>
        <v>-0.142455915</v>
      </c>
      <c r="K82" s="199">
        <f t="shared" si="6"/>
        <v>1.736029412</v>
      </c>
      <c r="L82" s="213">
        <f t="shared" si="7"/>
        <v>2362.24</v>
      </c>
      <c r="M82" s="210">
        <f t="shared" si="8"/>
        <v>-0.0005252011859</v>
      </c>
      <c r="N82" s="213">
        <f t="shared" si="9"/>
        <v>1323.935</v>
      </c>
      <c r="O82" s="210">
        <f t="shared" si="10"/>
        <v>0.02651838235</v>
      </c>
      <c r="P82" s="210">
        <f t="shared" si="11"/>
        <v>-0.02704358354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217">
        <f>IFERROR(__xludf.DUMMYFUNCTION("""COMPUTED_VALUE"""),46251.64583333333)</f>
        <v>46251.64583</v>
      </c>
      <c r="C83" s="193">
        <f>IFERROR(__xludf.DUMMYFUNCTION("""COMPUTED_VALUE"""),2313.2)</f>
        <v>2313.2</v>
      </c>
      <c r="D83" s="9"/>
      <c r="E83" s="217">
        <f>IFERROR(__xludf.DUMMYFUNCTION("""COMPUTED_VALUE"""),46251.64583333333)</f>
        <v>46251.64583</v>
      </c>
      <c r="F83" s="193">
        <f>IFERROR(__xludf.DUMMYFUNCTION("""COMPUTED_VALUE"""),1325.0)</f>
        <v>1325</v>
      </c>
      <c r="G83" s="9"/>
      <c r="H83" s="29">
        <f t="shared" si="3"/>
        <v>1.745811321</v>
      </c>
      <c r="I83" s="1">
        <f t="shared" si="4"/>
        <v>988.2</v>
      </c>
      <c r="J83" s="113">
        <f t="shared" si="5"/>
        <v>-0.276358857</v>
      </c>
      <c r="K83" s="199">
        <f t="shared" si="6"/>
        <v>1.745811321</v>
      </c>
      <c r="L83" s="213">
        <f t="shared" si="7"/>
        <v>2365.345</v>
      </c>
      <c r="M83" s="210">
        <f t="shared" si="8"/>
        <v>-0.02254236555</v>
      </c>
      <c r="N83" s="213">
        <f t="shared" si="9"/>
        <v>1329.12</v>
      </c>
      <c r="O83" s="210">
        <f t="shared" si="10"/>
        <v>-0.003109433962</v>
      </c>
      <c r="P83" s="210">
        <f t="shared" si="11"/>
        <v>-0.01943293159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93">
        <v>10.0</v>
      </c>
      <c r="B84" s="217">
        <f>IFERROR(__xludf.DUMMYFUNCTION("""COMPUTED_VALUE"""),46252.64583333333)</f>
        <v>46252.64583</v>
      </c>
      <c r="C84" s="193">
        <f>IFERROR(__xludf.DUMMYFUNCTION("""COMPUTED_VALUE"""),2280.0)</f>
        <v>2280</v>
      </c>
      <c r="D84" s="9"/>
      <c r="E84" s="217">
        <f>IFERROR(__xludf.DUMMYFUNCTION("""COMPUTED_VALUE"""),46252.64583333333)</f>
        <v>46252.64583</v>
      </c>
      <c r="F84" s="193">
        <f>IFERROR(__xludf.DUMMYFUNCTION("""COMPUTED_VALUE"""),1298.0)</f>
        <v>1298</v>
      </c>
      <c r="G84" s="9"/>
      <c r="H84" s="29">
        <f t="shared" si="3"/>
        <v>1.756548536</v>
      </c>
      <c r="I84" s="1">
        <f t="shared" si="4"/>
        <v>982</v>
      </c>
      <c r="J84" s="113">
        <f t="shared" si="5"/>
        <v>-0.3412180946</v>
      </c>
      <c r="K84" s="199">
        <f t="shared" si="6"/>
        <v>1.756548536</v>
      </c>
      <c r="L84" s="213">
        <f t="shared" si="7"/>
        <v>2368.29</v>
      </c>
      <c r="M84" s="210">
        <f t="shared" si="8"/>
        <v>-0.03872368421</v>
      </c>
      <c r="N84" s="213">
        <f t="shared" si="9"/>
        <v>1332.045</v>
      </c>
      <c r="O84" s="210">
        <f t="shared" si="10"/>
        <v>-0.02622881356</v>
      </c>
      <c r="P84" s="210">
        <f t="shared" si="11"/>
        <v>-0.01249487065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217">
        <f>IFERROR(__xludf.DUMMYFUNCTION("""COMPUTED_VALUE"""),46253.64583333333)</f>
        <v>46253.64583</v>
      </c>
      <c r="C85" s="193">
        <f>IFERROR(__xludf.DUMMYFUNCTION("""COMPUTED_VALUE"""),2289.0)</f>
        <v>2289</v>
      </c>
      <c r="D85" s="9"/>
      <c r="E85" s="217">
        <f>IFERROR(__xludf.DUMMYFUNCTION("""COMPUTED_VALUE"""),46253.64583333333)</f>
        <v>46253.64583</v>
      </c>
      <c r="F85" s="193">
        <f>IFERROR(__xludf.DUMMYFUNCTION("""COMPUTED_VALUE"""),1324.8)</f>
        <v>1324.8</v>
      </c>
      <c r="G85" s="9"/>
      <c r="H85" s="29">
        <f t="shared" si="3"/>
        <v>1.727807971</v>
      </c>
      <c r="I85" s="1">
        <f t="shared" si="4"/>
        <v>964.2</v>
      </c>
      <c r="J85" s="113">
        <f t="shared" si="5"/>
        <v>-0.5274268734</v>
      </c>
      <c r="K85" s="199">
        <f t="shared" si="6"/>
        <v>1.727807971</v>
      </c>
      <c r="L85" s="213">
        <f t="shared" si="7"/>
        <v>2372.325</v>
      </c>
      <c r="M85" s="210">
        <f t="shared" si="8"/>
        <v>-0.03640235911</v>
      </c>
      <c r="N85" s="213">
        <f t="shared" si="9"/>
        <v>1336.42</v>
      </c>
      <c r="O85" s="210">
        <f t="shared" si="10"/>
        <v>-0.008771135266</v>
      </c>
      <c r="P85" s="210">
        <f t="shared" si="11"/>
        <v>-0.02763122384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217">
        <f>IFERROR(__xludf.DUMMYFUNCTION("""COMPUTED_VALUE"""),46254.64583333333)</f>
        <v>46254.64583</v>
      </c>
      <c r="C86" s="193">
        <f>IFERROR(__xludf.DUMMYFUNCTION("""COMPUTED_VALUE"""),2298.0)</f>
        <v>2298</v>
      </c>
      <c r="D86" s="9"/>
      <c r="E86" s="217">
        <f>IFERROR(__xludf.DUMMYFUNCTION("""COMPUTED_VALUE"""),46254.64583333333)</f>
        <v>46254.64583</v>
      </c>
      <c r="F86" s="193">
        <f>IFERROR(__xludf.DUMMYFUNCTION("""COMPUTED_VALUE"""),1318.4)</f>
        <v>1318.4</v>
      </c>
      <c r="G86" s="9"/>
      <c r="H86" s="29">
        <f t="shared" si="3"/>
        <v>1.743021845</v>
      </c>
      <c r="I86" s="1">
        <f t="shared" si="4"/>
        <v>979.6</v>
      </c>
      <c r="J86" s="113">
        <f t="shared" si="5"/>
        <v>-0.3663248962</v>
      </c>
      <c r="K86" s="199">
        <f t="shared" si="6"/>
        <v>1.743021845</v>
      </c>
      <c r="L86" s="213">
        <f t="shared" si="7"/>
        <v>2375.08</v>
      </c>
      <c r="M86" s="210">
        <f t="shared" si="8"/>
        <v>-0.03354221062</v>
      </c>
      <c r="N86" s="213">
        <f t="shared" si="9"/>
        <v>1340.105</v>
      </c>
      <c r="O86" s="210">
        <f t="shared" si="10"/>
        <v>-0.01646313714</v>
      </c>
      <c r="P86" s="210">
        <f t="shared" si="11"/>
        <v>-0.01707907348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217">
        <f>IFERROR(__xludf.DUMMYFUNCTION("""COMPUTED_VALUE"""),46255.64583333333)</f>
        <v>46255.64583</v>
      </c>
      <c r="C87" s="193">
        <f>IFERROR(__xludf.DUMMYFUNCTION("""COMPUTED_VALUE"""),2302.0)</f>
        <v>2302</v>
      </c>
      <c r="D87" s="9"/>
      <c r="E87" s="217">
        <f>IFERROR(__xludf.DUMMYFUNCTION("""COMPUTED_VALUE"""),46255.64583333333)</f>
        <v>46255.64583</v>
      </c>
      <c r="F87" s="193">
        <f>IFERROR(__xludf.DUMMYFUNCTION("""COMPUTED_VALUE"""),1302.5)</f>
        <v>1302.5</v>
      </c>
      <c r="G87" s="9"/>
      <c r="H87" s="29">
        <f t="shared" si="3"/>
        <v>1.767370441</v>
      </c>
      <c r="I87" s="1">
        <f t="shared" si="4"/>
        <v>999.5</v>
      </c>
      <c r="J87" s="113">
        <f t="shared" si="5"/>
        <v>-0.158147666</v>
      </c>
      <c r="K87" s="199">
        <f t="shared" si="6"/>
        <v>1.767370441</v>
      </c>
      <c r="L87" s="213">
        <f t="shared" si="7"/>
        <v>2377.465</v>
      </c>
      <c r="M87" s="210">
        <f t="shared" si="8"/>
        <v>-0.03278236316</v>
      </c>
      <c r="N87" s="213">
        <f t="shared" si="9"/>
        <v>1341.68</v>
      </c>
      <c r="O87" s="210">
        <f t="shared" si="10"/>
        <v>-0.0300806142</v>
      </c>
      <c r="P87" s="210">
        <f t="shared" si="11"/>
        <v>-0.002701748959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217">
        <f>IFERROR(__xludf.DUMMYFUNCTION("""COMPUTED_VALUE"""),46258.64583333333)</f>
        <v>46258.64583</v>
      </c>
      <c r="C88" s="193">
        <f>IFERROR(__xludf.DUMMYFUNCTION("""COMPUTED_VALUE"""),2284.1)</f>
        <v>2284.1</v>
      </c>
      <c r="D88" s="9"/>
      <c r="E88" s="217">
        <f>IFERROR(__xludf.DUMMYFUNCTION("""COMPUTED_VALUE"""),46258.64583333333)</f>
        <v>46258.64583</v>
      </c>
      <c r="F88" s="193">
        <f>IFERROR(__xludf.DUMMYFUNCTION("""COMPUTED_VALUE"""),1322.0)</f>
        <v>1322</v>
      </c>
      <c r="G88" s="9"/>
      <c r="H88" s="29">
        <f t="shared" si="3"/>
        <v>1.727760968</v>
      </c>
      <c r="I88" s="1">
        <f t="shared" si="4"/>
        <v>962.1</v>
      </c>
      <c r="J88" s="113">
        <f t="shared" si="5"/>
        <v>-0.5493953248</v>
      </c>
      <c r="K88" s="199">
        <f t="shared" si="6"/>
        <v>1.727760968</v>
      </c>
      <c r="L88" s="213">
        <f t="shared" si="7"/>
        <v>2376.89</v>
      </c>
      <c r="M88" s="210">
        <f t="shared" si="8"/>
        <v>-0.04062431592</v>
      </c>
      <c r="N88" s="213">
        <f t="shared" si="9"/>
        <v>1342.985</v>
      </c>
      <c r="O88" s="210">
        <f t="shared" si="10"/>
        <v>-0.01587367625</v>
      </c>
      <c r="P88" s="210">
        <f t="shared" si="11"/>
        <v>-0.02475063968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217">
        <f>IFERROR(__xludf.DUMMYFUNCTION("""COMPUTED_VALUE"""),46259.64583333333)</f>
        <v>46259.64583</v>
      </c>
      <c r="C89" s="193">
        <f>IFERROR(__xludf.DUMMYFUNCTION("""COMPUTED_VALUE"""),2296.2)</f>
        <v>2296.2</v>
      </c>
      <c r="D89" s="9"/>
      <c r="E89" s="217">
        <f>IFERROR(__xludf.DUMMYFUNCTION("""COMPUTED_VALUE"""),46259.64583333333)</f>
        <v>46259.64583</v>
      </c>
      <c r="F89" s="193">
        <f>IFERROR(__xludf.DUMMYFUNCTION("""COMPUTED_VALUE"""),1315.8)</f>
        <v>1315.8</v>
      </c>
      <c r="G89" s="9"/>
      <c r="H89" s="29">
        <f t="shared" si="3"/>
        <v>1.745098039</v>
      </c>
      <c r="I89" s="1">
        <f t="shared" si="4"/>
        <v>980.4</v>
      </c>
      <c r="J89" s="113">
        <f t="shared" si="5"/>
        <v>-0.3579559623</v>
      </c>
      <c r="K89" s="199">
        <f t="shared" si="6"/>
        <v>1.745098039</v>
      </c>
      <c r="L89" s="213">
        <f t="shared" si="7"/>
        <v>2371.8</v>
      </c>
      <c r="M89" s="210">
        <f t="shared" si="8"/>
        <v>-0.03292396133</v>
      </c>
      <c r="N89" s="213">
        <f t="shared" si="9"/>
        <v>1342.845</v>
      </c>
      <c r="O89" s="210">
        <f t="shared" si="10"/>
        <v>-0.02055403557</v>
      </c>
      <c r="P89" s="210">
        <f t="shared" si="11"/>
        <v>-0.01236992576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217">
        <f>IFERROR(__xludf.DUMMYFUNCTION("""COMPUTED_VALUE"""),46260.64583333333)</f>
        <v>46260.64583</v>
      </c>
      <c r="C90" s="193">
        <f>IFERROR(__xludf.DUMMYFUNCTION("""COMPUTED_VALUE"""),2270.0)</f>
        <v>2270</v>
      </c>
      <c r="D90" s="209"/>
      <c r="E90" s="217">
        <f>IFERROR(__xludf.DUMMYFUNCTION("""COMPUTED_VALUE"""),46260.64583333333)</f>
        <v>46260.64583</v>
      </c>
      <c r="F90" s="193">
        <f>IFERROR(__xludf.DUMMYFUNCTION("""COMPUTED_VALUE"""),1298.5)</f>
        <v>1298.5</v>
      </c>
      <c r="G90" s="9"/>
      <c r="H90" s="29">
        <f t="shared" si="3"/>
        <v>1.748170966</v>
      </c>
      <c r="I90" s="1">
        <f t="shared" si="4"/>
        <v>971.5</v>
      </c>
      <c r="J90" s="113">
        <f t="shared" si="5"/>
        <v>-0.4510603517</v>
      </c>
      <c r="K90" s="199">
        <f t="shared" si="6"/>
        <v>1.748170966</v>
      </c>
      <c r="L90" s="213">
        <f t="shared" si="7"/>
        <v>2362.97</v>
      </c>
      <c r="M90" s="210">
        <f t="shared" si="8"/>
        <v>-0.04095594714</v>
      </c>
      <c r="N90" s="213">
        <f t="shared" si="9"/>
        <v>1340.555</v>
      </c>
      <c r="O90" s="210">
        <f t="shared" si="10"/>
        <v>-0.03238737004</v>
      </c>
      <c r="P90" s="210">
        <f t="shared" si="11"/>
        <v>-0.008568577094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217">
        <f>IFERROR(__xludf.DUMMYFUNCTION("""COMPUTED_VALUE"""),46261.64583333333)</f>
        <v>46261.64583</v>
      </c>
      <c r="C91" s="193">
        <f>IFERROR(__xludf.DUMMYFUNCTION("""COMPUTED_VALUE"""),2248.4)</f>
        <v>2248.4</v>
      </c>
      <c r="D91" s="9"/>
      <c r="E91" s="217">
        <f>IFERROR(__xludf.DUMMYFUNCTION("""COMPUTED_VALUE"""),46261.64583333333)</f>
        <v>46261.64583</v>
      </c>
      <c r="F91" s="193">
        <f>IFERROR(__xludf.DUMMYFUNCTION("""COMPUTED_VALUE"""),1282.0)</f>
        <v>1282</v>
      </c>
      <c r="G91" s="9"/>
      <c r="H91" s="29">
        <f t="shared" si="3"/>
        <v>1.753822153</v>
      </c>
      <c r="I91" s="1">
        <f t="shared" si="4"/>
        <v>966.4</v>
      </c>
      <c r="J91" s="113">
        <f t="shared" si="5"/>
        <v>-0.5044123052</v>
      </c>
      <c r="K91" s="199">
        <f t="shared" si="6"/>
        <v>1.753822153</v>
      </c>
      <c r="L91" s="213">
        <f t="shared" si="7"/>
        <v>2353.8</v>
      </c>
      <c r="M91" s="210">
        <f t="shared" si="8"/>
        <v>-0.04687777975</v>
      </c>
      <c r="N91" s="213">
        <f t="shared" si="9"/>
        <v>1337.02</v>
      </c>
      <c r="O91" s="210">
        <f t="shared" si="10"/>
        <v>-0.04291731669</v>
      </c>
      <c r="P91" s="210">
        <f t="shared" si="11"/>
        <v>-0.003960463062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217">
        <f>IFERROR(__xludf.DUMMYFUNCTION("""COMPUTED_VALUE"""),46262.64583333333)</f>
        <v>46262.64583</v>
      </c>
      <c r="C92" s="193">
        <f>IFERROR(__xludf.DUMMYFUNCTION("""COMPUTED_VALUE"""),2342.0)</f>
        <v>2342</v>
      </c>
      <c r="D92" s="9"/>
      <c r="E92" s="217">
        <f>IFERROR(__xludf.DUMMYFUNCTION("""COMPUTED_VALUE"""),46262.64583333333)</f>
        <v>46262.64583</v>
      </c>
      <c r="F92" s="193">
        <f>IFERROR(__xludf.DUMMYFUNCTION("""COMPUTED_VALUE"""),1316.1)</f>
        <v>1316.1</v>
      </c>
      <c r="G92" s="9"/>
      <c r="H92" s="29">
        <f t="shared" si="3"/>
        <v>1.779500038</v>
      </c>
      <c r="I92" s="1">
        <f t="shared" si="4"/>
        <v>1025.9</v>
      </c>
      <c r="J92" s="113">
        <f t="shared" si="5"/>
        <v>0.118027152</v>
      </c>
      <c r="K92" s="199">
        <f t="shared" si="6"/>
        <v>1.779500038</v>
      </c>
      <c r="L92" s="213">
        <f t="shared" si="7"/>
        <v>2352.62</v>
      </c>
      <c r="M92" s="210">
        <f t="shared" si="8"/>
        <v>-0.004534585824</v>
      </c>
      <c r="N92" s="213">
        <f t="shared" si="9"/>
        <v>1335.48</v>
      </c>
      <c r="O92" s="210">
        <f t="shared" si="10"/>
        <v>-0.01472532482</v>
      </c>
      <c r="P92" s="210">
        <f t="shared" si="11"/>
        <v>0.010190739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217">
        <f>IFERROR(__xludf.DUMMYFUNCTION("""COMPUTED_VALUE"""),46265.64583333333)</f>
        <v>46265.64583</v>
      </c>
      <c r="C93" s="193">
        <f>IFERROR(__xludf.DUMMYFUNCTION("""COMPUTED_VALUE"""),2399.3)</f>
        <v>2399.3</v>
      </c>
      <c r="D93" s="9"/>
      <c r="E93" s="217">
        <f>IFERROR(__xludf.DUMMYFUNCTION("""COMPUTED_VALUE"""),46265.64583333333)</f>
        <v>46265.64583</v>
      </c>
      <c r="F93" s="193">
        <f>IFERROR(__xludf.DUMMYFUNCTION("""COMPUTED_VALUE"""),1312.2)</f>
        <v>1312.2</v>
      </c>
      <c r="G93" s="9"/>
      <c r="H93" s="29">
        <f t="shared" si="3"/>
        <v>1.828456028</v>
      </c>
      <c r="I93" s="1">
        <f t="shared" si="4"/>
        <v>1087.1</v>
      </c>
      <c r="J93" s="113">
        <f t="shared" si="5"/>
        <v>0.7582505936</v>
      </c>
      <c r="K93" s="199">
        <f t="shared" si="6"/>
        <v>1.828456028</v>
      </c>
      <c r="L93" s="213">
        <f t="shared" si="7"/>
        <v>2348.9</v>
      </c>
      <c r="M93" s="210">
        <f t="shared" si="8"/>
        <v>0.02100612679</v>
      </c>
      <c r="N93" s="213">
        <f t="shared" si="9"/>
        <v>1332.24</v>
      </c>
      <c r="O93" s="210">
        <f t="shared" si="10"/>
        <v>-0.01527206219</v>
      </c>
      <c r="P93" s="210">
        <f t="shared" si="11"/>
        <v>0.03627818897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217">
        <f>IFERROR(__xludf.DUMMYFUNCTION("""COMPUTED_VALUE"""),46266.64583333333)</f>
        <v>46266.64583</v>
      </c>
      <c r="C94" s="193">
        <f>IFERROR(__xludf.DUMMYFUNCTION("""COMPUTED_VALUE"""),2369.0)</f>
        <v>2369</v>
      </c>
      <c r="D94" s="9"/>
      <c r="E94" s="217">
        <f>IFERROR(__xludf.DUMMYFUNCTION("""COMPUTED_VALUE"""),46266.64583333333)</f>
        <v>46266.64583</v>
      </c>
      <c r="F94" s="193">
        <f>IFERROR(__xludf.DUMMYFUNCTION("""COMPUTED_VALUE"""),1351.4)</f>
        <v>1351.4</v>
      </c>
      <c r="G94" s="9"/>
      <c r="H94" s="29">
        <f t="shared" si="3"/>
        <v>1.752996892</v>
      </c>
      <c r="I94" s="1">
        <f t="shared" si="4"/>
        <v>1017.6</v>
      </c>
      <c r="J94" s="113">
        <f t="shared" si="5"/>
        <v>0.03119946299</v>
      </c>
      <c r="K94" s="199">
        <f t="shared" si="6"/>
        <v>1.752996892</v>
      </c>
      <c r="L94" s="213">
        <f t="shared" si="7"/>
        <v>2344.35</v>
      </c>
      <c r="M94" s="210">
        <f t="shared" si="8"/>
        <v>0.01040523428</v>
      </c>
      <c r="N94" s="213">
        <f t="shared" si="9"/>
        <v>1331.315</v>
      </c>
      <c r="O94" s="210">
        <f t="shared" si="10"/>
        <v>0.01486236495</v>
      </c>
      <c r="P94" s="210">
        <f t="shared" si="11"/>
        <v>-0.004457130679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232">
        <f>IFERROR(__xludf.DUMMYFUNCTION("""COMPUTED_VALUE"""),46267.64583333333)</f>
        <v>46267.64583</v>
      </c>
      <c r="C95" s="193">
        <f>IFERROR(__xludf.DUMMYFUNCTION("""COMPUTED_VALUE"""),2348.0)</f>
        <v>2348</v>
      </c>
      <c r="D95" s="9"/>
      <c r="E95" s="217">
        <f>IFERROR(__xludf.DUMMYFUNCTION("""COMPUTED_VALUE"""),46267.64583333333)</f>
        <v>46267.64583</v>
      </c>
      <c r="F95" s="193">
        <f>IFERROR(__xludf.DUMMYFUNCTION("""COMPUTED_VALUE"""),1331.5)</f>
        <v>1331.5</v>
      </c>
      <c r="G95" s="9"/>
      <c r="H95" s="29">
        <f t="shared" si="3"/>
        <v>1.763424709</v>
      </c>
      <c r="I95" s="1">
        <f t="shared" si="4"/>
        <v>1016.5</v>
      </c>
      <c r="J95" s="113">
        <f t="shared" si="5"/>
        <v>0.0196921789</v>
      </c>
      <c r="K95" s="199">
        <f t="shared" si="6"/>
        <v>1.763424709</v>
      </c>
      <c r="L95" s="213">
        <f t="shared" si="7"/>
        <v>2341.1</v>
      </c>
      <c r="M95" s="210">
        <f t="shared" si="8"/>
        <v>0.00293867121</v>
      </c>
      <c r="N95" s="213">
        <f t="shared" si="9"/>
        <v>1330.39</v>
      </c>
      <c r="O95" s="210">
        <f t="shared" si="10"/>
        <v>0.0008336462636</v>
      </c>
      <c r="P95" s="210">
        <f t="shared" si="11"/>
        <v>0.002105024946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217">
        <f>IFERROR(__xludf.DUMMYFUNCTION("""COMPUTED_VALUE"""),46268.64583333333)</f>
        <v>46268.64583</v>
      </c>
      <c r="C96" s="193">
        <f>IFERROR(__xludf.DUMMYFUNCTION("""COMPUTED_VALUE"""),2320.1)</f>
        <v>2320.1</v>
      </c>
      <c r="D96" s="9"/>
      <c r="E96" s="217">
        <f>IFERROR(__xludf.DUMMYFUNCTION("""COMPUTED_VALUE"""),46268.64583333333)</f>
        <v>46268.64583</v>
      </c>
      <c r="F96" s="193">
        <f>IFERROR(__xludf.DUMMYFUNCTION("""COMPUTED_VALUE"""),1319.0)</f>
        <v>1319</v>
      </c>
      <c r="G96" s="9"/>
      <c r="H96" s="29">
        <f t="shared" si="3"/>
        <v>1.758984079</v>
      </c>
      <c r="I96" s="1">
        <f t="shared" si="4"/>
        <v>1001.1</v>
      </c>
      <c r="J96" s="113">
        <f t="shared" si="5"/>
        <v>-0.1414097982</v>
      </c>
      <c r="K96" s="199">
        <f t="shared" si="6"/>
        <v>1.758984079</v>
      </c>
      <c r="L96" s="213">
        <f t="shared" si="7"/>
        <v>2338.455</v>
      </c>
      <c r="M96" s="210">
        <f t="shared" si="8"/>
        <v>-0.007911296927</v>
      </c>
      <c r="N96" s="213">
        <f t="shared" si="9"/>
        <v>1329.59</v>
      </c>
      <c r="O96" s="210">
        <f t="shared" si="10"/>
        <v>-0.008028809704</v>
      </c>
      <c r="P96" s="210">
        <f t="shared" si="11"/>
        <v>0.0001175127775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217">
        <f>IFERROR(__xludf.DUMMYFUNCTION("""COMPUTED_VALUE"""),46269.64583333333)</f>
        <v>46269.64583</v>
      </c>
      <c r="C97" s="193">
        <f>IFERROR(__xludf.DUMMYFUNCTION("""COMPUTED_VALUE"""),2304.0)</f>
        <v>2304</v>
      </c>
      <c r="D97" s="9"/>
      <c r="E97" s="217">
        <f>IFERROR(__xludf.DUMMYFUNCTION("""COMPUTED_VALUE"""),46269.64583333333)</f>
        <v>46269.64583</v>
      </c>
      <c r="F97" s="193">
        <f>IFERROR(__xludf.DUMMYFUNCTION("""COMPUTED_VALUE"""),1293.4)</f>
        <v>1293.4</v>
      </c>
      <c r="G97" s="9"/>
      <c r="H97" s="29">
        <f t="shared" si="3"/>
        <v>1.781351477</v>
      </c>
      <c r="I97" s="1">
        <f t="shared" si="4"/>
        <v>1010.6</v>
      </c>
      <c r="J97" s="113">
        <f t="shared" si="5"/>
        <v>-0.04202870844</v>
      </c>
      <c r="K97" s="199">
        <f t="shared" si="6"/>
        <v>1.781351477</v>
      </c>
      <c r="L97" s="213">
        <f t="shared" si="7"/>
        <v>2331.02</v>
      </c>
      <c r="M97" s="210">
        <f t="shared" si="8"/>
        <v>-0.01172743056</v>
      </c>
      <c r="N97" s="213">
        <f t="shared" si="9"/>
        <v>1326.43</v>
      </c>
      <c r="O97" s="210">
        <f t="shared" si="10"/>
        <v>-0.02553734344</v>
      </c>
      <c r="P97" s="210">
        <f t="shared" si="11"/>
        <v>0.01380991288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217">
        <f>IFERROR(__xludf.DUMMYFUNCTION("""COMPUTED_VALUE"""),46272.64583333333)</f>
        <v>46272.64583</v>
      </c>
      <c r="C98" s="193">
        <f>IFERROR(__xludf.DUMMYFUNCTION("""COMPUTED_VALUE"""),2270.0)</f>
        <v>2270</v>
      </c>
      <c r="D98" s="9"/>
      <c r="E98" s="217">
        <f>IFERROR(__xludf.DUMMYFUNCTION("""COMPUTED_VALUE"""),46272.64583333333)</f>
        <v>46272.64583</v>
      </c>
      <c r="F98" s="193">
        <f>IFERROR(__xludf.DUMMYFUNCTION("""COMPUTED_VALUE"""),1282.8)</f>
        <v>1282.8</v>
      </c>
      <c r="G98" s="9"/>
      <c r="H98" s="29">
        <f t="shared" si="3"/>
        <v>1.769566573</v>
      </c>
      <c r="I98" s="1">
        <f t="shared" si="4"/>
        <v>987.2</v>
      </c>
      <c r="J98" s="113">
        <f t="shared" si="5"/>
        <v>-0.2868200244</v>
      </c>
      <c r="K98" s="199">
        <f t="shared" si="6"/>
        <v>1.769566573</v>
      </c>
      <c r="L98" s="213">
        <f t="shared" si="7"/>
        <v>2323.235</v>
      </c>
      <c r="M98" s="210">
        <f t="shared" si="8"/>
        <v>-0.02345154185</v>
      </c>
      <c r="N98" s="213">
        <f t="shared" si="9"/>
        <v>1322.71</v>
      </c>
      <c r="O98" s="210">
        <f t="shared" si="10"/>
        <v>-0.03111163081</v>
      </c>
      <c r="P98" s="210">
        <f t="shared" si="11"/>
        <v>0.007660088957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232">
        <f>IFERROR(__xludf.DUMMYFUNCTION("""COMPUTED_VALUE"""),46273.64583333333)</f>
        <v>46273.64583</v>
      </c>
      <c r="C99" s="193">
        <f>IFERROR(__xludf.DUMMYFUNCTION("""COMPUTED_VALUE"""),2255.5)</f>
        <v>2255.5</v>
      </c>
      <c r="D99" s="9"/>
      <c r="E99" s="217">
        <f>IFERROR(__xludf.DUMMYFUNCTION("""COMPUTED_VALUE"""),46273.64583333333)</f>
        <v>46273.64583</v>
      </c>
      <c r="F99" s="193">
        <f>IFERROR(__xludf.DUMMYFUNCTION("""COMPUTED_VALUE"""),1277.0)</f>
        <v>1277</v>
      </c>
      <c r="G99" s="9"/>
      <c r="H99" s="29">
        <f t="shared" si="3"/>
        <v>1.766249021</v>
      </c>
      <c r="I99" s="1">
        <f t="shared" si="4"/>
        <v>978.5</v>
      </c>
      <c r="J99" s="113">
        <f t="shared" si="5"/>
        <v>-0.3778321803</v>
      </c>
      <c r="K99" s="199">
        <f t="shared" si="6"/>
        <v>1.766249021</v>
      </c>
      <c r="L99" s="213">
        <f t="shared" si="7"/>
        <v>2313.725</v>
      </c>
      <c r="M99" s="210">
        <f t="shared" si="8"/>
        <v>-0.02581467524</v>
      </c>
      <c r="N99" s="213">
        <f t="shared" si="9"/>
        <v>1318.29</v>
      </c>
      <c r="O99" s="210">
        <f t="shared" si="10"/>
        <v>-0.03233359436</v>
      </c>
      <c r="P99" s="210">
        <f t="shared" si="11"/>
        <v>0.006518919123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232">
        <f>IFERROR(__xludf.DUMMYFUNCTION("""COMPUTED_VALUE"""),46274.64583333333)</f>
        <v>46274.64583</v>
      </c>
      <c r="C100" s="193">
        <f>IFERROR(__xludf.DUMMYFUNCTION("""COMPUTED_VALUE"""),2208.0)</f>
        <v>2208</v>
      </c>
      <c r="D100" s="9"/>
      <c r="E100" s="217">
        <f>IFERROR(__xludf.DUMMYFUNCTION("""COMPUTED_VALUE"""),46274.64583333333)</f>
        <v>46274.64583</v>
      </c>
      <c r="F100" s="193">
        <f>IFERROR(__xludf.DUMMYFUNCTION("""COMPUTED_VALUE"""),1229.8)</f>
        <v>1229.8</v>
      </c>
      <c r="G100" s="206"/>
      <c r="H100" s="29">
        <f t="shared" si="3"/>
        <v>1.795413888</v>
      </c>
      <c r="I100" s="1">
        <f t="shared" si="4"/>
        <v>978.2</v>
      </c>
      <c r="J100" s="113">
        <f t="shared" si="5"/>
        <v>-0.3809705305</v>
      </c>
      <c r="K100" s="199">
        <f t="shared" si="6"/>
        <v>1.795413888</v>
      </c>
      <c r="L100" s="213">
        <f t="shared" si="7"/>
        <v>2306.64</v>
      </c>
      <c r="M100" s="210">
        <f t="shared" si="8"/>
        <v>-0.04467391304</v>
      </c>
      <c r="N100" s="213">
        <f t="shared" si="9"/>
        <v>1311.51</v>
      </c>
      <c r="O100" s="210">
        <f t="shared" si="10"/>
        <v>-0.06644169784</v>
      </c>
      <c r="P100" s="210">
        <f t="shared" si="11"/>
        <v>0.02176778479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217">
        <f>IFERROR(__xludf.DUMMYFUNCTION("""COMPUTED_VALUE"""),46275.64583333333)</f>
        <v>46275.64583</v>
      </c>
      <c r="C101" s="193">
        <f>IFERROR(__xludf.DUMMYFUNCTION("""COMPUTED_VALUE"""),2204.1)</f>
        <v>2204.1</v>
      </c>
      <c r="D101" s="9"/>
      <c r="E101" s="217">
        <f>IFERROR(__xludf.DUMMYFUNCTION("""COMPUTED_VALUE"""),46275.64583333333)</f>
        <v>46275.64583</v>
      </c>
      <c r="F101" s="193">
        <f>IFERROR(__xludf.DUMMYFUNCTION("""COMPUTED_VALUE"""),1207.0)</f>
        <v>1207</v>
      </c>
      <c r="G101" s="191"/>
      <c r="H101" s="29">
        <f t="shared" si="3"/>
        <v>1.826097763</v>
      </c>
      <c r="I101" s="1">
        <f t="shared" si="4"/>
        <v>997.1</v>
      </c>
      <c r="J101" s="113">
        <f t="shared" si="5"/>
        <v>-0.1832544676</v>
      </c>
      <c r="K101" s="199">
        <f t="shared" si="6"/>
        <v>1.826097763</v>
      </c>
      <c r="L101" s="213">
        <f t="shared" si="7"/>
        <v>2298.095</v>
      </c>
      <c r="M101" s="210">
        <f t="shared" si="8"/>
        <v>-0.04264552425</v>
      </c>
      <c r="N101" s="213">
        <f t="shared" si="9"/>
        <v>1303.36</v>
      </c>
      <c r="O101" s="210">
        <f t="shared" si="10"/>
        <v>-0.07983429992</v>
      </c>
      <c r="P101" s="210">
        <f t="shared" si="11"/>
        <v>0.03718877567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217">
        <f>IFERROR(__xludf.DUMMYFUNCTION("""COMPUTED_VALUE"""),46276.64583333333)</f>
        <v>46276.64583</v>
      </c>
      <c r="C102" s="193">
        <f>IFERROR(__xludf.DUMMYFUNCTION("""COMPUTED_VALUE"""),2200.8)</f>
        <v>2200.8</v>
      </c>
      <c r="D102" s="9"/>
      <c r="E102" s="217">
        <f>IFERROR(__xludf.DUMMYFUNCTION("""COMPUTED_VALUE"""),46276.64583333333)</f>
        <v>46276.64583</v>
      </c>
      <c r="F102" s="193">
        <f>IFERROR(__xludf.DUMMYFUNCTION("""COMPUTED_VALUE"""),1206.1)</f>
        <v>1206.1</v>
      </c>
      <c r="G102" s="191"/>
      <c r="H102" s="29">
        <f t="shared" si="3"/>
        <v>1.824724318</v>
      </c>
      <c r="I102" s="1">
        <f t="shared" si="4"/>
        <v>994.7</v>
      </c>
      <c r="J102" s="113">
        <f t="shared" si="5"/>
        <v>-0.2083612693</v>
      </c>
      <c r="K102" s="199">
        <f t="shared" si="6"/>
        <v>1.824724318</v>
      </c>
      <c r="L102" s="213">
        <f t="shared" si="7"/>
        <v>2290.085</v>
      </c>
      <c r="M102" s="210">
        <f t="shared" si="8"/>
        <v>-0.04056933842</v>
      </c>
      <c r="N102" s="213">
        <f t="shared" si="9"/>
        <v>1295.665</v>
      </c>
      <c r="O102" s="210">
        <f t="shared" si="10"/>
        <v>-0.07426001161</v>
      </c>
      <c r="P102" s="210">
        <f t="shared" si="11"/>
        <v>0.03369067319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217">
        <f>IFERROR(__xludf.DUMMYFUNCTION("""COMPUTED_VALUE"""),46280.64583333333)</f>
        <v>46280.64583</v>
      </c>
      <c r="C103" s="193">
        <f>IFERROR(__xludf.DUMMYFUNCTION("""COMPUTED_VALUE"""),2251.0)</f>
        <v>2251</v>
      </c>
      <c r="D103" s="9"/>
      <c r="E103" s="217">
        <f>IFERROR(__xludf.DUMMYFUNCTION("""COMPUTED_VALUE"""),46280.64583333333)</f>
        <v>46280.64583</v>
      </c>
      <c r="F103" s="193">
        <f>IFERROR(__xludf.DUMMYFUNCTION("""COMPUTED_VALUE"""),1253.7)</f>
        <v>1253.7</v>
      </c>
      <c r="G103" s="191"/>
      <c r="H103" s="29">
        <f t="shared" si="3"/>
        <v>1.795485363</v>
      </c>
      <c r="I103" s="1">
        <f t="shared" si="4"/>
        <v>997.3</v>
      </c>
      <c r="J103" s="113">
        <f t="shared" si="5"/>
        <v>-0.1811622342</v>
      </c>
      <c r="K103" s="199">
        <f t="shared" si="6"/>
        <v>1.795485363</v>
      </c>
      <c r="L103" s="213">
        <f t="shared" si="7"/>
        <v>2286.975</v>
      </c>
      <c r="M103" s="210">
        <f t="shared" si="8"/>
        <v>-0.01598178587</v>
      </c>
      <c r="N103" s="213">
        <f t="shared" si="9"/>
        <v>1292.1</v>
      </c>
      <c r="O103" s="210">
        <f t="shared" si="10"/>
        <v>-0.03062933716</v>
      </c>
      <c r="P103" s="210">
        <f t="shared" si="11"/>
        <v>0.01464755129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217">
        <f>IFERROR(__xludf.DUMMYFUNCTION("""COMPUTED_VALUE"""),46281.64583333333)</f>
        <v>46281.64583</v>
      </c>
      <c r="C104" s="193">
        <f>IFERROR(__xludf.DUMMYFUNCTION("""COMPUTED_VALUE"""),2188.8)</f>
        <v>2188.8</v>
      </c>
      <c r="D104" s="9"/>
      <c r="E104" s="217">
        <f>IFERROR(__xludf.DUMMYFUNCTION("""COMPUTED_VALUE"""),46281.64583333333)</f>
        <v>46281.64583</v>
      </c>
      <c r="F104" s="193">
        <f>IFERROR(__xludf.DUMMYFUNCTION("""COMPUTED_VALUE"""),1253.0)</f>
        <v>1253</v>
      </c>
      <c r="G104" s="191"/>
      <c r="H104" s="29">
        <f t="shared" si="3"/>
        <v>1.746847566</v>
      </c>
      <c r="I104" s="1">
        <f t="shared" si="4"/>
        <v>935.8</v>
      </c>
      <c r="J104" s="113">
        <f t="shared" si="5"/>
        <v>-0.824524026</v>
      </c>
      <c r="K104" s="199">
        <f t="shared" si="6"/>
        <v>1.746847566</v>
      </c>
      <c r="L104" s="213">
        <f t="shared" si="7"/>
        <v>2282.415</v>
      </c>
      <c r="M104" s="210">
        <f t="shared" si="8"/>
        <v>-0.04277001096</v>
      </c>
      <c r="N104" s="213">
        <f t="shared" si="9"/>
        <v>1289.85</v>
      </c>
      <c r="O104" s="210">
        <f t="shared" si="10"/>
        <v>-0.0294094174</v>
      </c>
      <c r="P104" s="210">
        <f t="shared" si="11"/>
        <v>-0.01336059357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217">
        <f>IFERROR(__xludf.DUMMYFUNCTION("""COMPUTED_VALUE"""),46282.64583333333)</f>
        <v>46282.64583</v>
      </c>
      <c r="C105" s="193">
        <f>IFERROR(__xludf.DUMMYFUNCTION("""COMPUTED_VALUE"""),2190.0)</f>
        <v>2190</v>
      </c>
      <c r="D105" s="9"/>
      <c r="E105" s="217">
        <f>IFERROR(__xludf.DUMMYFUNCTION("""COMPUTED_VALUE"""),46282.64583333333)</f>
        <v>46282.64583</v>
      </c>
      <c r="F105" s="193">
        <f>IFERROR(__xludf.DUMMYFUNCTION("""COMPUTED_VALUE"""),1258.3)</f>
        <v>1258.3</v>
      </c>
      <c r="G105" s="191"/>
      <c r="H105" s="29">
        <f t="shared" si="3"/>
        <v>1.740443455</v>
      </c>
      <c r="I105" s="1">
        <f t="shared" si="4"/>
        <v>931.7</v>
      </c>
      <c r="J105" s="113">
        <f t="shared" si="5"/>
        <v>-0.8674148122</v>
      </c>
      <c r="K105" s="199">
        <f t="shared" si="6"/>
        <v>1.740443455</v>
      </c>
      <c r="L105" s="213">
        <f t="shared" si="7"/>
        <v>2277.465</v>
      </c>
      <c r="M105" s="210">
        <f t="shared" si="8"/>
        <v>-0.03993835616</v>
      </c>
      <c r="N105" s="213">
        <f t="shared" si="9"/>
        <v>1286.525</v>
      </c>
      <c r="O105" s="210">
        <f t="shared" si="10"/>
        <v>-0.02243105778</v>
      </c>
      <c r="P105" s="210">
        <f t="shared" si="11"/>
        <v>-0.01750729839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217">
        <f>IFERROR(__xludf.DUMMYFUNCTION("""COMPUTED_VALUE"""),46283.64583333333)</f>
        <v>46283.64583</v>
      </c>
      <c r="C106" s="193">
        <f>IFERROR(__xludf.DUMMYFUNCTION("""COMPUTED_VALUE"""),2105.0)</f>
        <v>2105</v>
      </c>
      <c r="D106" s="9"/>
      <c r="E106" s="217">
        <f>IFERROR(__xludf.DUMMYFUNCTION("""COMPUTED_VALUE"""),46283.64583333333)</f>
        <v>46283.64583</v>
      </c>
      <c r="F106" s="193">
        <f>IFERROR(__xludf.DUMMYFUNCTION("""COMPUTED_VALUE"""),1249.3)</f>
        <v>1249.3</v>
      </c>
      <c r="G106" s="191"/>
      <c r="H106" s="29">
        <f t="shared" si="3"/>
        <v>1.684943568</v>
      </c>
      <c r="I106" s="1">
        <f t="shared" si="4"/>
        <v>855.7</v>
      </c>
      <c r="J106" s="113">
        <f t="shared" si="5"/>
        <v>-1.662463531</v>
      </c>
      <c r="K106" s="199">
        <f t="shared" si="6"/>
        <v>1.684943568</v>
      </c>
      <c r="L106" s="213">
        <f t="shared" si="7"/>
        <v>2267.815</v>
      </c>
      <c r="M106" s="210">
        <f t="shared" si="8"/>
        <v>-0.07734679335</v>
      </c>
      <c r="N106" s="213">
        <f t="shared" si="9"/>
        <v>1283.07</v>
      </c>
      <c r="O106" s="210">
        <f t="shared" si="10"/>
        <v>-0.02703113744</v>
      </c>
      <c r="P106" s="210">
        <f t="shared" si="11"/>
        <v>-0.05031565591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217">
        <f>IFERROR(__xludf.DUMMYFUNCTION("""COMPUTED_VALUE"""),46286.64583333333)</f>
        <v>46286.64583</v>
      </c>
      <c r="C107" s="193">
        <f>IFERROR(__xludf.DUMMYFUNCTION("""COMPUTED_VALUE"""),2128.7)</f>
        <v>2128.7</v>
      </c>
      <c r="D107" s="9"/>
      <c r="E107" s="217">
        <f>IFERROR(__xludf.DUMMYFUNCTION("""COMPUTED_VALUE"""),46286.64583333333)</f>
        <v>46286.64583</v>
      </c>
      <c r="F107" s="193">
        <f>IFERROR(__xludf.DUMMYFUNCTION("""COMPUTED_VALUE"""),1281.0)</f>
        <v>1281</v>
      </c>
      <c r="G107" s="191"/>
      <c r="H107" s="29">
        <f t="shared" si="3"/>
        <v>1.661748634</v>
      </c>
      <c r="I107" s="1">
        <f t="shared" si="4"/>
        <v>847.7</v>
      </c>
      <c r="J107" s="113">
        <f t="shared" si="5"/>
        <v>-1.746152869</v>
      </c>
      <c r="K107" s="199">
        <f t="shared" si="6"/>
        <v>1.661748634</v>
      </c>
      <c r="L107" s="213">
        <f t="shared" si="7"/>
        <v>2259.15</v>
      </c>
      <c r="M107" s="210">
        <f t="shared" si="8"/>
        <v>-0.06128153333</v>
      </c>
      <c r="N107" s="213">
        <f t="shared" si="9"/>
        <v>1281.995</v>
      </c>
      <c r="O107" s="210">
        <f t="shared" si="10"/>
        <v>-0.0007767369243</v>
      </c>
      <c r="P107" s="210">
        <f t="shared" si="11"/>
        <v>-0.06050479641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217">
        <f>IFERROR(__xludf.DUMMYFUNCTION("""COMPUTED_VALUE"""),46287.64583333333)</f>
        <v>46287.64583</v>
      </c>
      <c r="C108" s="193">
        <f>IFERROR(__xludf.DUMMYFUNCTION("""COMPUTED_VALUE"""),2105.0)</f>
        <v>2105</v>
      </c>
      <c r="D108" s="9"/>
      <c r="E108" s="217">
        <f>IFERROR(__xludf.DUMMYFUNCTION("""COMPUTED_VALUE"""),46287.64583333333)</f>
        <v>46287.64583</v>
      </c>
      <c r="F108" s="193">
        <f>IFERROR(__xludf.DUMMYFUNCTION("""COMPUTED_VALUE"""),1270.4)</f>
        <v>1270.4</v>
      </c>
      <c r="G108" s="191"/>
      <c r="H108" s="29">
        <f t="shared" si="3"/>
        <v>1.656958438</v>
      </c>
      <c r="I108" s="1">
        <f t="shared" si="4"/>
        <v>834.6</v>
      </c>
      <c r="J108" s="113">
        <f t="shared" si="5"/>
        <v>-1.883194162</v>
      </c>
      <c r="K108" s="199">
        <f t="shared" si="6"/>
        <v>1.656958438</v>
      </c>
      <c r="L108" s="213">
        <f t="shared" si="7"/>
        <v>2250.195</v>
      </c>
      <c r="M108" s="210">
        <f t="shared" si="8"/>
        <v>-0.06897624703</v>
      </c>
      <c r="N108" s="213">
        <f t="shared" si="9"/>
        <v>1279.415</v>
      </c>
      <c r="O108" s="210">
        <f t="shared" si="10"/>
        <v>-0.007096190176</v>
      </c>
      <c r="P108" s="210">
        <f t="shared" si="11"/>
        <v>-0.06188005685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217">
        <f>IFERROR(__xludf.DUMMYFUNCTION("""COMPUTED_VALUE"""),46288.64583333333)</f>
        <v>46288.64583</v>
      </c>
      <c r="C109" s="193">
        <f>IFERROR(__xludf.DUMMYFUNCTION("""COMPUTED_VALUE"""),2089.6)</f>
        <v>2089.6</v>
      </c>
      <c r="D109" s="9"/>
      <c r="E109" s="217">
        <f>IFERROR(__xludf.DUMMYFUNCTION("""COMPUTED_VALUE"""),46288.64583333333)</f>
        <v>46288.64583</v>
      </c>
      <c r="F109" s="193">
        <f>IFERROR(__xludf.DUMMYFUNCTION("""COMPUTED_VALUE"""),1256.7)</f>
        <v>1256.7</v>
      </c>
      <c r="G109" s="191"/>
      <c r="H109" s="29">
        <f t="shared" si="3"/>
        <v>1.662767566</v>
      </c>
      <c r="I109" s="1">
        <f t="shared" si="4"/>
        <v>832.9</v>
      </c>
      <c r="J109" s="113">
        <f t="shared" si="5"/>
        <v>-1.900978146</v>
      </c>
      <c r="K109" s="199">
        <f t="shared" si="6"/>
        <v>1.662767566</v>
      </c>
      <c r="L109" s="213">
        <f t="shared" si="7"/>
        <v>2239.865</v>
      </c>
      <c r="M109" s="210">
        <f t="shared" si="8"/>
        <v>-0.07191089204</v>
      </c>
      <c r="N109" s="213">
        <f t="shared" si="9"/>
        <v>1276.46</v>
      </c>
      <c r="O109" s="210">
        <f t="shared" si="10"/>
        <v>-0.01572372086</v>
      </c>
      <c r="P109" s="210">
        <f t="shared" si="11"/>
        <v>-0.05618717118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232">
        <f>IFERROR(__xludf.DUMMYFUNCTION("""COMPUTED_VALUE"""),46289.64583333333)</f>
        <v>46289.64583</v>
      </c>
      <c r="C110" s="193">
        <f>IFERROR(__xludf.DUMMYFUNCTION("""COMPUTED_VALUE"""),2087.0)</f>
        <v>2087</v>
      </c>
      <c r="D110" s="9"/>
      <c r="E110" s="217">
        <f>IFERROR(__xludf.DUMMYFUNCTION("""COMPUTED_VALUE"""),46289.64583333333)</f>
        <v>46289.64583</v>
      </c>
      <c r="F110" s="193">
        <f>IFERROR(__xludf.DUMMYFUNCTION("""COMPUTED_VALUE"""),1243.6)</f>
        <v>1243.6</v>
      </c>
      <c r="G110" s="191"/>
      <c r="H110" s="29">
        <f t="shared" si="3"/>
        <v>1.678192345</v>
      </c>
      <c r="I110" s="1">
        <f t="shared" si="4"/>
        <v>843.4</v>
      </c>
      <c r="J110" s="113">
        <f t="shared" si="5"/>
        <v>-1.791135889</v>
      </c>
      <c r="K110" s="199">
        <f t="shared" si="6"/>
        <v>1.678192345</v>
      </c>
      <c r="L110" s="213">
        <f t="shared" si="7"/>
        <v>2230.715</v>
      </c>
      <c r="M110" s="210">
        <f t="shared" si="8"/>
        <v>-0.06886200287</v>
      </c>
      <c r="N110" s="213">
        <f t="shared" si="9"/>
        <v>1273.715</v>
      </c>
      <c r="O110" s="210">
        <f t="shared" si="10"/>
        <v>-0.02421598585</v>
      </c>
      <c r="P110" s="210">
        <f t="shared" si="11"/>
        <v>-0.04464601703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217">
        <f>IFERROR(__xludf.DUMMYFUNCTION("""COMPUTED_VALUE"""),46290.64583333333)</f>
        <v>46290.64583</v>
      </c>
      <c r="C111" s="193">
        <f>IFERROR(__xludf.DUMMYFUNCTION("""COMPUTED_VALUE"""),2082.0)</f>
        <v>2082</v>
      </c>
      <c r="D111" s="9"/>
      <c r="E111" s="217">
        <f>IFERROR(__xludf.DUMMYFUNCTION("""COMPUTED_VALUE"""),46290.64583333333)</f>
        <v>46290.64583</v>
      </c>
      <c r="F111" s="193">
        <f>IFERROR(__xludf.DUMMYFUNCTION("""COMPUTED_VALUE"""),1258.0)</f>
        <v>1258</v>
      </c>
      <c r="G111" s="191"/>
      <c r="H111" s="29">
        <f t="shared" si="3"/>
        <v>1.655007949</v>
      </c>
      <c r="I111" s="1">
        <f t="shared" si="4"/>
        <v>824</v>
      </c>
      <c r="J111" s="113">
        <f t="shared" si="5"/>
        <v>-1.994082535</v>
      </c>
      <c r="K111" s="199">
        <f t="shared" si="6"/>
        <v>1.655007949</v>
      </c>
      <c r="L111" s="213">
        <f t="shared" si="7"/>
        <v>2222.395</v>
      </c>
      <c r="M111" s="210">
        <f t="shared" si="8"/>
        <v>-0.06743275696</v>
      </c>
      <c r="N111" s="213">
        <f t="shared" si="9"/>
        <v>1272.515</v>
      </c>
      <c r="O111" s="210">
        <f t="shared" si="10"/>
        <v>-0.0115381558</v>
      </c>
      <c r="P111" s="210">
        <f t="shared" si="11"/>
        <v>-0.05589460116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217">
        <f>IFERROR(__xludf.DUMMYFUNCTION("""COMPUTED_VALUE"""),46293.64583333333)</f>
        <v>46293.64583</v>
      </c>
      <c r="C112" s="193">
        <f>IFERROR(__xludf.DUMMYFUNCTION("""COMPUTED_VALUE"""),2070.7)</f>
        <v>2070.7</v>
      </c>
      <c r="D112" s="9"/>
      <c r="E112" s="217">
        <f>IFERROR(__xludf.DUMMYFUNCTION("""COMPUTED_VALUE"""),46293.64583333333)</f>
        <v>46293.64583</v>
      </c>
      <c r="F112" s="193">
        <f>IFERROR(__xludf.DUMMYFUNCTION("""COMPUTED_VALUE"""),1252.6)</f>
        <v>1252.6</v>
      </c>
      <c r="G112" s="191"/>
      <c r="H112" s="29">
        <f t="shared" si="3"/>
        <v>1.653121507</v>
      </c>
      <c r="I112" s="1">
        <f t="shared" si="4"/>
        <v>818.1</v>
      </c>
      <c r="J112" s="113">
        <f t="shared" si="5"/>
        <v>-2.055803423</v>
      </c>
      <c r="K112" s="199">
        <f t="shared" si="6"/>
        <v>1.653121507</v>
      </c>
      <c r="L112" s="213">
        <f t="shared" si="7"/>
        <v>2208.83</v>
      </c>
      <c r="M112" s="210">
        <f t="shared" si="8"/>
        <v>-0.06670691071</v>
      </c>
      <c r="N112" s="213">
        <f t="shared" si="9"/>
        <v>1269.34</v>
      </c>
      <c r="O112" s="210">
        <f t="shared" si="10"/>
        <v>-0.01336420246</v>
      </c>
      <c r="P112" s="210">
        <f t="shared" si="11"/>
        <v>-0.05334270825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217">
        <f>IFERROR(__xludf.DUMMYFUNCTION("""COMPUTED_VALUE"""),46294.64583333333)</f>
        <v>46294.64583</v>
      </c>
      <c r="C113" s="193">
        <f>IFERROR(__xludf.DUMMYFUNCTION("""COMPUTED_VALUE"""),2032.4)</f>
        <v>2032.4</v>
      </c>
      <c r="D113" s="9"/>
      <c r="E113" s="217">
        <f>IFERROR(__xludf.DUMMYFUNCTION("""COMPUTED_VALUE"""),46294.64583333333)</f>
        <v>46294.64583</v>
      </c>
      <c r="F113" s="193">
        <f>IFERROR(__xludf.DUMMYFUNCTION("""COMPUTED_VALUE"""),1222.0)</f>
        <v>1222</v>
      </c>
      <c r="G113" s="191"/>
      <c r="H113" s="29">
        <f t="shared" si="3"/>
        <v>1.663175123</v>
      </c>
      <c r="I113" s="1">
        <f t="shared" si="4"/>
        <v>810.4</v>
      </c>
      <c r="J113" s="113">
        <f t="shared" si="5"/>
        <v>-2.136354411</v>
      </c>
      <c r="K113" s="199">
        <f t="shared" si="6"/>
        <v>1.663175123</v>
      </c>
      <c r="L113" s="213">
        <f t="shared" si="7"/>
        <v>2190.485</v>
      </c>
      <c r="M113" s="210">
        <f t="shared" si="8"/>
        <v>-0.07778242472</v>
      </c>
      <c r="N113" s="213">
        <f t="shared" si="9"/>
        <v>1264.83</v>
      </c>
      <c r="O113" s="210">
        <f t="shared" si="10"/>
        <v>-0.03504909984</v>
      </c>
      <c r="P113" s="210">
        <f t="shared" si="11"/>
        <v>-0.04273332488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217">
        <f>IFERROR(__xludf.DUMMYFUNCTION("""COMPUTED_VALUE"""),46295.64583333333)</f>
        <v>46295.64583</v>
      </c>
      <c r="C114" s="193">
        <f>IFERROR(__xludf.DUMMYFUNCTION("""COMPUTED_VALUE"""),2050.6)</f>
        <v>2050.6</v>
      </c>
      <c r="D114" s="9"/>
      <c r="E114" s="217">
        <f>IFERROR(__xludf.DUMMYFUNCTION("""COMPUTED_VALUE"""),46295.64583333333)</f>
        <v>46295.64583</v>
      </c>
      <c r="F114" s="193">
        <f>IFERROR(__xludf.DUMMYFUNCTION("""COMPUTED_VALUE"""),1230.0)</f>
        <v>1230</v>
      </c>
      <c r="G114" s="191"/>
      <c r="H114" s="29">
        <f t="shared" si="3"/>
        <v>1.667154472</v>
      </c>
      <c r="I114" s="1">
        <f t="shared" si="4"/>
        <v>820.6</v>
      </c>
      <c r="J114" s="113">
        <f t="shared" si="5"/>
        <v>-2.029650504</v>
      </c>
      <c r="K114" s="199">
        <f t="shared" si="6"/>
        <v>1.667154472</v>
      </c>
      <c r="L114" s="213">
        <f t="shared" si="7"/>
        <v>2174.565</v>
      </c>
      <c r="M114" s="210">
        <f t="shared" si="8"/>
        <v>-0.06045303814</v>
      </c>
      <c r="N114" s="213">
        <f t="shared" si="9"/>
        <v>1258.76</v>
      </c>
      <c r="O114" s="210">
        <f t="shared" si="10"/>
        <v>-0.02338211382</v>
      </c>
      <c r="P114" s="210">
        <f t="shared" si="11"/>
        <v>-0.03707092431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217">
        <f>IFERROR(__xludf.DUMMYFUNCTION("""COMPUTED_VALUE"""),46296.64583333333)</f>
        <v>46296.64583</v>
      </c>
      <c r="C115" s="193">
        <f>IFERROR(__xludf.DUMMYFUNCTION("""COMPUTED_VALUE"""),2075.0)</f>
        <v>2075</v>
      </c>
      <c r="D115" s="9"/>
      <c r="E115" s="217">
        <f>IFERROR(__xludf.DUMMYFUNCTION("""COMPUTED_VALUE"""),46296.64583333333)</f>
        <v>46296.64583</v>
      </c>
      <c r="F115" s="193">
        <f>IFERROR(__xludf.DUMMYFUNCTION("""COMPUTED_VALUE"""),1243.1)</f>
        <v>1243.1</v>
      </c>
      <c r="G115" s="191"/>
      <c r="H115" s="29">
        <f t="shared" si="3"/>
        <v>1.669214062</v>
      </c>
      <c r="I115" s="1">
        <f t="shared" si="4"/>
        <v>831.9</v>
      </c>
      <c r="J115" s="113">
        <f t="shared" si="5"/>
        <v>-1.911439313</v>
      </c>
      <c r="K115" s="199">
        <f t="shared" si="6"/>
        <v>1.669214062</v>
      </c>
      <c r="L115" s="213">
        <f t="shared" si="7"/>
        <v>2160.915</v>
      </c>
      <c r="M115" s="210">
        <f t="shared" si="8"/>
        <v>-0.04140481928</v>
      </c>
      <c r="N115" s="213">
        <f t="shared" si="9"/>
        <v>1254.34</v>
      </c>
      <c r="O115" s="210">
        <f t="shared" si="10"/>
        <v>-0.009041911351</v>
      </c>
      <c r="P115" s="210">
        <f t="shared" si="11"/>
        <v>-0.03236290793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217">
        <f>IFERROR(__xludf.DUMMYFUNCTION("""COMPUTED_VALUE"""),46300.64583333333)</f>
        <v>46300.64583</v>
      </c>
      <c r="C116" s="193">
        <f>IFERROR(__xludf.DUMMYFUNCTION("""COMPUTED_VALUE"""),2114.4)</f>
        <v>2114.4</v>
      </c>
      <c r="D116" s="9"/>
      <c r="E116" s="217">
        <f>IFERROR(__xludf.DUMMYFUNCTION("""COMPUTED_VALUE"""),46300.64583333333)</f>
        <v>46300.64583</v>
      </c>
      <c r="F116" s="193">
        <f>IFERROR(__xludf.DUMMYFUNCTION("""COMPUTED_VALUE"""),1201.9)</f>
        <v>1201.9</v>
      </c>
      <c r="G116" s="191"/>
      <c r="H116" s="29">
        <f t="shared" si="3"/>
        <v>1.759214577</v>
      </c>
      <c r="I116" s="1">
        <f t="shared" si="4"/>
        <v>912.5</v>
      </c>
      <c r="J116" s="113">
        <f t="shared" si="5"/>
        <v>-1.068269225</v>
      </c>
      <c r="K116" s="199">
        <f t="shared" si="6"/>
        <v>1.759214577</v>
      </c>
      <c r="L116" s="213">
        <f t="shared" si="7"/>
        <v>2150.63</v>
      </c>
      <c r="M116" s="210">
        <f t="shared" si="8"/>
        <v>-0.0171348846</v>
      </c>
      <c r="N116" s="213">
        <f t="shared" si="9"/>
        <v>1248.485</v>
      </c>
      <c r="O116" s="210">
        <f t="shared" si="10"/>
        <v>-0.03875946418</v>
      </c>
      <c r="P116" s="210">
        <f t="shared" si="11"/>
        <v>0.02162457958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217">
        <f>IFERROR(__xludf.DUMMYFUNCTION("""COMPUTED_VALUE"""),46301.64583333333)</f>
        <v>46301.64583</v>
      </c>
      <c r="C117" s="193">
        <f>IFERROR(__xludf.DUMMYFUNCTION("""COMPUTED_VALUE"""),2100.0)</f>
        <v>2100</v>
      </c>
      <c r="D117" s="9"/>
      <c r="E117" s="217">
        <f>IFERROR(__xludf.DUMMYFUNCTION("""COMPUTED_VALUE"""),46301.64583333333)</f>
        <v>46301.64583</v>
      </c>
      <c r="F117" s="193">
        <f>IFERROR(__xludf.DUMMYFUNCTION("""COMPUTED_VALUE"""),1204.4)</f>
        <v>1204.4</v>
      </c>
      <c r="G117" s="191"/>
      <c r="H117" s="29">
        <f t="shared" si="3"/>
        <v>1.743606775</v>
      </c>
      <c r="I117" s="1">
        <f t="shared" si="4"/>
        <v>895.6</v>
      </c>
      <c r="J117" s="113">
        <f t="shared" si="5"/>
        <v>-1.245062953</v>
      </c>
      <c r="K117" s="199">
        <f t="shared" si="6"/>
        <v>1.743606775</v>
      </c>
      <c r="L117" s="213">
        <f t="shared" si="7"/>
        <v>2140.43</v>
      </c>
      <c r="M117" s="210">
        <f t="shared" si="8"/>
        <v>-0.01925238095</v>
      </c>
      <c r="N117" s="213">
        <f t="shared" si="9"/>
        <v>1244.035</v>
      </c>
      <c r="O117" s="210">
        <f t="shared" si="10"/>
        <v>-0.03290850216</v>
      </c>
      <c r="P117" s="210">
        <f t="shared" si="11"/>
        <v>0.01365612121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217">
        <f>IFERROR(__xludf.DUMMYFUNCTION("""COMPUTED_VALUE"""),46302.64583333333)</f>
        <v>46302.64583</v>
      </c>
      <c r="C118" s="193">
        <f>IFERROR(__xludf.DUMMYFUNCTION("""COMPUTED_VALUE"""),2080.3)</f>
        <v>2080.3</v>
      </c>
      <c r="D118" s="9"/>
      <c r="E118" s="234">
        <f>IFERROR(__xludf.DUMMYFUNCTION("""COMPUTED_VALUE"""),46302.64583333333)</f>
        <v>46302.64583</v>
      </c>
      <c r="F118" s="9">
        <f>IFERROR(__xludf.DUMMYFUNCTION("""COMPUTED_VALUE"""),1185.0)</f>
        <v>1185</v>
      </c>
      <c r="G118" s="191"/>
      <c r="H118" s="29">
        <f t="shared" si="3"/>
        <v>1.755527426</v>
      </c>
      <c r="I118" s="1">
        <f t="shared" si="4"/>
        <v>895.3</v>
      </c>
      <c r="J118" s="113">
        <f t="shared" si="5"/>
        <v>-1.248201304</v>
      </c>
      <c r="K118" s="247">
        <f t="shared" si="6"/>
        <v>1.755527426</v>
      </c>
      <c r="L118" s="213">
        <f t="shared" si="7"/>
        <v>2130.945</v>
      </c>
      <c r="M118" s="210">
        <f t="shared" si="8"/>
        <v>-0.02434504639</v>
      </c>
      <c r="N118" s="213">
        <f t="shared" si="9"/>
        <v>1239.145</v>
      </c>
      <c r="O118" s="210">
        <f t="shared" si="10"/>
        <v>-0.04569198312</v>
      </c>
      <c r="P118" s="210">
        <f t="shared" si="11"/>
        <v>0.02134693673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217">
        <f>IFERROR(__xludf.DUMMYFUNCTION("""COMPUTED_VALUE"""),46303.64583333333)</f>
        <v>46303.64583</v>
      </c>
      <c r="C119" s="193">
        <f>IFERROR(__xludf.DUMMYFUNCTION("""COMPUTED_VALUE"""),2076.0)</f>
        <v>2076</v>
      </c>
      <c r="D119" s="9"/>
      <c r="E119" s="234">
        <f>IFERROR(__xludf.DUMMYFUNCTION("""COMPUTED_VALUE"""),46303.64583333333)</f>
        <v>46303.64583</v>
      </c>
      <c r="F119" s="9">
        <f>IFERROR(__xludf.DUMMYFUNCTION("""COMPUTED_VALUE"""),1176.9)</f>
        <v>1176.9</v>
      </c>
      <c r="G119" s="191"/>
      <c r="H119" s="29">
        <f t="shared" si="3"/>
        <v>1.763956156</v>
      </c>
      <c r="I119" s="1">
        <f t="shared" si="4"/>
        <v>899.1</v>
      </c>
      <c r="J119" s="113">
        <f t="shared" si="5"/>
        <v>-1.208448868</v>
      </c>
      <c r="K119" s="247">
        <f t="shared" si="6"/>
        <v>1.763956156</v>
      </c>
      <c r="L119" s="213">
        <f t="shared" si="7"/>
        <v>2121.97</v>
      </c>
      <c r="M119" s="210">
        <f t="shared" si="8"/>
        <v>-0.02214354528</v>
      </c>
      <c r="N119" s="213">
        <f t="shared" si="9"/>
        <v>1234.14</v>
      </c>
      <c r="O119" s="210">
        <f t="shared" si="10"/>
        <v>-0.04863624777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217">
        <f>IFERROR(__xludf.DUMMYFUNCTION("""COMPUTED_VALUE"""),46304.64583333333)</f>
        <v>46304.64583</v>
      </c>
      <c r="C120" s="193">
        <f>IFERROR(__xludf.DUMMYFUNCTION("""COMPUTED_VALUE"""),2156.0)</f>
        <v>2156</v>
      </c>
      <c r="D120" s="9"/>
      <c r="E120" s="234">
        <f>IFERROR(__xludf.DUMMYFUNCTION("""COMPUTED_VALUE"""),46304.64583333333)</f>
        <v>46304.64583</v>
      </c>
      <c r="F120" s="9">
        <f>IFERROR(__xludf.DUMMYFUNCTION("""COMPUTED_VALUE"""),1216.7)</f>
        <v>1216.7</v>
      </c>
      <c r="G120" s="191"/>
      <c r="H120" s="1"/>
      <c r="I120" s="1"/>
      <c r="J120" s="1"/>
      <c r="K120" s="191"/>
      <c r="L120" s="191"/>
      <c r="M120" s="19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48"/>
      <c r="B121" s="249">
        <f>IFERROR(__xludf.DUMMYFUNCTION("""COMPUTED_VALUE"""),46307.64583333333)</f>
        <v>46307.64583</v>
      </c>
      <c r="C121" s="248">
        <f>IFERROR(__xludf.DUMMYFUNCTION("""COMPUTED_VALUE"""),2125.0)</f>
        <v>2125</v>
      </c>
      <c r="D121" s="250"/>
      <c r="E121" s="249">
        <f>IFERROR(__xludf.DUMMYFUNCTION("""COMPUTED_VALUE"""),46307.64583333333)</f>
        <v>46307.64583</v>
      </c>
      <c r="F121" s="248">
        <f>IFERROR(__xludf.DUMMYFUNCTION("""COMPUTED_VALUE"""),1223.0)</f>
        <v>1223</v>
      </c>
      <c r="G121" s="251"/>
      <c r="H121" s="179"/>
      <c r="I121" s="175"/>
      <c r="J121" s="176"/>
      <c r="K121" s="252"/>
      <c r="L121" s="253"/>
      <c r="M121" s="254"/>
      <c r="N121" s="253"/>
      <c r="O121" s="254"/>
      <c r="P121" s="254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  <c r="AA121" s="250"/>
      <c r="AB121" s="250"/>
      <c r="AC121" s="250"/>
    </row>
    <row r="122">
      <c r="A122" s="248"/>
      <c r="B122" s="249">
        <f>IFERROR(__xludf.DUMMYFUNCTION("""COMPUTED_VALUE"""),46308.64583333333)</f>
        <v>46308.64583</v>
      </c>
      <c r="C122" s="248">
        <f>IFERROR(__xludf.DUMMYFUNCTION("""COMPUTED_VALUE"""),2269.3)</f>
        <v>2269.3</v>
      </c>
      <c r="D122" s="250"/>
      <c r="E122" s="249">
        <f>IFERROR(__xludf.DUMMYFUNCTION("""COMPUTED_VALUE"""),46308.64583333333)</f>
        <v>46308.64583</v>
      </c>
      <c r="F122" s="248">
        <f>IFERROR(__xludf.DUMMYFUNCTION("""COMPUTED_VALUE"""),1326.0)</f>
        <v>1326</v>
      </c>
      <c r="G122" s="251"/>
      <c r="H122" s="179"/>
      <c r="I122" s="175"/>
      <c r="J122" s="176"/>
      <c r="K122" s="252"/>
      <c r="L122" s="253"/>
      <c r="M122" s="254"/>
      <c r="N122" s="253"/>
      <c r="O122" s="254"/>
      <c r="P122" s="254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</row>
    <row r="123">
      <c r="A123" s="248"/>
      <c r="B123" s="249">
        <f>IFERROR(__xludf.DUMMYFUNCTION("""COMPUTED_VALUE"""),46309.64583333333)</f>
        <v>46309.64583</v>
      </c>
      <c r="C123" s="248">
        <f>IFERROR(__xludf.DUMMYFUNCTION("""COMPUTED_VALUE"""),2304.9)</f>
        <v>2304.9</v>
      </c>
      <c r="D123" s="250"/>
      <c r="E123" s="249">
        <f>IFERROR(__xludf.DUMMYFUNCTION("""COMPUTED_VALUE"""),46309.64583333333)</f>
        <v>46309.64583</v>
      </c>
      <c r="F123" s="248">
        <f>IFERROR(__xludf.DUMMYFUNCTION("""COMPUTED_VALUE"""),1327.0)</f>
        <v>1327</v>
      </c>
      <c r="G123" s="251"/>
      <c r="H123" s="179"/>
      <c r="I123" s="175"/>
      <c r="J123" s="176"/>
      <c r="K123" s="252"/>
      <c r="L123" s="253"/>
      <c r="M123" s="254"/>
      <c r="N123" s="253"/>
      <c r="O123" s="254"/>
      <c r="P123" s="254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</row>
    <row r="124">
      <c r="A124" s="248"/>
      <c r="B124" s="249">
        <f>IFERROR(__xludf.DUMMYFUNCTION("""COMPUTED_VALUE"""),46310.64583333333)</f>
        <v>46310.64583</v>
      </c>
      <c r="C124" s="248">
        <f>IFERROR(__xludf.DUMMYFUNCTION("""COMPUTED_VALUE"""),2350.0)</f>
        <v>2350</v>
      </c>
      <c r="D124" s="250"/>
      <c r="E124" s="249">
        <f>IFERROR(__xludf.DUMMYFUNCTION("""COMPUTED_VALUE"""),46310.64583333333)</f>
        <v>46310.64583</v>
      </c>
      <c r="F124" s="248">
        <f>IFERROR(__xludf.DUMMYFUNCTION("""COMPUTED_VALUE"""),1360.0)</f>
        <v>1360</v>
      </c>
      <c r="G124" s="251"/>
      <c r="H124" s="179"/>
      <c r="I124" s="175"/>
      <c r="J124" s="176"/>
      <c r="K124" s="252"/>
      <c r="L124" s="253"/>
      <c r="M124" s="254"/>
      <c r="N124" s="253"/>
      <c r="O124" s="254"/>
      <c r="P124" s="254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</row>
    <row r="125">
      <c r="B125" s="166">
        <f>IFERROR(__xludf.DUMMYFUNCTION("""COMPUTED_VALUE"""),46311.64583333333)</f>
        <v>46311.64583</v>
      </c>
      <c r="C125" s="230">
        <f>IFERROR(__xludf.DUMMYFUNCTION("""COMPUTED_VALUE"""),2465.0)</f>
        <v>2465</v>
      </c>
      <c r="E125" s="166">
        <f>IFERROR(__xludf.DUMMYFUNCTION("""COMPUTED_VALUE"""),46311.64583333333)</f>
        <v>46311.64583</v>
      </c>
      <c r="F125" s="230">
        <f>IFERROR(__xludf.DUMMYFUNCTION("""COMPUTED_VALUE"""),1380.0)</f>
        <v>1380</v>
      </c>
    </row>
    <row r="128">
      <c r="A128" s="248" t="s">
        <v>9</v>
      </c>
      <c r="B128" s="249">
        <f>IFERROR(__xludf.DUMMYFUNCTION("GOOGLEFINANCE(B9,""TRADETIME"")"),46311.64583333333)</f>
        <v>46311.64583</v>
      </c>
      <c r="C128" s="248">
        <f>IFERROR(__xludf.DUMMYFUNCTION("GOOGLEFINANCE(B9,""PRICE"")"),2465.0)</f>
        <v>2465</v>
      </c>
      <c r="D128" s="250"/>
      <c r="E128" s="249">
        <f>IFERROR(__xludf.DUMMYFUNCTION("GOOGLEFINANCE(E9,""TRADETIME"")"),46311.64583333333)</f>
        <v>46311.64583</v>
      </c>
      <c r="F128" s="248">
        <f>IFERROR(__xludf.DUMMYFUNCTION("GOOGLEFINANCE(E9,""PRICE"")"),1380.0)</f>
        <v>1380</v>
      </c>
      <c r="G128" s="251"/>
      <c r="H128" s="179">
        <f>C128/F128</f>
        <v>1.786231884</v>
      </c>
      <c r="I128" s="175">
        <f>C128-F128</f>
        <v>1085</v>
      </c>
      <c r="J128" s="176">
        <f>((I128-$I$129)/$I$130)</f>
        <v>0.7362821422</v>
      </c>
      <c r="K128" s="252">
        <f>C128/F128</f>
        <v>1.786231884</v>
      </c>
      <c r="L128" s="253">
        <f>AVERAGE(C73:C109)</f>
        <v>2297.008108</v>
      </c>
      <c r="M128" s="254">
        <f>(C128-L128)/C128</f>
        <v>0.06815086892</v>
      </c>
      <c r="N128" s="253">
        <f>AVERAGE(F73:F109)</f>
        <v>1306.545946</v>
      </c>
      <c r="O128" s="254">
        <f>(F128-N128)/F128</f>
        <v>0.0532275754</v>
      </c>
      <c r="P128" s="254">
        <f>M128-O128</f>
        <v>0.01492329352</v>
      </c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</row>
    <row r="129">
      <c r="A129" s="9"/>
      <c r="B129" s="9"/>
      <c r="C129" s="9"/>
      <c r="D129" s="9"/>
      <c r="E129" s="9"/>
      <c r="F129" s="9"/>
      <c r="G129" s="191"/>
      <c r="H129" s="96" t="s">
        <v>138</v>
      </c>
      <c r="I129" s="177">
        <f>AVERAGE(I11:I118)</f>
        <v>1014.617593</v>
      </c>
      <c r="J129" s="1"/>
      <c r="K129" s="191"/>
      <c r="L129" s="191"/>
      <c r="M129" s="19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14"/>
      <c r="C130" s="9"/>
      <c r="D130" s="9"/>
      <c r="E130" s="9"/>
      <c r="F130" s="9"/>
      <c r="G130" s="191"/>
      <c r="H130" s="96" t="s">
        <v>139</v>
      </c>
      <c r="I130" s="189">
        <f>_xlfn.STDEV.P(I11:I117)</f>
        <v>95.59162633</v>
      </c>
      <c r="J130" s="191"/>
      <c r="K130" s="191"/>
      <c r="L130" s="191"/>
      <c r="M130" s="19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9"/>
      <c r="F131" s="9"/>
      <c r="G131" s="191"/>
      <c r="H131" s="191"/>
      <c r="I131" s="191"/>
      <c r="J131" s="191"/>
      <c r="K131" s="191"/>
      <c r="L131" s="191"/>
      <c r="M131" s="19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9"/>
      <c r="F132" s="9"/>
      <c r="G132" s="191"/>
      <c r="H132" s="191"/>
      <c r="I132" s="191"/>
      <c r="J132" s="191"/>
      <c r="K132" s="191"/>
      <c r="L132" s="191"/>
      <c r="M132" s="19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9"/>
      <c r="F133" s="9"/>
      <c r="G133" s="191"/>
      <c r="H133" s="191"/>
      <c r="I133" s="191"/>
      <c r="J133" s="191"/>
      <c r="K133" s="191"/>
      <c r="L133" s="191"/>
      <c r="M133" s="19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9"/>
      <c r="F134" s="9"/>
      <c r="G134" s="191"/>
      <c r="H134" s="191"/>
      <c r="I134" s="191"/>
      <c r="J134" s="191"/>
      <c r="K134" s="191"/>
      <c r="L134" s="191"/>
      <c r="M134" s="19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9"/>
      <c r="F135" s="9"/>
      <c r="G135" s="191"/>
      <c r="H135" s="191"/>
      <c r="I135" s="191"/>
      <c r="J135" s="191"/>
      <c r="K135" s="191"/>
      <c r="L135" s="191"/>
      <c r="M135" s="19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9"/>
      <c r="F136" s="9"/>
      <c r="G136" s="191"/>
      <c r="H136" s="191"/>
      <c r="I136" s="191"/>
      <c r="J136" s="191"/>
      <c r="K136" s="191"/>
      <c r="L136" s="191"/>
      <c r="M136" s="19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191"/>
      <c r="H137" s="191"/>
      <c r="I137" s="191"/>
      <c r="J137" s="191"/>
      <c r="K137" s="191"/>
      <c r="L137" s="191"/>
      <c r="M137" s="19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191"/>
      <c r="H138" s="191"/>
      <c r="I138" s="191"/>
      <c r="J138" s="191"/>
      <c r="K138" s="191"/>
      <c r="L138" s="191"/>
      <c r="M138" s="19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9"/>
      <c r="F139" s="9"/>
      <c r="G139" s="191"/>
      <c r="H139" s="191"/>
      <c r="I139" s="191"/>
      <c r="J139" s="191"/>
      <c r="K139" s="191"/>
      <c r="L139" s="191"/>
      <c r="M139" s="19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191"/>
      <c r="H140" s="191"/>
      <c r="I140" s="191"/>
      <c r="J140" s="191"/>
      <c r="K140" s="191"/>
      <c r="L140" s="191"/>
      <c r="M140" s="19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191"/>
      <c r="H141" s="191"/>
      <c r="I141" s="191"/>
      <c r="J141" s="191"/>
      <c r="K141" s="191"/>
      <c r="L141" s="191"/>
      <c r="M141" s="19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9"/>
      <c r="F142" s="9"/>
      <c r="G142" s="191"/>
      <c r="H142" s="191"/>
      <c r="I142" s="191"/>
      <c r="J142" s="191"/>
      <c r="K142" s="191"/>
      <c r="L142" s="191"/>
      <c r="M142" s="19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191"/>
      <c r="H143" s="191"/>
      <c r="I143" s="191"/>
      <c r="J143" s="191"/>
      <c r="K143" s="191"/>
      <c r="L143" s="191"/>
      <c r="M143" s="19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191"/>
      <c r="H144" s="191"/>
      <c r="I144" s="191"/>
      <c r="J144" s="191"/>
      <c r="K144" s="191"/>
      <c r="L144" s="191"/>
      <c r="M144" s="19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191"/>
      <c r="H145" s="191"/>
      <c r="I145" s="191"/>
      <c r="J145" s="191"/>
      <c r="K145" s="191"/>
      <c r="L145" s="191"/>
      <c r="M145" s="191"/>
      <c r="N145" s="191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191"/>
      <c r="H146" s="191"/>
      <c r="I146" s="191"/>
      <c r="J146" s="191"/>
      <c r="K146" s="191"/>
      <c r="L146" s="191"/>
      <c r="M146" s="191"/>
      <c r="N146" s="191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191"/>
      <c r="H147" s="191"/>
      <c r="I147" s="191"/>
      <c r="J147" s="191"/>
      <c r="K147" s="191"/>
      <c r="L147" s="191"/>
      <c r="M147" s="191"/>
      <c r="N147" s="191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191"/>
      <c r="H148" s="191"/>
      <c r="I148" s="191"/>
      <c r="J148" s="191"/>
      <c r="K148" s="191"/>
      <c r="L148" s="191"/>
      <c r="M148" s="191"/>
      <c r="N148" s="191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191"/>
      <c r="H149" s="191"/>
      <c r="I149" s="191"/>
      <c r="J149" s="191"/>
      <c r="K149" s="191"/>
      <c r="L149" s="191"/>
      <c r="M149" s="191"/>
      <c r="N149" s="191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191"/>
      <c r="H150" s="191"/>
      <c r="I150" s="191"/>
      <c r="J150" s="191"/>
      <c r="K150" s="191"/>
      <c r="L150" s="191"/>
      <c r="M150" s="191"/>
      <c r="N150" s="191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191"/>
      <c r="H151" s="191"/>
      <c r="I151" s="191"/>
      <c r="J151" s="191"/>
      <c r="K151" s="191"/>
      <c r="L151" s="191"/>
      <c r="M151" s="191"/>
      <c r="N151" s="19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191"/>
      <c r="H152" s="191"/>
      <c r="I152" s="191"/>
      <c r="J152" s="191"/>
      <c r="K152" s="191"/>
      <c r="L152" s="191"/>
      <c r="M152" s="191"/>
      <c r="N152" s="19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191"/>
      <c r="H153" s="191"/>
      <c r="I153" s="191"/>
      <c r="J153" s="191"/>
      <c r="K153" s="191"/>
      <c r="L153" s="191"/>
      <c r="M153" s="191"/>
      <c r="N153" s="19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191"/>
      <c r="H154" s="191"/>
      <c r="I154" s="191"/>
      <c r="J154" s="191"/>
      <c r="K154" s="191"/>
      <c r="L154" s="191"/>
      <c r="M154" s="191"/>
      <c r="N154" s="191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191"/>
      <c r="H155" s="191"/>
      <c r="I155" s="191"/>
      <c r="J155" s="191"/>
      <c r="K155" s="191"/>
      <c r="L155" s="191"/>
      <c r="M155" s="191"/>
      <c r="N155" s="19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191"/>
      <c r="H156" s="191"/>
      <c r="I156" s="191"/>
      <c r="J156" s="191"/>
      <c r="K156" s="191"/>
      <c r="L156" s="191"/>
      <c r="M156" s="191"/>
      <c r="N156" s="191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191"/>
      <c r="H157" s="191"/>
      <c r="I157" s="191"/>
      <c r="J157" s="191"/>
      <c r="K157" s="191"/>
      <c r="L157" s="191"/>
      <c r="M157" s="191"/>
      <c r="N157" s="19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191"/>
      <c r="H158" s="191"/>
      <c r="I158" s="191"/>
      <c r="J158" s="191"/>
      <c r="K158" s="191"/>
      <c r="L158" s="191"/>
      <c r="M158" s="191"/>
      <c r="N158" s="19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191"/>
      <c r="H159" s="191"/>
      <c r="I159" s="191"/>
      <c r="J159" s="191"/>
      <c r="K159" s="191"/>
      <c r="L159" s="191"/>
      <c r="M159" s="191"/>
      <c r="N159" s="19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191"/>
      <c r="H160" s="191"/>
      <c r="I160" s="191"/>
      <c r="J160" s="191"/>
      <c r="K160" s="191"/>
      <c r="L160" s="191"/>
      <c r="M160" s="191"/>
      <c r="N160" s="191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191"/>
      <c r="H161" s="191"/>
      <c r="I161" s="191"/>
      <c r="J161" s="191"/>
      <c r="K161" s="191"/>
      <c r="L161" s="191"/>
      <c r="M161" s="191"/>
      <c r="N161" s="191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191"/>
      <c r="H162" s="191"/>
      <c r="I162" s="191"/>
      <c r="J162" s="191"/>
      <c r="K162" s="191"/>
      <c r="L162" s="191"/>
      <c r="M162" s="191"/>
      <c r="N162" s="191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191"/>
      <c r="H163" s="191"/>
      <c r="I163" s="191"/>
      <c r="J163" s="191"/>
      <c r="K163" s="191"/>
      <c r="L163" s="191"/>
      <c r="M163" s="191"/>
      <c r="N163" s="19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191"/>
      <c r="H164" s="191"/>
      <c r="I164" s="191"/>
      <c r="J164" s="191"/>
      <c r="K164" s="191"/>
      <c r="L164" s="191"/>
      <c r="M164" s="191"/>
      <c r="N164" s="19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191"/>
      <c r="H165" s="191"/>
      <c r="I165" s="191"/>
      <c r="J165" s="191"/>
      <c r="K165" s="191"/>
      <c r="L165" s="191"/>
      <c r="M165" s="191"/>
      <c r="N165" s="19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191"/>
      <c r="H166" s="191"/>
      <c r="I166" s="191"/>
      <c r="J166" s="191"/>
      <c r="K166" s="191"/>
      <c r="L166" s="191"/>
      <c r="M166" s="191"/>
      <c r="N166" s="19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191"/>
      <c r="H167" s="191"/>
      <c r="I167" s="191"/>
      <c r="J167" s="191"/>
      <c r="K167" s="191"/>
      <c r="L167" s="191"/>
      <c r="M167" s="191"/>
      <c r="N167" s="19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191"/>
      <c r="H168" s="191"/>
      <c r="I168" s="191"/>
      <c r="J168" s="191"/>
      <c r="K168" s="191"/>
      <c r="L168" s="191"/>
      <c r="M168" s="191"/>
      <c r="N168" s="19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191"/>
      <c r="H169" s="191"/>
      <c r="I169" s="191"/>
      <c r="J169" s="191"/>
      <c r="K169" s="191"/>
      <c r="L169" s="191"/>
      <c r="M169" s="191"/>
      <c r="N169" s="19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191"/>
      <c r="H170" s="191"/>
      <c r="I170" s="191"/>
      <c r="J170" s="191"/>
      <c r="K170" s="191"/>
      <c r="L170" s="191"/>
      <c r="M170" s="191"/>
      <c r="N170" s="19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191"/>
      <c r="H171" s="191"/>
      <c r="I171" s="191"/>
      <c r="J171" s="191"/>
      <c r="K171" s="191"/>
      <c r="L171" s="191"/>
      <c r="M171" s="191"/>
      <c r="N171" s="19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191"/>
      <c r="H172" s="191"/>
      <c r="I172" s="191"/>
      <c r="J172" s="191"/>
      <c r="K172" s="191"/>
      <c r="L172" s="191"/>
      <c r="M172" s="191"/>
      <c r="N172" s="19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191"/>
      <c r="H173" s="191"/>
      <c r="I173" s="191"/>
      <c r="J173" s="191"/>
      <c r="K173" s="191"/>
      <c r="L173" s="191"/>
      <c r="M173" s="191"/>
      <c r="N173" s="19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191"/>
      <c r="H174" s="191"/>
      <c r="I174" s="191"/>
      <c r="J174" s="191"/>
      <c r="K174" s="191"/>
      <c r="L174" s="191"/>
      <c r="M174" s="191"/>
      <c r="N174" s="19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191"/>
      <c r="H175" s="191"/>
      <c r="I175" s="191"/>
      <c r="J175" s="191"/>
      <c r="K175" s="191"/>
      <c r="L175" s="191"/>
      <c r="M175" s="191"/>
      <c r="N175" s="19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191"/>
      <c r="H176" s="191"/>
      <c r="I176" s="191"/>
      <c r="J176" s="191"/>
      <c r="K176" s="191"/>
      <c r="L176" s="191"/>
      <c r="M176" s="191"/>
      <c r="N176" s="19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191"/>
      <c r="H177" s="191"/>
      <c r="I177" s="191"/>
      <c r="J177" s="191"/>
      <c r="K177" s="191"/>
      <c r="L177" s="191"/>
      <c r="M177" s="191"/>
      <c r="N177" s="19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191"/>
      <c r="H178" s="191"/>
      <c r="I178" s="191"/>
      <c r="J178" s="191"/>
      <c r="K178" s="191"/>
      <c r="L178" s="191"/>
      <c r="M178" s="191"/>
      <c r="N178" s="19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191"/>
      <c r="H179" s="191"/>
      <c r="I179" s="191"/>
      <c r="J179" s="191"/>
      <c r="K179" s="191"/>
      <c r="L179" s="191"/>
      <c r="M179" s="191"/>
      <c r="N179" s="19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191"/>
      <c r="H180" s="191"/>
      <c r="I180" s="191"/>
      <c r="J180" s="191"/>
      <c r="K180" s="191"/>
      <c r="L180" s="191"/>
      <c r="M180" s="191"/>
      <c r="N180" s="19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191"/>
      <c r="H181" s="191"/>
      <c r="I181" s="191"/>
      <c r="J181" s="191"/>
      <c r="K181" s="191"/>
      <c r="L181" s="191"/>
      <c r="M181" s="191"/>
      <c r="N181" s="19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191"/>
      <c r="H182" s="191"/>
      <c r="I182" s="191"/>
      <c r="J182" s="191"/>
      <c r="K182" s="191"/>
      <c r="L182" s="191"/>
      <c r="M182" s="191"/>
      <c r="N182" s="19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191"/>
      <c r="H183" s="191"/>
      <c r="I183" s="191"/>
      <c r="J183" s="191"/>
      <c r="K183" s="191"/>
      <c r="L183" s="191"/>
      <c r="M183" s="191"/>
      <c r="N183" s="19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191"/>
      <c r="H184" s="191"/>
      <c r="I184" s="191"/>
      <c r="J184" s="191"/>
      <c r="K184" s="191"/>
      <c r="L184" s="191"/>
      <c r="M184" s="191"/>
      <c r="N184" s="19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191"/>
      <c r="H185" s="191"/>
      <c r="I185" s="191"/>
      <c r="J185" s="191"/>
      <c r="K185" s="191"/>
      <c r="L185" s="191"/>
      <c r="M185" s="191"/>
      <c r="N185" s="19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191"/>
      <c r="H186" s="191"/>
      <c r="I186" s="191"/>
      <c r="J186" s="191"/>
      <c r="K186" s="191"/>
      <c r="L186" s="191"/>
      <c r="M186" s="191"/>
      <c r="N186" s="19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191"/>
      <c r="H187" s="191"/>
      <c r="I187" s="191"/>
      <c r="J187" s="191"/>
      <c r="K187" s="191"/>
      <c r="L187" s="191"/>
      <c r="M187" s="191"/>
      <c r="N187" s="19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191"/>
      <c r="H188" s="191"/>
      <c r="I188" s="191"/>
      <c r="J188" s="191"/>
      <c r="K188" s="191"/>
      <c r="L188" s="191"/>
      <c r="M188" s="191"/>
      <c r="N188" s="19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191"/>
      <c r="H189" s="191"/>
      <c r="I189" s="191"/>
      <c r="J189" s="191"/>
      <c r="K189" s="191"/>
      <c r="L189" s="191"/>
      <c r="M189" s="191"/>
      <c r="N189" s="19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191"/>
      <c r="H190" s="191"/>
      <c r="I190" s="191"/>
      <c r="J190" s="191"/>
      <c r="K190" s="191"/>
      <c r="L190" s="191"/>
      <c r="M190" s="191"/>
      <c r="N190" s="19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191"/>
      <c r="H191" s="191"/>
      <c r="I191" s="191"/>
      <c r="J191" s="191"/>
      <c r="K191" s="191"/>
      <c r="L191" s="191"/>
      <c r="M191" s="191"/>
      <c r="N191" s="19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191"/>
      <c r="H192" s="191"/>
      <c r="I192" s="191"/>
      <c r="J192" s="191"/>
      <c r="K192" s="191"/>
      <c r="L192" s="191"/>
      <c r="M192" s="191"/>
      <c r="N192" s="19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191"/>
      <c r="H193" s="191"/>
      <c r="I193" s="191"/>
      <c r="J193" s="191"/>
      <c r="K193" s="191"/>
      <c r="L193" s="191"/>
      <c r="M193" s="191"/>
      <c r="N193" s="19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191"/>
      <c r="H194" s="191"/>
      <c r="I194" s="191"/>
      <c r="J194" s="191"/>
      <c r="K194" s="191"/>
      <c r="L194" s="191"/>
      <c r="M194" s="191"/>
      <c r="N194" s="19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191"/>
      <c r="H195" s="191"/>
      <c r="I195" s="191"/>
      <c r="J195" s="191"/>
      <c r="K195" s="191"/>
      <c r="L195" s="191"/>
      <c r="M195" s="191"/>
      <c r="N195" s="19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191"/>
      <c r="H196" s="191"/>
      <c r="I196" s="191"/>
      <c r="J196" s="191"/>
      <c r="K196" s="191"/>
      <c r="L196" s="191"/>
      <c r="M196" s="191"/>
      <c r="N196" s="19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191"/>
      <c r="H197" s="191"/>
      <c r="I197" s="191"/>
      <c r="J197" s="191"/>
      <c r="K197" s="191"/>
      <c r="L197" s="191"/>
      <c r="M197" s="191"/>
      <c r="N197" s="19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191"/>
      <c r="H198" s="191"/>
      <c r="I198" s="191"/>
      <c r="J198" s="191"/>
      <c r="K198" s="191"/>
      <c r="L198" s="191"/>
      <c r="M198" s="191"/>
      <c r="N198" s="19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191"/>
      <c r="H199" s="191"/>
      <c r="I199" s="191"/>
      <c r="J199" s="191"/>
      <c r="K199" s="191"/>
      <c r="L199" s="191"/>
      <c r="M199" s="191"/>
      <c r="N199" s="19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191"/>
      <c r="H200" s="191"/>
      <c r="I200" s="191"/>
      <c r="J200" s="191"/>
      <c r="K200" s="191"/>
      <c r="L200" s="191"/>
      <c r="M200" s="191"/>
      <c r="N200" s="19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191"/>
      <c r="H201" s="191"/>
      <c r="I201" s="191"/>
      <c r="J201" s="191"/>
      <c r="K201" s="191"/>
      <c r="L201" s="191"/>
      <c r="M201" s="191"/>
      <c r="N201" s="19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191"/>
      <c r="H202" s="191"/>
      <c r="I202" s="191"/>
      <c r="J202" s="191"/>
      <c r="K202" s="191"/>
      <c r="L202" s="191"/>
      <c r="M202" s="191"/>
      <c r="N202" s="19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191"/>
      <c r="H203" s="191"/>
      <c r="I203" s="191"/>
      <c r="J203" s="191"/>
      <c r="K203" s="191"/>
      <c r="L203" s="191"/>
      <c r="M203" s="191"/>
      <c r="N203" s="19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191"/>
      <c r="H204" s="191"/>
      <c r="I204" s="191"/>
      <c r="J204" s="191"/>
      <c r="K204" s="191"/>
      <c r="L204" s="191"/>
      <c r="M204" s="191"/>
      <c r="N204" s="19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191"/>
      <c r="H205" s="191"/>
      <c r="I205" s="191"/>
      <c r="J205" s="191"/>
      <c r="K205" s="191"/>
      <c r="L205" s="191"/>
      <c r="M205" s="191"/>
      <c r="N205" s="19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191"/>
      <c r="H206" s="191"/>
      <c r="I206" s="191"/>
      <c r="J206" s="191"/>
      <c r="K206" s="191"/>
      <c r="L206" s="191"/>
      <c r="M206" s="191"/>
      <c r="N206" s="19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191"/>
      <c r="H207" s="191"/>
      <c r="I207" s="191"/>
      <c r="J207" s="191"/>
      <c r="K207" s="191"/>
      <c r="L207" s="191"/>
      <c r="M207" s="191"/>
      <c r="N207" s="19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191"/>
      <c r="H208" s="191"/>
      <c r="I208" s="191"/>
      <c r="J208" s="191"/>
      <c r="K208" s="191"/>
      <c r="L208" s="191"/>
      <c r="M208" s="191"/>
      <c r="N208" s="19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191"/>
      <c r="H209" s="191"/>
      <c r="I209" s="191"/>
      <c r="J209" s="191"/>
      <c r="K209" s="191"/>
      <c r="L209" s="191"/>
      <c r="M209" s="191"/>
      <c r="N209" s="19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191"/>
      <c r="H210" s="191"/>
      <c r="I210" s="191"/>
      <c r="J210" s="191"/>
      <c r="K210" s="191"/>
      <c r="L210" s="191"/>
      <c r="M210" s="191"/>
      <c r="N210" s="19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191"/>
      <c r="H211" s="191"/>
      <c r="I211" s="191"/>
      <c r="J211" s="191"/>
      <c r="K211" s="191"/>
      <c r="L211" s="191"/>
      <c r="M211" s="191"/>
      <c r="N211" s="19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191"/>
      <c r="H212" s="191"/>
      <c r="I212" s="191"/>
      <c r="J212" s="191"/>
      <c r="K212" s="191"/>
      <c r="L212" s="191"/>
      <c r="M212" s="191"/>
      <c r="N212" s="19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191"/>
      <c r="H213" s="191"/>
      <c r="I213" s="191"/>
      <c r="J213" s="191"/>
      <c r="K213" s="191"/>
      <c r="L213" s="191"/>
      <c r="M213" s="191"/>
      <c r="N213" s="19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191"/>
      <c r="H214" s="191"/>
      <c r="I214" s="191"/>
      <c r="J214" s="191"/>
      <c r="K214" s="191"/>
      <c r="L214" s="191"/>
      <c r="M214" s="191"/>
      <c r="N214" s="19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191"/>
      <c r="H215" s="191"/>
      <c r="I215" s="191"/>
      <c r="J215" s="191"/>
      <c r="K215" s="191"/>
      <c r="L215" s="191"/>
      <c r="M215" s="191"/>
      <c r="N215" s="19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191"/>
      <c r="H216" s="191"/>
      <c r="I216" s="191"/>
      <c r="J216" s="191"/>
      <c r="K216" s="191"/>
      <c r="L216" s="191"/>
      <c r="M216" s="191"/>
      <c r="N216" s="19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191"/>
      <c r="H217" s="191"/>
      <c r="I217" s="191"/>
      <c r="J217" s="191"/>
      <c r="K217" s="191"/>
      <c r="L217" s="191"/>
      <c r="M217" s="191"/>
      <c r="N217" s="19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191"/>
      <c r="H218" s="191"/>
      <c r="I218" s="191"/>
      <c r="J218" s="191"/>
      <c r="K218" s="191"/>
      <c r="L218" s="191"/>
      <c r="M218" s="191"/>
      <c r="N218" s="19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191"/>
      <c r="H219" s="191"/>
      <c r="I219" s="191"/>
      <c r="J219" s="191"/>
      <c r="K219" s="191"/>
      <c r="L219" s="191"/>
      <c r="M219" s="191"/>
      <c r="N219" s="19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191"/>
      <c r="H220" s="191"/>
      <c r="I220" s="191"/>
      <c r="J220" s="191"/>
      <c r="K220" s="191"/>
      <c r="L220" s="191"/>
      <c r="M220" s="191"/>
      <c r="N220" s="19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191"/>
      <c r="H221" s="191"/>
      <c r="I221" s="191"/>
      <c r="J221" s="191"/>
      <c r="K221" s="191"/>
      <c r="L221" s="191"/>
      <c r="M221" s="191"/>
      <c r="N221" s="19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191"/>
      <c r="H222" s="191"/>
      <c r="I222" s="191"/>
      <c r="J222" s="191"/>
      <c r="K222" s="191"/>
      <c r="L222" s="191"/>
      <c r="M222" s="191"/>
      <c r="N222" s="19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191"/>
      <c r="H223" s="191"/>
      <c r="I223" s="191"/>
      <c r="J223" s="191"/>
      <c r="K223" s="191"/>
      <c r="L223" s="191"/>
      <c r="M223" s="191"/>
      <c r="N223" s="19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191"/>
      <c r="H224" s="191"/>
      <c r="I224" s="191"/>
      <c r="J224" s="191"/>
      <c r="K224" s="191"/>
      <c r="L224" s="191"/>
      <c r="M224" s="191"/>
      <c r="N224" s="19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191"/>
      <c r="H225" s="191"/>
      <c r="I225" s="191"/>
      <c r="J225" s="191"/>
      <c r="K225" s="191"/>
      <c r="L225" s="191"/>
      <c r="M225" s="191"/>
      <c r="N225" s="19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191"/>
      <c r="H226" s="191"/>
      <c r="I226" s="191"/>
      <c r="J226" s="191"/>
      <c r="K226" s="191"/>
      <c r="L226" s="191"/>
      <c r="M226" s="191"/>
      <c r="N226" s="19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191"/>
      <c r="H227" s="191"/>
      <c r="I227" s="191"/>
      <c r="J227" s="191"/>
      <c r="K227" s="191"/>
      <c r="L227" s="191"/>
      <c r="M227" s="191"/>
      <c r="N227" s="19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191"/>
      <c r="H228" s="191"/>
      <c r="I228" s="191"/>
      <c r="J228" s="191"/>
      <c r="K228" s="191"/>
      <c r="L228" s="191"/>
      <c r="M228" s="191"/>
      <c r="N228" s="19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191"/>
      <c r="H229" s="191"/>
      <c r="I229" s="191"/>
      <c r="J229" s="191"/>
      <c r="K229" s="191"/>
      <c r="L229" s="191"/>
      <c r="M229" s="191"/>
      <c r="N229" s="19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191"/>
      <c r="H230" s="191"/>
      <c r="I230" s="191"/>
      <c r="J230" s="191"/>
      <c r="K230" s="191"/>
      <c r="L230" s="191"/>
      <c r="M230" s="191"/>
      <c r="N230" s="19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191"/>
      <c r="H231" s="191"/>
      <c r="I231" s="191"/>
      <c r="J231" s="191"/>
      <c r="K231" s="191"/>
      <c r="L231" s="191"/>
      <c r="M231" s="191"/>
      <c r="N231" s="19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191"/>
      <c r="H232" s="191"/>
      <c r="I232" s="191"/>
      <c r="J232" s="191"/>
      <c r="K232" s="191"/>
      <c r="L232" s="191"/>
      <c r="M232" s="191"/>
      <c r="N232" s="19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191"/>
      <c r="H233" s="191"/>
      <c r="I233" s="191"/>
      <c r="J233" s="191"/>
      <c r="K233" s="191"/>
      <c r="L233" s="191"/>
      <c r="M233" s="191"/>
      <c r="N233" s="19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191"/>
      <c r="H234" s="191"/>
      <c r="I234" s="191"/>
      <c r="J234" s="191"/>
      <c r="K234" s="191"/>
      <c r="L234" s="191"/>
      <c r="M234" s="191"/>
      <c r="N234" s="19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191"/>
      <c r="H235" s="191"/>
      <c r="I235" s="191"/>
      <c r="J235" s="191"/>
      <c r="K235" s="191"/>
      <c r="L235" s="191"/>
      <c r="M235" s="191"/>
      <c r="N235" s="19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191"/>
      <c r="H236" s="191"/>
      <c r="I236" s="191"/>
      <c r="J236" s="191"/>
      <c r="K236" s="191"/>
      <c r="L236" s="191"/>
      <c r="M236" s="191"/>
      <c r="N236" s="19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191"/>
      <c r="H237" s="191"/>
      <c r="I237" s="191"/>
      <c r="J237" s="191"/>
      <c r="K237" s="191"/>
      <c r="L237" s="191"/>
      <c r="M237" s="191"/>
      <c r="N237" s="19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191"/>
      <c r="H238" s="191"/>
      <c r="I238" s="191"/>
      <c r="J238" s="191"/>
      <c r="K238" s="191"/>
      <c r="L238" s="191"/>
      <c r="M238" s="191"/>
      <c r="N238" s="19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191"/>
      <c r="H239" s="191"/>
      <c r="I239" s="191"/>
      <c r="J239" s="191"/>
      <c r="K239" s="191"/>
      <c r="L239" s="191"/>
      <c r="M239" s="191"/>
      <c r="N239" s="19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191"/>
      <c r="H240" s="191"/>
      <c r="I240" s="191"/>
      <c r="J240" s="191"/>
      <c r="K240" s="191"/>
      <c r="L240" s="191"/>
      <c r="M240" s="191"/>
      <c r="N240" s="19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191"/>
      <c r="H241" s="191"/>
      <c r="I241" s="191"/>
      <c r="J241" s="191"/>
      <c r="K241" s="191"/>
      <c r="L241" s="191"/>
      <c r="M241" s="191"/>
      <c r="N241" s="19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191"/>
      <c r="H242" s="191"/>
      <c r="I242" s="191"/>
      <c r="J242" s="191"/>
      <c r="K242" s="191"/>
      <c r="L242" s="191"/>
      <c r="M242" s="191"/>
      <c r="N242" s="19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191"/>
      <c r="H243" s="191"/>
      <c r="I243" s="191"/>
      <c r="J243" s="191"/>
      <c r="K243" s="191"/>
      <c r="L243" s="191"/>
      <c r="M243" s="191"/>
      <c r="N243" s="19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191"/>
      <c r="H244" s="191"/>
      <c r="I244" s="191"/>
      <c r="J244" s="191"/>
      <c r="K244" s="191"/>
      <c r="L244" s="191"/>
      <c r="M244" s="191"/>
      <c r="N244" s="19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191"/>
      <c r="H245" s="191"/>
      <c r="I245" s="191"/>
      <c r="J245" s="191"/>
      <c r="K245" s="191"/>
      <c r="L245" s="191"/>
      <c r="M245" s="191"/>
      <c r="N245" s="19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191"/>
      <c r="H246" s="191"/>
      <c r="I246" s="191"/>
      <c r="J246" s="191"/>
      <c r="K246" s="191"/>
      <c r="L246" s="191"/>
      <c r="M246" s="191"/>
      <c r="N246" s="19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191"/>
      <c r="H247" s="191"/>
      <c r="I247" s="191"/>
      <c r="J247" s="191"/>
      <c r="K247" s="191"/>
      <c r="L247" s="191"/>
      <c r="M247" s="191"/>
      <c r="N247" s="19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191"/>
      <c r="H248" s="191"/>
      <c r="I248" s="191"/>
      <c r="J248" s="191"/>
      <c r="K248" s="191"/>
      <c r="L248" s="191"/>
      <c r="M248" s="191"/>
      <c r="N248" s="19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191"/>
      <c r="H249" s="191"/>
      <c r="I249" s="191"/>
      <c r="J249" s="191"/>
      <c r="K249" s="191"/>
      <c r="L249" s="191"/>
      <c r="M249" s="191"/>
      <c r="N249" s="19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191"/>
      <c r="H250" s="191"/>
      <c r="I250" s="191"/>
      <c r="J250" s="191"/>
      <c r="K250" s="191"/>
      <c r="L250" s="191"/>
      <c r="M250" s="191"/>
      <c r="N250" s="19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191"/>
      <c r="H251" s="191"/>
      <c r="I251" s="191"/>
      <c r="J251" s="191"/>
      <c r="K251" s="191"/>
      <c r="L251" s="191"/>
      <c r="M251" s="191"/>
      <c r="N251" s="19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191"/>
      <c r="H252" s="191"/>
      <c r="I252" s="191"/>
      <c r="J252" s="191"/>
      <c r="K252" s="191"/>
      <c r="L252" s="191"/>
      <c r="M252" s="191"/>
      <c r="N252" s="19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191"/>
      <c r="H253" s="191"/>
      <c r="I253" s="191"/>
      <c r="J253" s="191"/>
      <c r="K253" s="191"/>
      <c r="L253" s="191"/>
      <c r="M253" s="191"/>
      <c r="N253" s="19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191"/>
      <c r="H254" s="191"/>
      <c r="I254" s="191"/>
      <c r="J254" s="191"/>
      <c r="K254" s="191"/>
      <c r="L254" s="191"/>
      <c r="M254" s="191"/>
      <c r="N254" s="19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191"/>
      <c r="H255" s="191"/>
      <c r="I255" s="191"/>
      <c r="J255" s="191"/>
      <c r="K255" s="191"/>
      <c r="L255" s="191"/>
      <c r="M255" s="191"/>
      <c r="N255" s="19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191"/>
      <c r="H256" s="191"/>
      <c r="I256" s="191"/>
      <c r="J256" s="191"/>
      <c r="K256" s="191"/>
      <c r="L256" s="191"/>
      <c r="M256" s="191"/>
      <c r="N256" s="19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191"/>
      <c r="H257" s="191"/>
      <c r="I257" s="191"/>
      <c r="J257" s="191"/>
      <c r="K257" s="191"/>
      <c r="L257" s="191"/>
      <c r="M257" s="191"/>
      <c r="N257" s="19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191"/>
      <c r="H258" s="191"/>
      <c r="I258" s="191"/>
      <c r="J258" s="191"/>
      <c r="K258" s="191"/>
      <c r="L258" s="191"/>
      <c r="M258" s="191"/>
      <c r="N258" s="19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191"/>
      <c r="H259" s="191"/>
      <c r="I259" s="191"/>
      <c r="J259" s="191"/>
      <c r="K259" s="191"/>
      <c r="L259" s="191"/>
      <c r="M259" s="191"/>
      <c r="N259" s="19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191"/>
      <c r="H260" s="191"/>
      <c r="I260" s="191"/>
      <c r="J260" s="191"/>
      <c r="K260" s="191"/>
      <c r="L260" s="191"/>
      <c r="M260" s="191"/>
      <c r="N260" s="19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191"/>
      <c r="H261" s="191"/>
      <c r="I261" s="191"/>
      <c r="J261" s="191"/>
      <c r="K261" s="191"/>
      <c r="L261" s="191"/>
      <c r="M261" s="191"/>
      <c r="N261" s="19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191"/>
      <c r="H262" s="191"/>
      <c r="I262" s="191"/>
      <c r="J262" s="191"/>
      <c r="K262" s="191"/>
      <c r="L262" s="191"/>
      <c r="M262" s="191"/>
      <c r="N262" s="19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191"/>
      <c r="H263" s="191"/>
      <c r="I263" s="191"/>
      <c r="J263" s="191"/>
      <c r="K263" s="191"/>
      <c r="L263" s="191"/>
      <c r="M263" s="191"/>
      <c r="N263" s="19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191"/>
      <c r="H264" s="191"/>
      <c r="I264" s="191"/>
      <c r="J264" s="191"/>
      <c r="K264" s="191"/>
      <c r="L264" s="191"/>
      <c r="M264" s="191"/>
      <c r="N264" s="19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191"/>
      <c r="H265" s="191"/>
      <c r="I265" s="191"/>
      <c r="J265" s="191"/>
      <c r="K265" s="191"/>
      <c r="L265" s="191"/>
      <c r="M265" s="191"/>
      <c r="N265" s="19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191"/>
      <c r="H266" s="191"/>
      <c r="I266" s="191"/>
      <c r="J266" s="191"/>
      <c r="K266" s="191"/>
      <c r="L266" s="191"/>
      <c r="M266" s="191"/>
      <c r="N266" s="19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191"/>
      <c r="H267" s="191"/>
      <c r="I267" s="191"/>
      <c r="J267" s="191"/>
      <c r="K267" s="191"/>
      <c r="L267" s="191"/>
      <c r="M267" s="191"/>
      <c r="N267" s="191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191"/>
      <c r="H268" s="191"/>
      <c r="I268" s="191"/>
      <c r="J268" s="191"/>
      <c r="K268" s="191"/>
      <c r="L268" s="191"/>
      <c r="M268" s="191"/>
      <c r="N268" s="19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191"/>
      <c r="H269" s="191"/>
      <c r="I269" s="191"/>
      <c r="J269" s="191"/>
      <c r="K269" s="191"/>
      <c r="L269" s="191"/>
      <c r="M269" s="191"/>
      <c r="N269" s="19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191"/>
      <c r="H270" s="191"/>
      <c r="I270" s="191"/>
      <c r="J270" s="191"/>
      <c r="K270" s="191"/>
      <c r="L270" s="191"/>
      <c r="M270" s="191"/>
      <c r="N270" s="19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191"/>
      <c r="H271" s="191"/>
      <c r="I271" s="191"/>
      <c r="J271" s="191"/>
      <c r="K271" s="191"/>
      <c r="L271" s="191"/>
      <c r="M271" s="191"/>
      <c r="N271" s="19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191"/>
      <c r="H272" s="191"/>
      <c r="I272" s="191"/>
      <c r="J272" s="191"/>
      <c r="K272" s="191"/>
      <c r="L272" s="191"/>
      <c r="M272" s="191"/>
      <c r="N272" s="19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191"/>
      <c r="H273" s="191"/>
      <c r="I273" s="191"/>
      <c r="J273" s="191"/>
      <c r="K273" s="191"/>
      <c r="L273" s="191"/>
      <c r="M273" s="191"/>
      <c r="N273" s="19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191"/>
      <c r="H274" s="191"/>
      <c r="I274" s="191"/>
      <c r="J274" s="191"/>
      <c r="K274" s="191"/>
      <c r="L274" s="191"/>
      <c r="M274" s="191"/>
      <c r="N274" s="19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191"/>
      <c r="H275" s="191"/>
      <c r="I275" s="191"/>
      <c r="J275" s="191"/>
      <c r="K275" s="191"/>
      <c r="L275" s="191"/>
      <c r="M275" s="191"/>
      <c r="N275" s="19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191"/>
      <c r="H276" s="191"/>
      <c r="I276" s="191"/>
      <c r="J276" s="191"/>
      <c r="K276" s="191"/>
      <c r="L276" s="191"/>
      <c r="M276" s="191"/>
      <c r="N276" s="19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191"/>
      <c r="H277" s="191"/>
      <c r="I277" s="191"/>
      <c r="J277" s="191"/>
      <c r="K277" s="191"/>
      <c r="L277" s="191"/>
      <c r="M277" s="191"/>
      <c r="N277" s="19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191"/>
      <c r="H278" s="191"/>
      <c r="I278" s="191"/>
      <c r="J278" s="191"/>
      <c r="K278" s="191"/>
      <c r="L278" s="191"/>
      <c r="M278" s="191"/>
      <c r="N278" s="19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191"/>
      <c r="H279" s="191"/>
      <c r="I279" s="191"/>
      <c r="J279" s="191"/>
      <c r="K279" s="191"/>
      <c r="L279" s="191"/>
      <c r="M279" s="191"/>
      <c r="N279" s="19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191"/>
      <c r="H280" s="191"/>
      <c r="I280" s="191"/>
      <c r="J280" s="191"/>
      <c r="K280" s="191"/>
      <c r="L280" s="191"/>
      <c r="M280" s="191"/>
      <c r="N280" s="19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191"/>
      <c r="H281" s="191"/>
      <c r="I281" s="191"/>
      <c r="J281" s="191"/>
      <c r="K281" s="191"/>
      <c r="L281" s="191"/>
      <c r="M281" s="191"/>
      <c r="N281" s="19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191"/>
      <c r="H282" s="191"/>
      <c r="I282" s="191"/>
      <c r="J282" s="191"/>
      <c r="K282" s="191"/>
      <c r="L282" s="191"/>
      <c r="M282" s="191"/>
      <c r="N282" s="19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191"/>
      <c r="H283" s="191"/>
      <c r="I283" s="191"/>
      <c r="J283" s="191"/>
      <c r="K283" s="191"/>
      <c r="L283" s="191"/>
      <c r="M283" s="191"/>
      <c r="N283" s="19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191"/>
      <c r="H284" s="191"/>
      <c r="I284" s="191"/>
      <c r="J284" s="191"/>
      <c r="K284" s="191"/>
      <c r="L284" s="191"/>
      <c r="M284" s="191"/>
      <c r="N284" s="19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191"/>
      <c r="H285" s="191"/>
      <c r="I285" s="191"/>
      <c r="J285" s="191"/>
      <c r="K285" s="191"/>
      <c r="L285" s="191"/>
      <c r="M285" s="191"/>
      <c r="N285" s="19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191"/>
      <c r="H286" s="191"/>
      <c r="I286" s="191"/>
      <c r="J286" s="191"/>
      <c r="K286" s="191"/>
      <c r="L286" s="191"/>
      <c r="M286" s="191"/>
      <c r="N286" s="19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191"/>
      <c r="H287" s="191"/>
      <c r="I287" s="191"/>
      <c r="J287" s="191"/>
      <c r="K287" s="191"/>
      <c r="L287" s="191"/>
      <c r="M287" s="191"/>
      <c r="N287" s="19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191"/>
      <c r="H288" s="191"/>
      <c r="I288" s="191"/>
      <c r="J288" s="191"/>
      <c r="K288" s="191"/>
      <c r="L288" s="191"/>
      <c r="M288" s="191"/>
      <c r="N288" s="19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191"/>
      <c r="H289" s="191"/>
      <c r="I289" s="191"/>
      <c r="J289" s="191"/>
      <c r="K289" s="191"/>
      <c r="L289" s="191"/>
      <c r="M289" s="191"/>
      <c r="N289" s="19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191"/>
      <c r="H290" s="191"/>
      <c r="I290" s="191"/>
      <c r="J290" s="191"/>
      <c r="K290" s="191"/>
      <c r="L290" s="191"/>
      <c r="M290" s="191"/>
      <c r="N290" s="19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191"/>
      <c r="H291" s="191"/>
      <c r="I291" s="191"/>
      <c r="J291" s="191"/>
      <c r="K291" s="191"/>
      <c r="L291" s="191"/>
      <c r="M291" s="191"/>
      <c r="N291" s="19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191"/>
      <c r="H292" s="191"/>
      <c r="I292" s="191"/>
      <c r="J292" s="191"/>
      <c r="K292" s="191"/>
      <c r="L292" s="191"/>
      <c r="M292" s="191"/>
      <c r="N292" s="19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191"/>
      <c r="H293" s="191"/>
      <c r="I293" s="191"/>
      <c r="J293" s="191"/>
      <c r="K293" s="191"/>
      <c r="L293" s="191"/>
      <c r="M293" s="191"/>
      <c r="N293" s="19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191"/>
      <c r="H294" s="191"/>
      <c r="I294" s="191"/>
      <c r="J294" s="191"/>
      <c r="K294" s="191"/>
      <c r="L294" s="191"/>
      <c r="M294" s="191"/>
      <c r="N294" s="19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191"/>
      <c r="H295" s="191"/>
      <c r="I295" s="191"/>
      <c r="J295" s="191"/>
      <c r="K295" s="191"/>
      <c r="L295" s="191"/>
      <c r="M295" s="191"/>
      <c r="N295" s="19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191"/>
      <c r="H296" s="191"/>
      <c r="I296" s="191"/>
      <c r="J296" s="191"/>
      <c r="K296" s="191"/>
      <c r="L296" s="191"/>
      <c r="M296" s="191"/>
      <c r="N296" s="19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191"/>
      <c r="H297" s="191"/>
      <c r="I297" s="191"/>
      <c r="J297" s="191"/>
      <c r="K297" s="191"/>
      <c r="L297" s="191"/>
      <c r="M297" s="191"/>
      <c r="N297" s="19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191"/>
      <c r="H298" s="191"/>
      <c r="I298" s="191"/>
      <c r="J298" s="191"/>
      <c r="K298" s="191"/>
      <c r="L298" s="191"/>
      <c r="M298" s="191"/>
      <c r="N298" s="19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191"/>
      <c r="H299" s="191"/>
      <c r="I299" s="191"/>
      <c r="J299" s="191"/>
      <c r="K299" s="191"/>
      <c r="L299" s="191"/>
      <c r="M299" s="191"/>
      <c r="N299" s="19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191"/>
      <c r="H300" s="191"/>
      <c r="I300" s="191"/>
      <c r="J300" s="191"/>
      <c r="K300" s="191"/>
      <c r="L300" s="191"/>
      <c r="M300" s="191"/>
      <c r="N300" s="19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191"/>
      <c r="H301" s="191"/>
      <c r="I301" s="191"/>
      <c r="J301" s="191"/>
      <c r="K301" s="191"/>
      <c r="L301" s="191"/>
      <c r="M301" s="191"/>
      <c r="N301" s="19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191"/>
      <c r="H302" s="191"/>
      <c r="I302" s="191"/>
      <c r="J302" s="191"/>
      <c r="K302" s="191"/>
      <c r="L302" s="191"/>
      <c r="M302" s="191"/>
      <c r="N302" s="19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191"/>
      <c r="H303" s="191"/>
      <c r="I303" s="191"/>
      <c r="J303" s="191"/>
      <c r="K303" s="191"/>
      <c r="L303" s="191"/>
      <c r="M303" s="191"/>
      <c r="N303" s="19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191"/>
      <c r="H304" s="191"/>
      <c r="I304" s="191"/>
      <c r="J304" s="191"/>
      <c r="K304" s="191"/>
      <c r="L304" s="191"/>
      <c r="M304" s="191"/>
      <c r="N304" s="191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191"/>
      <c r="H305" s="191"/>
      <c r="I305" s="191"/>
      <c r="J305" s="191"/>
      <c r="K305" s="191"/>
      <c r="L305" s="191"/>
      <c r="M305" s="191"/>
      <c r="N305" s="19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191"/>
      <c r="H306" s="191"/>
      <c r="I306" s="191"/>
      <c r="J306" s="191"/>
      <c r="K306" s="191"/>
      <c r="L306" s="191"/>
      <c r="M306" s="191"/>
      <c r="N306" s="19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191"/>
      <c r="H307" s="191"/>
      <c r="I307" s="191"/>
      <c r="J307" s="191"/>
      <c r="K307" s="191"/>
      <c r="L307" s="191"/>
      <c r="M307" s="191"/>
      <c r="N307" s="19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191"/>
      <c r="H308" s="191"/>
      <c r="I308" s="191"/>
      <c r="J308" s="191"/>
      <c r="K308" s="191"/>
      <c r="L308" s="191"/>
      <c r="M308" s="191"/>
      <c r="N308" s="19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191"/>
      <c r="H309" s="191"/>
      <c r="I309" s="191"/>
      <c r="J309" s="191"/>
      <c r="K309" s="191"/>
      <c r="L309" s="191"/>
      <c r="M309" s="191"/>
      <c r="N309" s="19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191"/>
      <c r="H310" s="191"/>
      <c r="I310" s="191"/>
      <c r="J310" s="191"/>
      <c r="K310" s="191"/>
      <c r="L310" s="191"/>
      <c r="M310" s="191"/>
      <c r="N310" s="19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191"/>
      <c r="H311" s="191"/>
      <c r="I311" s="191"/>
      <c r="J311" s="191"/>
      <c r="K311" s="191"/>
      <c r="L311" s="191"/>
      <c r="M311" s="191"/>
      <c r="N311" s="19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191"/>
      <c r="H312" s="191"/>
      <c r="I312" s="191"/>
      <c r="J312" s="191"/>
      <c r="K312" s="191"/>
      <c r="L312" s="191"/>
      <c r="M312" s="191"/>
      <c r="N312" s="19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191"/>
      <c r="H313" s="191"/>
      <c r="I313" s="191"/>
      <c r="J313" s="191"/>
      <c r="K313" s="191"/>
      <c r="L313" s="191"/>
      <c r="M313" s="191"/>
      <c r="N313" s="19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191"/>
      <c r="H314" s="191"/>
      <c r="I314" s="191"/>
      <c r="J314" s="191"/>
      <c r="K314" s="191"/>
      <c r="L314" s="191"/>
      <c r="M314" s="191"/>
      <c r="N314" s="19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191"/>
      <c r="H315" s="191"/>
      <c r="I315" s="191"/>
      <c r="J315" s="191"/>
      <c r="K315" s="191"/>
      <c r="L315" s="191"/>
      <c r="M315" s="191"/>
      <c r="N315" s="19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191"/>
      <c r="H316" s="191"/>
      <c r="I316" s="191"/>
      <c r="J316" s="191"/>
      <c r="K316" s="191"/>
      <c r="L316" s="191"/>
      <c r="M316" s="191"/>
      <c r="N316" s="19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191"/>
      <c r="H317" s="191"/>
      <c r="I317" s="191"/>
      <c r="J317" s="191"/>
      <c r="K317" s="191"/>
      <c r="L317" s="191"/>
      <c r="M317" s="191"/>
      <c r="N317" s="19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191"/>
      <c r="H318" s="191"/>
      <c r="I318" s="191"/>
      <c r="J318" s="191"/>
      <c r="K318" s="191"/>
      <c r="L318" s="191"/>
      <c r="M318" s="191"/>
      <c r="N318" s="19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191"/>
      <c r="H319" s="191"/>
      <c r="I319" s="191"/>
      <c r="J319" s="191"/>
      <c r="K319" s="191"/>
      <c r="L319" s="191"/>
      <c r="M319" s="191"/>
      <c r="N319" s="19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191"/>
      <c r="H320" s="191"/>
      <c r="I320" s="191"/>
      <c r="J320" s="191"/>
      <c r="K320" s="191"/>
      <c r="L320" s="191"/>
      <c r="M320" s="191"/>
      <c r="N320" s="19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191"/>
      <c r="H321" s="191"/>
      <c r="I321" s="191"/>
      <c r="J321" s="191"/>
      <c r="K321" s="191"/>
      <c r="L321" s="191"/>
      <c r="M321" s="191"/>
      <c r="N321" s="19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191"/>
      <c r="H322" s="191"/>
      <c r="I322" s="191"/>
      <c r="J322" s="191"/>
      <c r="K322" s="191"/>
      <c r="L322" s="191"/>
      <c r="M322" s="191"/>
      <c r="N322" s="19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191"/>
      <c r="H323" s="191"/>
      <c r="I323" s="191"/>
      <c r="J323" s="191"/>
      <c r="K323" s="191"/>
      <c r="L323" s="191"/>
      <c r="M323" s="191"/>
      <c r="N323" s="19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191"/>
      <c r="H324" s="191"/>
      <c r="I324" s="191"/>
      <c r="J324" s="191"/>
      <c r="K324" s="191"/>
      <c r="L324" s="191"/>
      <c r="M324" s="191"/>
      <c r="N324" s="19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191"/>
      <c r="H325" s="191"/>
      <c r="I325" s="191"/>
      <c r="J325" s="191"/>
      <c r="K325" s="191"/>
      <c r="L325" s="191"/>
      <c r="M325" s="191"/>
      <c r="N325" s="19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191"/>
      <c r="H326" s="191"/>
      <c r="I326" s="191"/>
      <c r="J326" s="191"/>
      <c r="K326" s="191"/>
      <c r="L326" s="191"/>
      <c r="M326" s="191"/>
      <c r="N326" s="19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191"/>
      <c r="H327" s="191"/>
      <c r="I327" s="191"/>
      <c r="J327" s="191"/>
      <c r="K327" s="191"/>
      <c r="L327" s="191"/>
      <c r="M327" s="191"/>
      <c r="N327" s="19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191"/>
      <c r="H328" s="191"/>
      <c r="I328" s="191"/>
      <c r="J328" s="191"/>
      <c r="K328" s="191"/>
      <c r="L328" s="191"/>
      <c r="M328" s="191"/>
      <c r="N328" s="19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191"/>
      <c r="H329" s="191"/>
      <c r="I329" s="191"/>
      <c r="J329" s="191"/>
      <c r="K329" s="191"/>
      <c r="L329" s="191"/>
      <c r="M329" s="191"/>
      <c r="N329" s="19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191"/>
      <c r="H330" s="191"/>
      <c r="I330" s="191"/>
      <c r="J330" s="191"/>
      <c r="K330" s="191"/>
      <c r="L330" s="191"/>
      <c r="M330" s="191"/>
      <c r="N330" s="19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191"/>
      <c r="H331" s="191"/>
      <c r="I331" s="191"/>
      <c r="J331" s="191"/>
      <c r="K331" s="191"/>
      <c r="L331" s="191"/>
      <c r="M331" s="191"/>
      <c r="N331" s="19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191"/>
      <c r="H332" s="191"/>
      <c r="I332" s="191"/>
      <c r="J332" s="191"/>
      <c r="K332" s="191"/>
      <c r="L332" s="191"/>
      <c r="M332" s="191"/>
      <c r="N332" s="19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191"/>
      <c r="H333" s="191"/>
      <c r="I333" s="191"/>
      <c r="J333" s="191"/>
      <c r="K333" s="191"/>
      <c r="L333" s="191"/>
      <c r="M333" s="191"/>
      <c r="N333" s="19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191"/>
      <c r="H334" s="191"/>
      <c r="I334" s="191"/>
      <c r="J334" s="191"/>
      <c r="K334" s="191"/>
      <c r="L334" s="191"/>
      <c r="M334" s="191"/>
      <c r="N334" s="19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191"/>
      <c r="H335" s="191"/>
      <c r="I335" s="191"/>
      <c r="J335" s="191"/>
      <c r="K335" s="191"/>
      <c r="L335" s="191"/>
      <c r="M335" s="191"/>
      <c r="N335" s="19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191"/>
      <c r="H336" s="191"/>
      <c r="I336" s="191"/>
      <c r="J336" s="191"/>
      <c r="K336" s="191"/>
      <c r="L336" s="191"/>
      <c r="M336" s="191"/>
      <c r="N336" s="19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191"/>
      <c r="H337" s="191"/>
      <c r="I337" s="191"/>
      <c r="J337" s="191"/>
      <c r="K337" s="191"/>
      <c r="L337" s="191"/>
      <c r="M337" s="191"/>
      <c r="N337" s="19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191"/>
      <c r="H338" s="191"/>
      <c r="I338" s="191"/>
      <c r="J338" s="191"/>
      <c r="K338" s="191"/>
      <c r="L338" s="191"/>
      <c r="M338" s="191"/>
      <c r="N338" s="19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191"/>
      <c r="H339" s="191"/>
      <c r="I339" s="191"/>
      <c r="J339" s="191"/>
      <c r="K339" s="191"/>
      <c r="L339" s="191"/>
      <c r="M339" s="191"/>
      <c r="N339" s="19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191"/>
      <c r="H340" s="191"/>
      <c r="I340" s="191"/>
      <c r="J340" s="191"/>
      <c r="K340" s="191"/>
      <c r="L340" s="191"/>
      <c r="M340" s="191"/>
      <c r="N340" s="19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191"/>
      <c r="H341" s="191"/>
      <c r="I341" s="191"/>
      <c r="J341" s="191"/>
      <c r="K341" s="191"/>
      <c r="L341" s="191"/>
      <c r="M341" s="191"/>
      <c r="N341" s="19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191"/>
      <c r="H342" s="191"/>
      <c r="I342" s="191"/>
      <c r="J342" s="191"/>
      <c r="K342" s="191"/>
      <c r="L342" s="191"/>
      <c r="M342" s="191"/>
      <c r="N342" s="19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191"/>
      <c r="H343" s="191"/>
      <c r="I343" s="191"/>
      <c r="J343" s="191"/>
      <c r="K343" s="191"/>
      <c r="L343" s="191"/>
      <c r="M343" s="191"/>
      <c r="N343" s="19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191"/>
      <c r="H344" s="191"/>
      <c r="I344" s="191"/>
      <c r="J344" s="191"/>
      <c r="K344" s="191"/>
      <c r="L344" s="191"/>
      <c r="M344" s="191"/>
      <c r="N344" s="19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191"/>
      <c r="H345" s="191"/>
      <c r="I345" s="191"/>
      <c r="J345" s="191"/>
      <c r="K345" s="191"/>
      <c r="L345" s="191"/>
      <c r="M345" s="191"/>
      <c r="N345" s="19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191"/>
      <c r="H346" s="191"/>
      <c r="I346" s="191"/>
      <c r="J346" s="191"/>
      <c r="K346" s="191"/>
      <c r="L346" s="191"/>
      <c r="M346" s="191"/>
      <c r="N346" s="19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191"/>
      <c r="H347" s="191"/>
      <c r="I347" s="191"/>
      <c r="J347" s="191"/>
      <c r="K347" s="191"/>
      <c r="L347" s="191"/>
      <c r="M347" s="191"/>
      <c r="N347" s="19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191"/>
      <c r="H348" s="191"/>
      <c r="I348" s="191"/>
      <c r="J348" s="191"/>
      <c r="K348" s="191"/>
      <c r="L348" s="191"/>
      <c r="M348" s="191"/>
      <c r="N348" s="19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191"/>
      <c r="H349" s="191"/>
      <c r="I349" s="191"/>
      <c r="J349" s="191"/>
      <c r="K349" s="191"/>
      <c r="L349" s="191"/>
      <c r="M349" s="191"/>
      <c r="N349" s="19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191"/>
      <c r="H350" s="191"/>
      <c r="I350" s="191"/>
      <c r="J350" s="191"/>
      <c r="K350" s="191"/>
      <c r="L350" s="191"/>
      <c r="M350" s="191"/>
      <c r="N350" s="19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191"/>
      <c r="H351" s="191"/>
      <c r="I351" s="191"/>
      <c r="J351" s="191"/>
      <c r="K351" s="191"/>
      <c r="L351" s="191"/>
      <c r="M351" s="191"/>
      <c r="N351" s="19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191"/>
      <c r="H352" s="191"/>
      <c r="I352" s="191"/>
      <c r="J352" s="191"/>
      <c r="K352" s="191"/>
      <c r="L352" s="191"/>
      <c r="M352" s="191"/>
      <c r="N352" s="19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191"/>
      <c r="H353" s="191"/>
      <c r="I353" s="191"/>
      <c r="J353" s="191"/>
      <c r="K353" s="191"/>
      <c r="L353" s="191"/>
      <c r="M353" s="191"/>
      <c r="N353" s="19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191"/>
      <c r="H354" s="191"/>
      <c r="I354" s="191"/>
      <c r="J354" s="191"/>
      <c r="K354" s="191"/>
      <c r="L354" s="191"/>
      <c r="M354" s="191"/>
      <c r="N354" s="19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191"/>
      <c r="H355" s="191"/>
      <c r="I355" s="191"/>
      <c r="J355" s="191"/>
      <c r="K355" s="191"/>
      <c r="L355" s="191"/>
      <c r="M355" s="191"/>
      <c r="N355" s="19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191"/>
      <c r="H356" s="191"/>
      <c r="I356" s="191"/>
      <c r="J356" s="191"/>
      <c r="K356" s="191"/>
      <c r="L356" s="191"/>
      <c r="M356" s="191"/>
      <c r="N356" s="19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191"/>
      <c r="H357" s="191"/>
      <c r="I357" s="191"/>
      <c r="J357" s="191"/>
      <c r="K357" s="191"/>
      <c r="L357" s="191"/>
      <c r="M357" s="191"/>
      <c r="N357" s="19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191"/>
      <c r="H358" s="191"/>
      <c r="I358" s="191"/>
      <c r="J358" s="191"/>
      <c r="K358" s="191"/>
      <c r="L358" s="191"/>
      <c r="M358" s="191"/>
      <c r="N358" s="19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191"/>
      <c r="H359" s="191"/>
      <c r="I359" s="191"/>
      <c r="J359" s="191"/>
      <c r="K359" s="191"/>
      <c r="L359" s="191"/>
      <c r="M359" s="191"/>
      <c r="N359" s="19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191"/>
      <c r="H360" s="191"/>
      <c r="I360" s="191"/>
      <c r="J360" s="191"/>
      <c r="K360" s="191"/>
      <c r="L360" s="191"/>
      <c r="M360" s="191"/>
      <c r="N360" s="19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191"/>
      <c r="H361" s="191"/>
      <c r="I361" s="191"/>
      <c r="J361" s="191"/>
      <c r="K361" s="191"/>
      <c r="L361" s="191"/>
      <c r="M361" s="191"/>
      <c r="N361" s="19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191"/>
      <c r="H362" s="191"/>
      <c r="I362" s="191"/>
      <c r="J362" s="191"/>
      <c r="K362" s="191"/>
      <c r="L362" s="191"/>
      <c r="M362" s="191"/>
      <c r="N362" s="19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191"/>
      <c r="H363" s="191"/>
      <c r="I363" s="191"/>
      <c r="J363" s="191"/>
      <c r="K363" s="191"/>
      <c r="L363" s="191"/>
      <c r="M363" s="191"/>
      <c r="N363" s="19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191"/>
      <c r="H364" s="191"/>
      <c r="I364" s="191"/>
      <c r="J364" s="191"/>
      <c r="K364" s="191"/>
      <c r="L364" s="191"/>
      <c r="M364" s="191"/>
      <c r="N364" s="19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191"/>
      <c r="H365" s="191"/>
      <c r="I365" s="191"/>
      <c r="J365" s="191"/>
      <c r="K365" s="191"/>
      <c r="L365" s="191"/>
      <c r="M365" s="191"/>
      <c r="N365" s="19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191"/>
      <c r="H366" s="191"/>
      <c r="I366" s="191"/>
      <c r="J366" s="191"/>
      <c r="K366" s="191"/>
      <c r="L366" s="191"/>
      <c r="M366" s="191"/>
      <c r="N366" s="19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191"/>
      <c r="H367" s="191"/>
      <c r="I367" s="191"/>
      <c r="J367" s="191"/>
      <c r="K367" s="191"/>
      <c r="L367" s="191"/>
      <c r="M367" s="191"/>
      <c r="N367" s="19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191"/>
      <c r="H368" s="191"/>
      <c r="I368" s="191"/>
      <c r="J368" s="191"/>
      <c r="K368" s="191"/>
      <c r="L368" s="191"/>
      <c r="M368" s="191"/>
      <c r="N368" s="19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191"/>
      <c r="H369" s="191"/>
      <c r="I369" s="191"/>
      <c r="J369" s="191"/>
      <c r="K369" s="191"/>
      <c r="L369" s="191"/>
      <c r="M369" s="191"/>
      <c r="N369" s="19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191"/>
      <c r="H370" s="191"/>
      <c r="I370" s="191"/>
      <c r="J370" s="191"/>
      <c r="K370" s="191"/>
      <c r="L370" s="191"/>
      <c r="M370" s="191"/>
      <c r="N370" s="19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191"/>
      <c r="H371" s="191"/>
      <c r="I371" s="191"/>
      <c r="J371" s="191"/>
      <c r="K371" s="191"/>
      <c r="L371" s="191"/>
      <c r="M371" s="191"/>
      <c r="N371" s="19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191"/>
      <c r="H372" s="191"/>
      <c r="I372" s="191"/>
      <c r="J372" s="191"/>
      <c r="K372" s="191"/>
      <c r="L372" s="191"/>
      <c r="M372" s="191"/>
      <c r="N372" s="19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191"/>
      <c r="H373" s="191"/>
      <c r="I373" s="191"/>
      <c r="J373" s="191"/>
      <c r="K373" s="191"/>
      <c r="L373" s="191"/>
      <c r="M373" s="191"/>
      <c r="N373" s="19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191"/>
      <c r="H374" s="191"/>
      <c r="I374" s="191"/>
      <c r="J374" s="191"/>
      <c r="K374" s="191"/>
      <c r="L374" s="191"/>
      <c r="M374" s="191"/>
      <c r="N374" s="19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191"/>
      <c r="H375" s="191"/>
      <c r="I375" s="191"/>
      <c r="J375" s="191"/>
      <c r="K375" s="191"/>
      <c r="L375" s="191"/>
      <c r="M375" s="191"/>
      <c r="N375" s="19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191"/>
      <c r="H376" s="191"/>
      <c r="I376" s="191"/>
      <c r="J376" s="191"/>
      <c r="K376" s="191"/>
      <c r="L376" s="191"/>
      <c r="M376" s="191"/>
      <c r="N376" s="19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191"/>
      <c r="H377" s="191"/>
      <c r="I377" s="191"/>
      <c r="J377" s="191"/>
      <c r="K377" s="191"/>
      <c r="L377" s="191"/>
      <c r="M377" s="191"/>
      <c r="N377" s="19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191"/>
      <c r="H378" s="191"/>
      <c r="I378" s="191"/>
      <c r="J378" s="191"/>
      <c r="K378" s="191"/>
      <c r="L378" s="191"/>
      <c r="M378" s="191"/>
      <c r="N378" s="19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191"/>
      <c r="H379" s="191"/>
      <c r="I379" s="191"/>
      <c r="J379" s="191"/>
      <c r="K379" s="191"/>
      <c r="L379" s="191"/>
      <c r="M379" s="191"/>
      <c r="N379" s="19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191"/>
      <c r="H380" s="191"/>
      <c r="I380" s="191"/>
      <c r="J380" s="191"/>
      <c r="K380" s="191"/>
      <c r="L380" s="191"/>
      <c r="M380" s="191"/>
      <c r="N380" s="19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191"/>
      <c r="H381" s="191"/>
      <c r="I381" s="191"/>
      <c r="J381" s="191"/>
      <c r="K381" s="191"/>
      <c r="L381" s="191"/>
      <c r="M381" s="191"/>
      <c r="N381" s="19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191"/>
      <c r="H382" s="191"/>
      <c r="I382" s="191"/>
      <c r="J382" s="191"/>
      <c r="K382" s="191"/>
      <c r="L382" s="191"/>
      <c r="M382" s="191"/>
      <c r="N382" s="19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191"/>
      <c r="H383" s="191"/>
      <c r="I383" s="191"/>
      <c r="J383" s="191"/>
      <c r="K383" s="191"/>
      <c r="L383" s="191"/>
      <c r="M383" s="191"/>
      <c r="N383" s="19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191"/>
      <c r="H384" s="191"/>
      <c r="I384" s="191"/>
      <c r="J384" s="191"/>
      <c r="K384" s="191"/>
      <c r="L384" s="191"/>
      <c r="M384" s="191"/>
      <c r="N384" s="19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191"/>
      <c r="H385" s="191"/>
      <c r="I385" s="191"/>
      <c r="J385" s="191"/>
      <c r="K385" s="191"/>
      <c r="L385" s="191"/>
      <c r="M385" s="191"/>
      <c r="N385" s="19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191"/>
      <c r="H386" s="191"/>
      <c r="I386" s="191"/>
      <c r="J386" s="191"/>
      <c r="K386" s="191"/>
      <c r="L386" s="191"/>
      <c r="M386" s="191"/>
      <c r="N386" s="19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191"/>
      <c r="H387" s="191"/>
      <c r="I387" s="191"/>
      <c r="J387" s="191"/>
      <c r="K387" s="191"/>
      <c r="L387" s="191"/>
      <c r="M387" s="191"/>
      <c r="N387" s="19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191"/>
      <c r="H388" s="191"/>
      <c r="I388" s="191"/>
      <c r="J388" s="191"/>
      <c r="K388" s="191"/>
      <c r="L388" s="191"/>
      <c r="M388" s="191"/>
      <c r="N388" s="19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191"/>
      <c r="H389" s="191"/>
      <c r="I389" s="191"/>
      <c r="J389" s="191"/>
      <c r="K389" s="191"/>
      <c r="L389" s="191"/>
      <c r="M389" s="191"/>
      <c r="N389" s="19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191"/>
      <c r="H390" s="191"/>
      <c r="I390" s="191"/>
      <c r="J390" s="191"/>
      <c r="K390" s="191"/>
      <c r="L390" s="191"/>
      <c r="M390" s="191"/>
      <c r="N390" s="19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191"/>
      <c r="H391" s="191"/>
      <c r="I391" s="191"/>
      <c r="J391" s="191"/>
      <c r="K391" s="191"/>
      <c r="L391" s="191"/>
      <c r="M391" s="191"/>
      <c r="N391" s="19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191"/>
      <c r="H392" s="191"/>
      <c r="I392" s="191"/>
      <c r="J392" s="191"/>
      <c r="K392" s="191"/>
      <c r="L392" s="191"/>
      <c r="M392" s="191"/>
      <c r="N392" s="19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191"/>
      <c r="H393" s="191"/>
      <c r="I393" s="191"/>
      <c r="J393" s="191"/>
      <c r="K393" s="191"/>
      <c r="L393" s="191"/>
      <c r="M393" s="191"/>
      <c r="N393" s="19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191"/>
      <c r="H394" s="191"/>
      <c r="I394" s="191"/>
      <c r="J394" s="191"/>
      <c r="K394" s="191"/>
      <c r="L394" s="191"/>
      <c r="M394" s="191"/>
      <c r="N394" s="19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191"/>
      <c r="H395" s="191"/>
      <c r="I395" s="191"/>
      <c r="J395" s="191"/>
      <c r="K395" s="191"/>
      <c r="L395" s="191"/>
      <c r="M395" s="191"/>
      <c r="N395" s="19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191"/>
      <c r="H396" s="191"/>
      <c r="I396" s="191"/>
      <c r="J396" s="191"/>
      <c r="K396" s="191"/>
      <c r="L396" s="191"/>
      <c r="M396" s="191"/>
      <c r="N396" s="19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191"/>
      <c r="H397" s="191"/>
      <c r="I397" s="191"/>
      <c r="J397" s="191"/>
      <c r="K397" s="191"/>
      <c r="L397" s="191"/>
      <c r="M397" s="191"/>
      <c r="N397" s="19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191"/>
      <c r="H398" s="191"/>
      <c r="I398" s="191"/>
      <c r="J398" s="191"/>
      <c r="K398" s="191"/>
      <c r="L398" s="191"/>
      <c r="M398" s="191"/>
      <c r="N398" s="19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191"/>
      <c r="H399" s="191"/>
      <c r="I399" s="191"/>
      <c r="J399" s="191"/>
      <c r="K399" s="191"/>
      <c r="L399" s="191"/>
      <c r="M399" s="191"/>
      <c r="N399" s="19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191"/>
      <c r="H400" s="191"/>
      <c r="I400" s="191"/>
      <c r="J400" s="191"/>
      <c r="K400" s="191"/>
      <c r="L400" s="191"/>
      <c r="M400" s="191"/>
      <c r="N400" s="19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191"/>
      <c r="H401" s="191"/>
      <c r="I401" s="191"/>
      <c r="J401" s="191"/>
      <c r="K401" s="191"/>
      <c r="L401" s="191"/>
      <c r="M401" s="191"/>
      <c r="N401" s="19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191"/>
      <c r="H402" s="191"/>
      <c r="I402" s="191"/>
      <c r="J402" s="191"/>
      <c r="K402" s="191"/>
      <c r="L402" s="191"/>
      <c r="M402" s="191"/>
      <c r="N402" s="19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191"/>
      <c r="H403" s="191"/>
      <c r="I403" s="191"/>
      <c r="J403" s="191"/>
      <c r="K403" s="191"/>
      <c r="L403" s="191"/>
      <c r="M403" s="191"/>
      <c r="N403" s="19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191"/>
      <c r="H404" s="191"/>
      <c r="I404" s="191"/>
      <c r="J404" s="191"/>
      <c r="K404" s="191"/>
      <c r="L404" s="191"/>
      <c r="M404" s="191"/>
      <c r="N404" s="19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191"/>
      <c r="H405" s="191"/>
      <c r="I405" s="191"/>
      <c r="J405" s="191"/>
      <c r="K405" s="191"/>
      <c r="L405" s="191"/>
      <c r="M405" s="191"/>
      <c r="N405" s="19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191"/>
      <c r="H406" s="191"/>
      <c r="I406" s="191"/>
      <c r="J406" s="191"/>
      <c r="K406" s="191"/>
      <c r="L406" s="191"/>
      <c r="M406" s="191"/>
      <c r="N406" s="19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191"/>
      <c r="H407" s="191"/>
      <c r="I407" s="191"/>
      <c r="J407" s="191"/>
      <c r="K407" s="191"/>
      <c r="L407" s="191"/>
      <c r="M407" s="191"/>
      <c r="N407" s="19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191"/>
      <c r="H408" s="191"/>
      <c r="I408" s="191"/>
      <c r="J408" s="191"/>
      <c r="K408" s="191"/>
      <c r="L408" s="191"/>
      <c r="M408" s="191"/>
      <c r="N408" s="19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191"/>
      <c r="H409" s="191"/>
      <c r="I409" s="191"/>
      <c r="J409" s="191"/>
      <c r="K409" s="191"/>
      <c r="L409" s="191"/>
      <c r="M409" s="191"/>
      <c r="N409" s="19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191"/>
      <c r="H410" s="191"/>
      <c r="I410" s="191"/>
      <c r="J410" s="191"/>
      <c r="K410" s="191"/>
      <c r="L410" s="191"/>
      <c r="M410" s="191"/>
      <c r="N410" s="19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191"/>
      <c r="H411" s="191"/>
      <c r="I411" s="191"/>
      <c r="J411" s="191"/>
      <c r="K411" s="191"/>
      <c r="L411" s="191"/>
      <c r="M411" s="191"/>
      <c r="N411" s="19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191"/>
      <c r="H412" s="191"/>
      <c r="I412" s="191"/>
      <c r="J412" s="191"/>
      <c r="K412" s="191"/>
      <c r="L412" s="191"/>
      <c r="M412" s="191"/>
      <c r="N412" s="19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191"/>
      <c r="H413" s="191"/>
      <c r="I413" s="191"/>
      <c r="J413" s="191"/>
      <c r="K413" s="191"/>
      <c r="L413" s="191"/>
      <c r="M413" s="191"/>
      <c r="N413" s="19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191"/>
      <c r="H414" s="191"/>
      <c r="I414" s="191"/>
      <c r="J414" s="191"/>
      <c r="K414" s="191"/>
      <c r="L414" s="191"/>
      <c r="M414" s="191"/>
      <c r="N414" s="19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191"/>
      <c r="H415" s="191"/>
      <c r="I415" s="191"/>
      <c r="J415" s="191"/>
      <c r="K415" s="191"/>
      <c r="L415" s="191"/>
      <c r="M415" s="191"/>
      <c r="N415" s="19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191"/>
      <c r="H416" s="191"/>
      <c r="I416" s="191"/>
      <c r="J416" s="191"/>
      <c r="K416" s="191"/>
      <c r="L416" s="191"/>
      <c r="M416" s="191"/>
      <c r="N416" s="19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191"/>
      <c r="H417" s="191"/>
      <c r="I417" s="191"/>
      <c r="J417" s="191"/>
      <c r="K417" s="191"/>
      <c r="L417" s="191"/>
      <c r="M417" s="191"/>
      <c r="N417" s="19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191"/>
      <c r="H418" s="191"/>
      <c r="I418" s="191"/>
      <c r="J418" s="191"/>
      <c r="K418" s="191"/>
      <c r="L418" s="191"/>
      <c r="M418" s="191"/>
      <c r="N418" s="19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191"/>
      <c r="H419" s="191"/>
      <c r="I419" s="191"/>
      <c r="J419" s="191"/>
      <c r="K419" s="191"/>
      <c r="L419" s="191"/>
      <c r="M419" s="191"/>
      <c r="N419" s="19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191"/>
      <c r="H420" s="191"/>
      <c r="I420" s="191"/>
      <c r="J420" s="191"/>
      <c r="K420" s="191"/>
      <c r="L420" s="191"/>
      <c r="M420" s="191"/>
      <c r="N420" s="19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191"/>
      <c r="H421" s="191"/>
      <c r="I421" s="191"/>
      <c r="J421" s="191"/>
      <c r="K421" s="191"/>
      <c r="L421" s="191"/>
      <c r="M421" s="191"/>
      <c r="N421" s="19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191"/>
      <c r="H422" s="191"/>
      <c r="I422" s="191"/>
      <c r="J422" s="191"/>
      <c r="K422" s="191"/>
      <c r="L422" s="191"/>
      <c r="M422" s="191"/>
      <c r="N422" s="19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191"/>
      <c r="H423" s="191"/>
      <c r="I423" s="191"/>
      <c r="J423" s="191"/>
      <c r="K423" s="191"/>
      <c r="L423" s="191"/>
      <c r="M423" s="191"/>
      <c r="N423" s="19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191"/>
      <c r="H424" s="191"/>
      <c r="I424" s="191"/>
      <c r="J424" s="191"/>
      <c r="K424" s="191"/>
      <c r="L424" s="191"/>
      <c r="M424" s="191"/>
      <c r="N424" s="19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191"/>
      <c r="H425" s="191"/>
      <c r="I425" s="191"/>
      <c r="J425" s="191"/>
      <c r="K425" s="191"/>
      <c r="L425" s="191"/>
      <c r="M425" s="191"/>
      <c r="N425" s="19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191"/>
      <c r="H426" s="191"/>
      <c r="I426" s="191"/>
      <c r="J426" s="191"/>
      <c r="K426" s="191"/>
      <c r="L426" s="191"/>
      <c r="M426" s="191"/>
      <c r="N426" s="19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191"/>
      <c r="H427" s="191"/>
      <c r="I427" s="191"/>
      <c r="J427" s="191"/>
      <c r="K427" s="191"/>
      <c r="L427" s="191"/>
      <c r="M427" s="191"/>
      <c r="N427" s="19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191"/>
      <c r="H428" s="191"/>
      <c r="I428" s="191"/>
      <c r="J428" s="191"/>
      <c r="K428" s="191"/>
      <c r="L428" s="191"/>
      <c r="M428" s="191"/>
      <c r="N428" s="19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191"/>
      <c r="H429" s="191"/>
      <c r="I429" s="191"/>
      <c r="J429" s="191"/>
      <c r="K429" s="191"/>
      <c r="L429" s="191"/>
      <c r="M429" s="191"/>
      <c r="N429" s="19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191"/>
      <c r="H430" s="191"/>
      <c r="I430" s="191"/>
      <c r="J430" s="191"/>
      <c r="K430" s="191"/>
      <c r="L430" s="191"/>
      <c r="M430" s="191"/>
      <c r="N430" s="19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191"/>
      <c r="H431" s="191"/>
      <c r="I431" s="191"/>
      <c r="J431" s="191"/>
      <c r="K431" s="191"/>
      <c r="L431" s="191"/>
      <c r="M431" s="191"/>
      <c r="N431" s="19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191"/>
      <c r="H432" s="191"/>
      <c r="I432" s="191"/>
      <c r="J432" s="191"/>
      <c r="K432" s="191"/>
      <c r="L432" s="191"/>
      <c r="M432" s="191"/>
      <c r="N432" s="19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191"/>
      <c r="H433" s="191"/>
      <c r="I433" s="191"/>
      <c r="J433" s="191"/>
      <c r="K433" s="191"/>
      <c r="L433" s="191"/>
      <c r="M433" s="191"/>
      <c r="N433" s="19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191"/>
      <c r="H434" s="191"/>
      <c r="I434" s="191"/>
      <c r="J434" s="191"/>
      <c r="K434" s="191"/>
      <c r="L434" s="191"/>
      <c r="M434" s="191"/>
      <c r="N434" s="19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191"/>
      <c r="H435" s="191"/>
      <c r="I435" s="191"/>
      <c r="J435" s="191"/>
      <c r="K435" s="191"/>
      <c r="L435" s="191"/>
      <c r="M435" s="191"/>
      <c r="N435" s="19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191"/>
      <c r="H436" s="191"/>
      <c r="I436" s="191"/>
      <c r="J436" s="191"/>
      <c r="K436" s="191"/>
      <c r="L436" s="191"/>
      <c r="M436" s="191"/>
      <c r="N436" s="19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191"/>
      <c r="H437" s="191"/>
      <c r="I437" s="191"/>
      <c r="J437" s="191"/>
      <c r="K437" s="191"/>
      <c r="L437" s="191"/>
      <c r="M437" s="191"/>
      <c r="N437" s="19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191"/>
      <c r="H438" s="191"/>
      <c r="I438" s="191"/>
      <c r="J438" s="191"/>
      <c r="K438" s="191"/>
      <c r="L438" s="191"/>
      <c r="M438" s="191"/>
      <c r="N438" s="19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191"/>
      <c r="H439" s="191"/>
      <c r="I439" s="191"/>
      <c r="J439" s="191"/>
      <c r="K439" s="191"/>
      <c r="L439" s="191"/>
      <c r="M439" s="191"/>
      <c r="N439" s="19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191"/>
      <c r="H440" s="191"/>
      <c r="I440" s="191"/>
      <c r="J440" s="191"/>
      <c r="K440" s="191"/>
      <c r="L440" s="191"/>
      <c r="M440" s="191"/>
      <c r="N440" s="19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191"/>
      <c r="H441" s="191"/>
      <c r="I441" s="191"/>
      <c r="J441" s="191"/>
      <c r="K441" s="191"/>
      <c r="L441" s="191"/>
      <c r="M441" s="191"/>
      <c r="N441" s="19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191"/>
      <c r="H442" s="191"/>
      <c r="I442" s="191"/>
      <c r="J442" s="191"/>
      <c r="K442" s="191"/>
      <c r="L442" s="191"/>
      <c r="M442" s="191"/>
      <c r="N442" s="19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191"/>
      <c r="H443" s="191"/>
      <c r="I443" s="191"/>
      <c r="J443" s="191"/>
      <c r="K443" s="191"/>
      <c r="L443" s="191"/>
      <c r="M443" s="191"/>
      <c r="N443" s="19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191"/>
      <c r="H444" s="191"/>
      <c r="I444" s="191"/>
      <c r="J444" s="191"/>
      <c r="K444" s="191"/>
      <c r="L444" s="191"/>
      <c r="M444" s="191"/>
      <c r="N444" s="19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191"/>
      <c r="H445" s="191"/>
      <c r="I445" s="191"/>
      <c r="J445" s="191"/>
      <c r="K445" s="191"/>
      <c r="L445" s="191"/>
      <c r="M445" s="191"/>
      <c r="N445" s="19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191"/>
      <c r="H446" s="191"/>
      <c r="I446" s="191"/>
      <c r="J446" s="191"/>
      <c r="K446" s="191"/>
      <c r="L446" s="191"/>
      <c r="M446" s="191"/>
      <c r="N446" s="19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191"/>
      <c r="H447" s="191"/>
      <c r="I447" s="191"/>
      <c r="J447" s="191"/>
      <c r="K447" s="191"/>
      <c r="L447" s="191"/>
      <c r="M447" s="191"/>
      <c r="N447" s="19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191"/>
      <c r="H448" s="191"/>
      <c r="I448" s="191"/>
      <c r="J448" s="191"/>
      <c r="K448" s="191"/>
      <c r="L448" s="191"/>
      <c r="M448" s="191"/>
      <c r="N448" s="19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191"/>
      <c r="H449" s="191"/>
      <c r="I449" s="191"/>
      <c r="J449" s="191"/>
      <c r="K449" s="191"/>
      <c r="L449" s="191"/>
      <c r="M449" s="191"/>
      <c r="N449" s="19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191"/>
      <c r="H450" s="191"/>
      <c r="I450" s="191"/>
      <c r="J450" s="191"/>
      <c r="K450" s="191"/>
      <c r="L450" s="191"/>
      <c r="M450" s="191"/>
      <c r="N450" s="19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191"/>
      <c r="H451" s="191"/>
      <c r="I451" s="191"/>
      <c r="J451" s="191"/>
      <c r="K451" s="191"/>
      <c r="L451" s="191"/>
      <c r="M451" s="191"/>
      <c r="N451" s="19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191"/>
      <c r="H452" s="191"/>
      <c r="I452" s="191"/>
      <c r="J452" s="191"/>
      <c r="K452" s="191"/>
      <c r="L452" s="191"/>
      <c r="M452" s="191"/>
      <c r="N452" s="19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191"/>
      <c r="H453" s="191"/>
      <c r="I453" s="191"/>
      <c r="J453" s="191"/>
      <c r="K453" s="191"/>
      <c r="L453" s="191"/>
      <c r="M453" s="191"/>
      <c r="N453" s="19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191"/>
      <c r="H454" s="191"/>
      <c r="I454" s="191"/>
      <c r="J454" s="191"/>
      <c r="K454" s="191"/>
      <c r="L454" s="191"/>
      <c r="M454" s="191"/>
      <c r="N454" s="19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191"/>
      <c r="H455" s="191"/>
      <c r="I455" s="191"/>
      <c r="J455" s="191"/>
      <c r="K455" s="191"/>
      <c r="L455" s="191"/>
      <c r="M455" s="191"/>
      <c r="N455" s="19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191"/>
      <c r="H456" s="191"/>
      <c r="I456" s="191"/>
      <c r="J456" s="191"/>
      <c r="K456" s="191"/>
      <c r="L456" s="191"/>
      <c r="M456" s="191"/>
      <c r="N456" s="19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191"/>
      <c r="H457" s="191"/>
      <c r="I457" s="191"/>
      <c r="J457" s="191"/>
      <c r="K457" s="191"/>
      <c r="L457" s="191"/>
      <c r="M457" s="191"/>
      <c r="N457" s="19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191"/>
      <c r="H458" s="191"/>
      <c r="I458" s="191"/>
      <c r="J458" s="191"/>
      <c r="K458" s="191"/>
      <c r="L458" s="191"/>
      <c r="M458" s="191"/>
      <c r="N458" s="19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191"/>
      <c r="H459" s="191"/>
      <c r="I459" s="191"/>
      <c r="J459" s="191"/>
      <c r="K459" s="191"/>
      <c r="L459" s="191"/>
      <c r="M459" s="191"/>
      <c r="N459" s="19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191"/>
      <c r="H460" s="191"/>
      <c r="I460" s="191"/>
      <c r="J460" s="191"/>
      <c r="K460" s="191"/>
      <c r="L460" s="191"/>
      <c r="M460" s="191"/>
      <c r="N460" s="19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191"/>
      <c r="H461" s="191"/>
      <c r="I461" s="191"/>
      <c r="J461" s="191"/>
      <c r="K461" s="191"/>
      <c r="L461" s="191"/>
      <c r="M461" s="191"/>
      <c r="N461" s="19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191"/>
      <c r="H462" s="191"/>
      <c r="I462" s="191"/>
      <c r="J462" s="191"/>
      <c r="K462" s="191"/>
      <c r="L462" s="191"/>
      <c r="M462" s="191"/>
      <c r="N462" s="19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191"/>
      <c r="H463" s="191"/>
      <c r="I463" s="191"/>
      <c r="J463" s="191"/>
      <c r="K463" s="191"/>
      <c r="L463" s="191"/>
      <c r="M463" s="191"/>
      <c r="N463" s="19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191"/>
      <c r="H464" s="191"/>
      <c r="I464" s="191"/>
      <c r="J464" s="191"/>
      <c r="K464" s="191"/>
      <c r="L464" s="191"/>
      <c r="M464" s="191"/>
      <c r="N464" s="19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191"/>
      <c r="H465" s="191"/>
      <c r="I465" s="191"/>
      <c r="J465" s="191"/>
      <c r="K465" s="191"/>
      <c r="L465" s="191"/>
      <c r="M465" s="191"/>
      <c r="N465" s="19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191"/>
      <c r="H466" s="191"/>
      <c r="I466" s="191"/>
      <c r="J466" s="191"/>
      <c r="K466" s="191"/>
      <c r="L466" s="191"/>
      <c r="M466" s="191"/>
      <c r="N466" s="19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191"/>
      <c r="H467" s="191"/>
      <c r="I467" s="191"/>
      <c r="J467" s="191"/>
      <c r="K467" s="191"/>
      <c r="L467" s="191"/>
      <c r="M467" s="191"/>
      <c r="N467" s="19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191"/>
      <c r="H468" s="191"/>
      <c r="I468" s="191"/>
      <c r="J468" s="191"/>
      <c r="K468" s="191"/>
      <c r="L468" s="191"/>
      <c r="M468" s="191"/>
      <c r="N468" s="19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191"/>
      <c r="H469" s="191"/>
      <c r="I469" s="191"/>
      <c r="J469" s="191"/>
      <c r="K469" s="191"/>
      <c r="L469" s="191"/>
      <c r="M469" s="191"/>
      <c r="N469" s="19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191"/>
      <c r="H470" s="191"/>
      <c r="I470" s="191"/>
      <c r="J470" s="191"/>
      <c r="K470" s="191"/>
      <c r="L470" s="191"/>
      <c r="M470" s="191"/>
      <c r="N470" s="19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191"/>
      <c r="H471" s="191"/>
      <c r="I471" s="191"/>
      <c r="J471" s="191"/>
      <c r="K471" s="191"/>
      <c r="L471" s="191"/>
      <c r="M471" s="191"/>
      <c r="N471" s="19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191"/>
      <c r="H472" s="191"/>
      <c r="I472" s="191"/>
      <c r="J472" s="191"/>
      <c r="K472" s="191"/>
      <c r="L472" s="191"/>
      <c r="M472" s="191"/>
      <c r="N472" s="19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191"/>
      <c r="H473" s="191"/>
      <c r="I473" s="191"/>
      <c r="J473" s="191"/>
      <c r="K473" s="191"/>
      <c r="L473" s="191"/>
      <c r="M473" s="191"/>
      <c r="N473" s="19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191"/>
      <c r="H474" s="191"/>
      <c r="I474" s="191"/>
      <c r="J474" s="191"/>
      <c r="K474" s="191"/>
      <c r="L474" s="191"/>
      <c r="M474" s="191"/>
      <c r="N474" s="19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191"/>
      <c r="H475" s="191"/>
      <c r="I475" s="191"/>
      <c r="J475" s="191"/>
      <c r="K475" s="191"/>
      <c r="L475" s="191"/>
      <c r="M475" s="191"/>
      <c r="N475" s="19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191"/>
      <c r="H476" s="191"/>
      <c r="I476" s="191"/>
      <c r="J476" s="191"/>
      <c r="K476" s="191"/>
      <c r="L476" s="191"/>
      <c r="M476" s="191"/>
      <c r="N476" s="19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191"/>
      <c r="H477" s="191"/>
      <c r="I477" s="191"/>
      <c r="J477" s="191"/>
      <c r="K477" s="191"/>
      <c r="L477" s="191"/>
      <c r="M477" s="191"/>
      <c r="N477" s="19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191"/>
      <c r="H478" s="191"/>
      <c r="I478" s="191"/>
      <c r="J478" s="191"/>
      <c r="K478" s="191"/>
      <c r="L478" s="191"/>
      <c r="M478" s="191"/>
      <c r="N478" s="19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191"/>
      <c r="H479" s="191"/>
      <c r="I479" s="191"/>
      <c r="J479" s="191"/>
      <c r="K479" s="191"/>
      <c r="L479" s="191"/>
      <c r="M479" s="191"/>
      <c r="N479" s="19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191"/>
      <c r="H480" s="191"/>
      <c r="I480" s="191"/>
      <c r="J480" s="191"/>
      <c r="K480" s="191"/>
      <c r="L480" s="191"/>
      <c r="M480" s="191"/>
      <c r="N480" s="19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191"/>
      <c r="H481" s="191"/>
      <c r="I481" s="191"/>
      <c r="J481" s="191"/>
      <c r="K481" s="191"/>
      <c r="L481" s="191"/>
      <c r="M481" s="191"/>
      <c r="N481" s="19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191"/>
      <c r="H482" s="191"/>
      <c r="I482" s="191"/>
      <c r="J482" s="191"/>
      <c r="K482" s="191"/>
      <c r="L482" s="191"/>
      <c r="M482" s="191"/>
      <c r="N482" s="19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191"/>
      <c r="H483" s="191"/>
      <c r="I483" s="191"/>
      <c r="J483" s="191"/>
      <c r="K483" s="191"/>
      <c r="L483" s="191"/>
      <c r="M483" s="191"/>
      <c r="N483" s="19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191"/>
      <c r="H484" s="191"/>
      <c r="I484" s="191"/>
      <c r="J484" s="191"/>
      <c r="K484" s="191"/>
      <c r="L484" s="191"/>
      <c r="M484" s="191"/>
      <c r="N484" s="19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191"/>
      <c r="H485" s="191"/>
      <c r="I485" s="191"/>
      <c r="J485" s="191"/>
      <c r="K485" s="191"/>
      <c r="L485" s="191"/>
      <c r="M485" s="191"/>
      <c r="N485" s="19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191"/>
      <c r="H486" s="191"/>
      <c r="I486" s="191"/>
      <c r="J486" s="191"/>
      <c r="K486" s="191"/>
      <c r="L486" s="191"/>
      <c r="M486" s="191"/>
      <c r="N486" s="19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191"/>
      <c r="H487" s="191"/>
      <c r="I487" s="191"/>
      <c r="J487" s="191"/>
      <c r="K487" s="191"/>
      <c r="L487" s="191"/>
      <c r="M487" s="191"/>
      <c r="N487" s="19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191"/>
      <c r="H488" s="191"/>
      <c r="I488" s="191"/>
      <c r="J488" s="191"/>
      <c r="K488" s="191"/>
      <c r="L488" s="191"/>
      <c r="M488" s="191"/>
      <c r="N488" s="19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191"/>
      <c r="H489" s="191"/>
      <c r="I489" s="191"/>
      <c r="J489" s="191"/>
      <c r="K489" s="191"/>
      <c r="L489" s="191"/>
      <c r="M489" s="191"/>
      <c r="N489" s="19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191"/>
      <c r="H490" s="191"/>
      <c r="I490" s="191"/>
      <c r="J490" s="191"/>
      <c r="K490" s="191"/>
      <c r="L490" s="191"/>
      <c r="M490" s="191"/>
      <c r="N490" s="19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191"/>
      <c r="H491" s="191"/>
      <c r="I491" s="191"/>
      <c r="J491" s="191"/>
      <c r="K491" s="191"/>
      <c r="L491" s="191"/>
      <c r="M491" s="191"/>
      <c r="N491" s="19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191"/>
      <c r="H492" s="191"/>
      <c r="I492" s="191"/>
      <c r="J492" s="191"/>
      <c r="K492" s="191"/>
      <c r="L492" s="191"/>
      <c r="M492" s="191"/>
      <c r="N492" s="19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191"/>
      <c r="H493" s="191"/>
      <c r="I493" s="191"/>
      <c r="J493" s="191"/>
      <c r="K493" s="191"/>
      <c r="L493" s="191"/>
      <c r="M493" s="191"/>
      <c r="N493" s="19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191"/>
      <c r="H494" s="191"/>
      <c r="I494" s="191"/>
      <c r="J494" s="191"/>
      <c r="K494" s="191"/>
      <c r="L494" s="191"/>
      <c r="M494" s="191"/>
      <c r="N494" s="19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191"/>
      <c r="H495" s="191"/>
      <c r="I495" s="191"/>
      <c r="J495" s="191"/>
      <c r="K495" s="191"/>
      <c r="L495" s="191"/>
      <c r="M495" s="191"/>
      <c r="N495" s="19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191"/>
      <c r="H496" s="191"/>
      <c r="I496" s="191"/>
      <c r="J496" s="191"/>
      <c r="K496" s="191"/>
      <c r="L496" s="191"/>
      <c r="M496" s="191"/>
      <c r="N496" s="19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191"/>
      <c r="H497" s="191"/>
      <c r="I497" s="191"/>
      <c r="J497" s="191"/>
      <c r="K497" s="191"/>
      <c r="L497" s="191"/>
      <c r="M497" s="191"/>
      <c r="N497" s="19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191"/>
      <c r="H498" s="191"/>
      <c r="I498" s="191"/>
      <c r="J498" s="191"/>
      <c r="K498" s="191"/>
      <c r="L498" s="191"/>
      <c r="M498" s="191"/>
      <c r="N498" s="19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191"/>
      <c r="H499" s="191"/>
      <c r="I499" s="191"/>
      <c r="J499" s="191"/>
      <c r="K499" s="191"/>
      <c r="L499" s="191"/>
      <c r="M499" s="191"/>
      <c r="N499" s="19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191"/>
      <c r="H500" s="191"/>
      <c r="I500" s="191"/>
      <c r="J500" s="191"/>
      <c r="K500" s="191"/>
      <c r="L500" s="191"/>
      <c r="M500" s="191"/>
      <c r="N500" s="19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191"/>
      <c r="H501" s="191"/>
      <c r="I501" s="191"/>
      <c r="J501" s="191"/>
      <c r="K501" s="191"/>
      <c r="L501" s="191"/>
      <c r="M501" s="191"/>
      <c r="N501" s="19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191"/>
      <c r="H502" s="191"/>
      <c r="I502" s="191"/>
      <c r="J502" s="191"/>
      <c r="K502" s="191"/>
      <c r="L502" s="191"/>
      <c r="M502" s="191"/>
      <c r="N502" s="19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191"/>
      <c r="H503" s="191"/>
      <c r="I503" s="191"/>
      <c r="J503" s="191"/>
      <c r="K503" s="191"/>
      <c r="L503" s="191"/>
      <c r="M503" s="191"/>
      <c r="N503" s="19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191"/>
      <c r="H504" s="191"/>
      <c r="I504" s="191"/>
      <c r="J504" s="191"/>
      <c r="K504" s="191"/>
      <c r="L504" s="191"/>
      <c r="M504" s="191"/>
      <c r="N504" s="19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191"/>
      <c r="H505" s="191"/>
      <c r="I505" s="191"/>
      <c r="J505" s="191"/>
      <c r="K505" s="191"/>
      <c r="L505" s="191"/>
      <c r="M505" s="191"/>
      <c r="N505" s="19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191"/>
      <c r="H506" s="191"/>
      <c r="I506" s="191"/>
      <c r="J506" s="191"/>
      <c r="K506" s="191"/>
      <c r="L506" s="191"/>
      <c r="M506" s="191"/>
      <c r="N506" s="19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191"/>
      <c r="H507" s="191"/>
      <c r="I507" s="191"/>
      <c r="J507" s="191"/>
      <c r="K507" s="191"/>
      <c r="L507" s="191"/>
      <c r="M507" s="191"/>
      <c r="N507" s="19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191"/>
      <c r="H508" s="191"/>
      <c r="I508" s="191"/>
      <c r="J508" s="191"/>
      <c r="K508" s="191"/>
      <c r="L508" s="191"/>
      <c r="M508" s="191"/>
      <c r="N508" s="19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191"/>
      <c r="H509" s="191"/>
      <c r="I509" s="191"/>
      <c r="J509" s="191"/>
      <c r="K509" s="191"/>
      <c r="L509" s="191"/>
      <c r="M509" s="191"/>
      <c r="N509" s="19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191"/>
      <c r="H510" s="191"/>
      <c r="I510" s="191"/>
      <c r="J510" s="191"/>
      <c r="K510" s="191"/>
      <c r="L510" s="191"/>
      <c r="M510" s="191"/>
      <c r="N510" s="19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191"/>
      <c r="H511" s="191"/>
      <c r="I511" s="191"/>
      <c r="J511" s="191"/>
      <c r="K511" s="191"/>
      <c r="L511" s="191"/>
      <c r="M511" s="191"/>
      <c r="N511" s="19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191"/>
      <c r="H512" s="191"/>
      <c r="I512" s="191"/>
      <c r="J512" s="191"/>
      <c r="K512" s="191"/>
      <c r="L512" s="191"/>
      <c r="M512" s="191"/>
      <c r="N512" s="19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191"/>
      <c r="H513" s="191"/>
      <c r="I513" s="191"/>
      <c r="J513" s="191"/>
      <c r="K513" s="191"/>
      <c r="L513" s="191"/>
      <c r="M513" s="191"/>
      <c r="N513" s="19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191"/>
      <c r="H514" s="191"/>
      <c r="I514" s="191"/>
      <c r="J514" s="191"/>
      <c r="K514" s="191"/>
      <c r="L514" s="191"/>
      <c r="M514" s="191"/>
      <c r="N514" s="19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191"/>
      <c r="H515" s="191"/>
      <c r="I515" s="191"/>
      <c r="J515" s="191"/>
      <c r="K515" s="191"/>
      <c r="L515" s="191"/>
      <c r="M515" s="191"/>
      <c r="N515" s="19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191"/>
      <c r="H516" s="191"/>
      <c r="I516" s="191"/>
      <c r="J516" s="191"/>
      <c r="K516" s="191"/>
      <c r="L516" s="191"/>
      <c r="M516" s="191"/>
      <c r="N516" s="19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191"/>
      <c r="H517" s="191"/>
      <c r="I517" s="191"/>
      <c r="J517" s="191"/>
      <c r="K517" s="191"/>
      <c r="L517" s="191"/>
      <c r="M517" s="191"/>
      <c r="N517" s="19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191"/>
      <c r="H518" s="191"/>
      <c r="I518" s="191"/>
      <c r="J518" s="191"/>
      <c r="K518" s="191"/>
      <c r="L518" s="191"/>
      <c r="M518" s="191"/>
      <c r="N518" s="19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191"/>
      <c r="H519" s="191"/>
      <c r="I519" s="191"/>
      <c r="J519" s="191"/>
      <c r="K519" s="191"/>
      <c r="L519" s="191"/>
      <c r="M519" s="191"/>
      <c r="N519" s="19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191"/>
      <c r="H520" s="191"/>
      <c r="I520" s="191"/>
      <c r="J520" s="191"/>
      <c r="K520" s="191"/>
      <c r="L520" s="191"/>
      <c r="M520" s="191"/>
      <c r="N520" s="19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191"/>
      <c r="H521" s="191"/>
      <c r="I521" s="191"/>
      <c r="J521" s="191"/>
      <c r="K521" s="191"/>
      <c r="L521" s="191"/>
      <c r="M521" s="191"/>
      <c r="N521" s="19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191"/>
      <c r="H522" s="191"/>
      <c r="I522" s="191"/>
      <c r="J522" s="191"/>
      <c r="K522" s="191"/>
      <c r="L522" s="191"/>
      <c r="M522" s="191"/>
      <c r="N522" s="19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191"/>
      <c r="H523" s="191"/>
      <c r="I523" s="191"/>
      <c r="J523" s="191"/>
      <c r="K523" s="191"/>
      <c r="L523" s="191"/>
      <c r="M523" s="191"/>
      <c r="N523" s="19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191"/>
      <c r="H524" s="191"/>
      <c r="I524" s="191"/>
      <c r="J524" s="191"/>
      <c r="K524" s="191"/>
      <c r="L524" s="191"/>
      <c r="M524" s="191"/>
      <c r="N524" s="19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191"/>
      <c r="H525" s="191"/>
      <c r="I525" s="191"/>
      <c r="J525" s="191"/>
      <c r="K525" s="191"/>
      <c r="L525" s="191"/>
      <c r="M525" s="191"/>
      <c r="N525" s="19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191"/>
      <c r="H526" s="191"/>
      <c r="I526" s="191"/>
      <c r="J526" s="191"/>
      <c r="K526" s="191"/>
      <c r="L526" s="191"/>
      <c r="M526" s="191"/>
      <c r="N526" s="19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191"/>
      <c r="H527" s="191"/>
      <c r="I527" s="191"/>
      <c r="J527" s="191"/>
      <c r="K527" s="191"/>
      <c r="L527" s="191"/>
      <c r="M527" s="191"/>
      <c r="N527" s="19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191"/>
      <c r="H528" s="191"/>
      <c r="I528" s="191"/>
      <c r="J528" s="191"/>
      <c r="K528" s="191"/>
      <c r="L528" s="191"/>
      <c r="M528" s="191"/>
      <c r="N528" s="19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191"/>
      <c r="H529" s="191"/>
      <c r="I529" s="191"/>
      <c r="J529" s="191"/>
      <c r="K529" s="191"/>
      <c r="L529" s="191"/>
      <c r="M529" s="191"/>
      <c r="N529" s="19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191"/>
      <c r="H530" s="191"/>
      <c r="I530" s="191"/>
      <c r="J530" s="191"/>
      <c r="K530" s="191"/>
      <c r="L530" s="191"/>
      <c r="M530" s="191"/>
      <c r="N530" s="19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191"/>
      <c r="H531" s="191"/>
      <c r="I531" s="191"/>
      <c r="J531" s="191"/>
      <c r="K531" s="191"/>
      <c r="L531" s="191"/>
      <c r="M531" s="191"/>
      <c r="N531" s="19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191"/>
      <c r="H532" s="191"/>
      <c r="I532" s="191"/>
      <c r="J532" s="191"/>
      <c r="K532" s="191"/>
      <c r="L532" s="191"/>
      <c r="M532" s="191"/>
      <c r="N532" s="19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191"/>
      <c r="H533" s="191"/>
      <c r="I533" s="191"/>
      <c r="J533" s="191"/>
      <c r="K533" s="191"/>
      <c r="L533" s="191"/>
      <c r="M533" s="191"/>
      <c r="N533" s="19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191"/>
      <c r="H534" s="191"/>
      <c r="I534" s="191"/>
      <c r="J534" s="191"/>
      <c r="K534" s="191"/>
      <c r="L534" s="191"/>
      <c r="M534" s="191"/>
      <c r="N534" s="19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191"/>
      <c r="H535" s="191"/>
      <c r="I535" s="191"/>
      <c r="J535" s="191"/>
      <c r="K535" s="191"/>
      <c r="L535" s="191"/>
      <c r="M535" s="191"/>
      <c r="N535" s="19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191"/>
      <c r="H536" s="191"/>
      <c r="I536" s="191"/>
      <c r="J536" s="191"/>
      <c r="K536" s="191"/>
      <c r="L536" s="191"/>
      <c r="M536" s="191"/>
      <c r="N536" s="19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191"/>
      <c r="H537" s="191"/>
      <c r="I537" s="191"/>
      <c r="J537" s="191"/>
      <c r="K537" s="191"/>
      <c r="L537" s="191"/>
      <c r="M537" s="191"/>
      <c r="N537" s="19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191"/>
      <c r="H538" s="191"/>
      <c r="I538" s="191"/>
      <c r="J538" s="191"/>
      <c r="K538" s="191"/>
      <c r="L538" s="191"/>
      <c r="M538" s="191"/>
      <c r="N538" s="19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191"/>
      <c r="H539" s="191"/>
      <c r="I539" s="191"/>
      <c r="J539" s="191"/>
      <c r="K539" s="191"/>
      <c r="L539" s="191"/>
      <c r="M539" s="191"/>
      <c r="N539" s="19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191"/>
      <c r="H540" s="191"/>
      <c r="I540" s="191"/>
      <c r="J540" s="191"/>
      <c r="K540" s="191"/>
      <c r="L540" s="191"/>
      <c r="M540" s="191"/>
      <c r="N540" s="19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191"/>
      <c r="H541" s="191"/>
      <c r="I541" s="191"/>
      <c r="J541" s="191"/>
      <c r="K541" s="191"/>
      <c r="L541" s="191"/>
      <c r="M541" s="191"/>
      <c r="N541" s="19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191"/>
      <c r="H542" s="191"/>
      <c r="I542" s="191"/>
      <c r="J542" s="191"/>
      <c r="K542" s="191"/>
      <c r="L542" s="191"/>
      <c r="M542" s="191"/>
      <c r="N542" s="19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191"/>
      <c r="H543" s="191"/>
      <c r="I543" s="191"/>
      <c r="J543" s="191"/>
      <c r="K543" s="191"/>
      <c r="L543" s="191"/>
      <c r="M543" s="191"/>
      <c r="N543" s="19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191"/>
      <c r="H544" s="191"/>
      <c r="I544" s="191"/>
      <c r="J544" s="191"/>
      <c r="K544" s="191"/>
      <c r="L544" s="191"/>
      <c r="M544" s="191"/>
      <c r="N544" s="19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191"/>
      <c r="H545" s="191"/>
      <c r="I545" s="191"/>
      <c r="J545" s="191"/>
      <c r="K545" s="191"/>
      <c r="L545" s="191"/>
      <c r="M545" s="191"/>
      <c r="N545" s="19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191"/>
      <c r="H546" s="191"/>
      <c r="I546" s="191"/>
      <c r="J546" s="191"/>
      <c r="K546" s="191"/>
      <c r="L546" s="191"/>
      <c r="M546" s="191"/>
      <c r="N546" s="19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191"/>
      <c r="H547" s="191"/>
      <c r="I547" s="191"/>
      <c r="J547" s="191"/>
      <c r="K547" s="191"/>
      <c r="L547" s="191"/>
      <c r="M547" s="191"/>
      <c r="N547" s="19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191"/>
      <c r="H548" s="191"/>
      <c r="I548" s="191"/>
      <c r="J548" s="191"/>
      <c r="K548" s="191"/>
      <c r="L548" s="191"/>
      <c r="M548" s="191"/>
      <c r="N548" s="19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191"/>
      <c r="H549" s="191"/>
      <c r="I549" s="191"/>
      <c r="J549" s="191"/>
      <c r="K549" s="191"/>
      <c r="L549" s="191"/>
      <c r="M549" s="191"/>
      <c r="N549" s="19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191"/>
      <c r="H550" s="191"/>
      <c r="I550" s="191"/>
      <c r="J550" s="191"/>
      <c r="K550" s="191"/>
      <c r="L550" s="191"/>
      <c r="M550" s="191"/>
      <c r="N550" s="19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191"/>
      <c r="H551" s="191"/>
      <c r="I551" s="191"/>
      <c r="J551" s="191"/>
      <c r="K551" s="191"/>
      <c r="L551" s="191"/>
      <c r="M551" s="191"/>
      <c r="N551" s="19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191"/>
      <c r="H552" s="191"/>
      <c r="I552" s="191"/>
      <c r="J552" s="191"/>
      <c r="K552" s="191"/>
      <c r="L552" s="191"/>
      <c r="M552" s="191"/>
      <c r="N552" s="19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191"/>
      <c r="H553" s="191"/>
      <c r="I553" s="191"/>
      <c r="J553" s="191"/>
      <c r="K553" s="191"/>
      <c r="L553" s="191"/>
      <c r="M553" s="191"/>
      <c r="N553" s="19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191"/>
      <c r="H554" s="191"/>
      <c r="I554" s="191"/>
      <c r="J554" s="191"/>
      <c r="K554" s="191"/>
      <c r="L554" s="191"/>
      <c r="M554" s="191"/>
      <c r="N554" s="19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191"/>
      <c r="H555" s="191"/>
      <c r="I555" s="191"/>
      <c r="J555" s="191"/>
      <c r="K555" s="191"/>
      <c r="L555" s="191"/>
      <c r="M555" s="191"/>
      <c r="N555" s="19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191"/>
      <c r="H556" s="191"/>
      <c r="I556" s="191"/>
      <c r="J556" s="191"/>
      <c r="K556" s="191"/>
      <c r="L556" s="191"/>
      <c r="M556" s="191"/>
      <c r="N556" s="19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191"/>
      <c r="H557" s="191"/>
      <c r="I557" s="191"/>
      <c r="J557" s="191"/>
      <c r="K557" s="191"/>
      <c r="L557" s="191"/>
      <c r="M557" s="191"/>
      <c r="N557" s="19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191"/>
      <c r="H558" s="191"/>
      <c r="I558" s="191"/>
      <c r="J558" s="191"/>
      <c r="K558" s="191"/>
      <c r="L558" s="191"/>
      <c r="M558" s="191"/>
      <c r="N558" s="19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191"/>
      <c r="H559" s="191"/>
      <c r="I559" s="191"/>
      <c r="J559" s="191"/>
      <c r="K559" s="191"/>
      <c r="L559" s="191"/>
      <c r="M559" s="191"/>
      <c r="N559" s="19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191"/>
      <c r="H560" s="191"/>
      <c r="I560" s="191"/>
      <c r="J560" s="191"/>
      <c r="K560" s="191"/>
      <c r="L560" s="191"/>
      <c r="M560" s="191"/>
      <c r="N560" s="19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191"/>
      <c r="H561" s="191"/>
      <c r="I561" s="191"/>
      <c r="J561" s="191"/>
      <c r="K561" s="191"/>
      <c r="L561" s="191"/>
      <c r="M561" s="191"/>
      <c r="N561" s="19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191"/>
      <c r="H562" s="191"/>
      <c r="I562" s="191"/>
      <c r="J562" s="191"/>
      <c r="K562" s="191"/>
      <c r="L562" s="191"/>
      <c r="M562" s="191"/>
      <c r="N562" s="19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191"/>
      <c r="H563" s="191"/>
      <c r="I563" s="191"/>
      <c r="J563" s="191"/>
      <c r="K563" s="191"/>
      <c r="L563" s="191"/>
      <c r="M563" s="191"/>
      <c r="N563" s="19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191"/>
      <c r="H564" s="191"/>
      <c r="I564" s="191"/>
      <c r="J564" s="191"/>
      <c r="K564" s="191"/>
      <c r="L564" s="191"/>
      <c r="M564" s="191"/>
      <c r="N564" s="19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9.5"/>
    <col customWidth="1" min="5" max="5" width="16.25"/>
    <col customWidth="1" min="6" max="6" width="7.63"/>
    <col customWidth="1" min="7" max="7" width="15.38"/>
    <col customWidth="1" min="8" max="11" width="10.75"/>
    <col customWidth="1" min="12" max="12" width="16.88"/>
    <col customWidth="1" min="13" max="13" width="19.38"/>
    <col customWidth="1" min="14" max="14" width="15.13"/>
    <col customWidth="1" min="15" max="15" width="20.88"/>
    <col customWidth="1" min="16" max="16" width="16.0"/>
  </cols>
  <sheetData>
    <row r="1">
      <c r="A1" s="9"/>
      <c r="B1" s="204" t="s">
        <v>0</v>
      </c>
      <c r="C1" s="205">
        <f>AVERAGE(C98:C118)</f>
        <v>184.3819048</v>
      </c>
      <c r="D1" s="9"/>
      <c r="E1" s="204" t="s">
        <v>0</v>
      </c>
      <c r="F1" s="205">
        <f>AVERAGE(F98:F118)</f>
        <v>1267.466667</v>
      </c>
      <c r="G1" s="193">
        <f>STDEV(F74:F93)</f>
        <v>24.02519456</v>
      </c>
      <c r="H1" s="9"/>
      <c r="I1" s="9"/>
      <c r="J1" s="9"/>
      <c r="K1" s="9"/>
      <c r="L1" s="9"/>
      <c r="M1" s="206"/>
      <c r="N1" s="9"/>
      <c r="O1" s="9"/>
      <c r="P1" s="193" t="s">
        <v>1</v>
      </c>
      <c r="Q1" s="193" t="s">
        <v>2</v>
      </c>
      <c r="R1" s="193" t="s">
        <v>3</v>
      </c>
      <c r="S1" s="9"/>
      <c r="T1" s="7" t="s">
        <v>5</v>
      </c>
      <c r="U1" s="7" t="s">
        <v>178</v>
      </c>
      <c r="V1" s="7" t="s">
        <v>179</v>
      </c>
      <c r="W1" s="7" t="s">
        <v>11</v>
      </c>
      <c r="X1" s="13" t="s">
        <v>12</v>
      </c>
      <c r="Y1" s="14" t="s">
        <v>14</v>
      </c>
      <c r="Z1" s="1"/>
      <c r="AA1" s="9"/>
      <c r="AB1" s="9"/>
      <c r="AC1" s="9"/>
    </row>
    <row r="2">
      <c r="A2" s="9"/>
      <c r="B2" s="207" t="s">
        <v>20</v>
      </c>
      <c r="C2" s="208">
        <f>AVERAGE(C88:C118)</f>
        <v>184.8977419</v>
      </c>
      <c r="D2" s="9"/>
      <c r="E2" s="207" t="s">
        <v>20</v>
      </c>
      <c r="F2" s="208">
        <f>AVERAGE(F88:F118)</f>
        <v>1285.087097</v>
      </c>
      <c r="G2" s="206"/>
      <c r="H2" s="209"/>
      <c r="I2" s="209"/>
      <c r="J2" s="209"/>
      <c r="K2" s="209"/>
      <c r="L2" s="206"/>
      <c r="M2" s="193" t="s">
        <v>23</v>
      </c>
      <c r="N2" s="210">
        <f>CORREL(C88:C118,F88:F118)</f>
        <v>0.6131234563</v>
      </c>
      <c r="O2" s="193" t="s">
        <v>25</v>
      </c>
      <c r="P2" s="199">
        <f>AVERAGE(K88:K117)</f>
        <v>0.143970692</v>
      </c>
      <c r="Q2" s="199">
        <f>MAX(K88:K117)</f>
        <v>0.1494255625</v>
      </c>
      <c r="R2" s="199">
        <f>MIN(K88:K117)</f>
        <v>0.1396635514</v>
      </c>
      <c r="S2" s="40">
        <f t="shared" ref="S2:S5" si="1">Q2-R2</f>
        <v>0.009762011068</v>
      </c>
      <c r="T2" s="1">
        <f>MATCH(MAX(K11:K116), K11:K116, 0)</f>
        <v>7</v>
      </c>
      <c r="U2" s="1">
        <f t="array" ref="U2">INDEX(C11:C116, MATCH(MAX(K11:K116), K11:K116, 0))</f>
        <v>219.62</v>
      </c>
      <c r="V2" s="1">
        <f t="array" ref="V2">INDEX(F11:F116, MATCH(MAX(K11:K116), K11:K116, 0))</f>
        <v>1274.9</v>
      </c>
      <c r="W2" s="54">
        <f t="shared" ref="W2:W3" si="2">U2/V2</f>
        <v>0.1722644913</v>
      </c>
      <c r="X2" s="7" t="s">
        <v>2</v>
      </c>
      <c r="Y2" s="14">
        <v>2711.0</v>
      </c>
      <c r="Z2" s="1"/>
      <c r="AA2" s="9"/>
      <c r="AB2" s="9"/>
      <c r="AC2" s="9"/>
    </row>
    <row r="3">
      <c r="A3" s="193">
        <f>STDEV(C75:C93)</f>
        <v>2.537466734</v>
      </c>
      <c r="B3" s="211" t="s">
        <v>61</v>
      </c>
      <c r="C3" s="212">
        <f>max(C98:C118)</f>
        <v>190.82</v>
      </c>
      <c r="D3" s="213">
        <f>C1+A3*2</f>
        <v>189.4568382</v>
      </c>
      <c r="E3" s="211" t="s">
        <v>61</v>
      </c>
      <c r="F3" s="212">
        <f>max(F98:F118)</f>
        <v>1310</v>
      </c>
      <c r="G3" s="213">
        <f>F1+G1*2</f>
        <v>1315.517056</v>
      </c>
      <c r="H3" s="209"/>
      <c r="I3" s="209"/>
      <c r="J3" s="209"/>
      <c r="K3" s="209"/>
      <c r="L3" s="206"/>
      <c r="M3" s="193" t="s">
        <v>64</v>
      </c>
      <c r="N3" s="210">
        <f>CORREL(C58:C118,F58:F118)</f>
        <v>0.4802467625</v>
      </c>
      <c r="O3" s="193" t="s">
        <v>67</v>
      </c>
      <c r="P3" s="199">
        <f>AVERAGE((K58:K117))</f>
        <v>0.1454292501</v>
      </c>
      <c r="Q3" s="199">
        <f>MAX(K58:K117)</f>
        <v>0.1519164619</v>
      </c>
      <c r="R3" s="199">
        <f>MIN(K58:K117)</f>
        <v>0.1396635514</v>
      </c>
      <c r="S3" s="40">
        <f t="shared" si="1"/>
        <v>0.01225291051</v>
      </c>
      <c r="T3" s="1">
        <f>MATCH(Min(K11:K116), K11:K116, 0)</f>
        <v>81</v>
      </c>
      <c r="U3" s="1">
        <f t="array" ref="U3">INDEX(C11:C116, MATCH(Min(K11:K116), K11:K116, 0))</f>
        <v>186.8</v>
      </c>
      <c r="V3" s="1">
        <f t="array" ref="V3">INDEX(F11:F116, MATCH(MIN(K11:K116), K11:K116, 0))</f>
        <v>1337.5</v>
      </c>
      <c r="W3" s="54">
        <f t="shared" si="2"/>
        <v>0.1396635514</v>
      </c>
      <c r="X3" s="7" t="s">
        <v>3</v>
      </c>
      <c r="Y3" s="9"/>
      <c r="Z3" s="1"/>
      <c r="AA3" s="9"/>
      <c r="AB3" s="9"/>
      <c r="AC3" s="9"/>
    </row>
    <row r="4">
      <c r="A4" s="9"/>
      <c r="B4" s="211" t="s">
        <v>73</v>
      </c>
      <c r="C4" s="212">
        <f>MIN(C98:C118)</f>
        <v>175.64</v>
      </c>
      <c r="D4" s="213">
        <f>C1-A3*2</f>
        <v>179.3069713</v>
      </c>
      <c r="E4" s="211" t="s">
        <v>73</v>
      </c>
      <c r="F4" s="212">
        <f>MIN(F98:F118)</f>
        <v>1229.2</v>
      </c>
      <c r="G4" s="213">
        <f>F1-G1*2</f>
        <v>1219.416278</v>
      </c>
      <c r="H4" s="209"/>
      <c r="I4" s="209"/>
      <c r="J4" s="209"/>
      <c r="K4" s="209"/>
      <c r="L4" s="206"/>
      <c r="M4" s="193" t="s">
        <v>77</v>
      </c>
      <c r="N4" s="210">
        <f>CORREL(C28:C118,F28:F118)</f>
        <v>0.2754340923</v>
      </c>
      <c r="O4" s="193" t="s">
        <v>79</v>
      </c>
      <c r="P4" s="199">
        <f>AVERAGE(K28:K117)</f>
        <v>0.148932715</v>
      </c>
      <c r="Q4" s="199">
        <f>MAX(K28:K117)</f>
        <v>0.1627699531</v>
      </c>
      <c r="R4" s="199">
        <f>MIN(K28:K117)</f>
        <v>0.1396635514</v>
      </c>
      <c r="S4" s="40">
        <f t="shared" si="1"/>
        <v>0.02310640165</v>
      </c>
      <c r="T4" s="1"/>
      <c r="U4" s="1"/>
      <c r="V4" s="1"/>
      <c r="W4" s="54"/>
      <c r="X4" s="1"/>
      <c r="Y4" s="9"/>
      <c r="Z4" s="1"/>
      <c r="AA4" s="9"/>
      <c r="AB4" s="9"/>
      <c r="AC4" s="9"/>
    </row>
    <row r="5">
      <c r="A5" s="9"/>
      <c r="B5" s="211" t="s">
        <v>81</v>
      </c>
      <c r="C5" s="212">
        <f>max(C108:C118)</f>
        <v>190.82</v>
      </c>
      <c r="D5" s="213">
        <f>C1+A3</f>
        <v>186.9193715</v>
      </c>
      <c r="E5" s="211" t="s">
        <v>81</v>
      </c>
      <c r="F5" s="212">
        <f>max(F108:F118)</f>
        <v>1297.8</v>
      </c>
      <c r="G5" s="213">
        <f>F1+G1</f>
        <v>1291.491861</v>
      </c>
      <c r="H5" s="9"/>
      <c r="I5" s="9"/>
      <c r="J5" s="9"/>
      <c r="K5" s="9"/>
      <c r="L5" s="9"/>
      <c r="M5" s="193" t="s">
        <v>82</v>
      </c>
      <c r="N5" s="210">
        <f>CORREL(C11:C118,F11:F118)</f>
        <v>0.242642504</v>
      </c>
      <c r="O5" s="193" t="s">
        <v>83</v>
      </c>
      <c r="P5" s="199">
        <f>AVERAGE(K11:K117)</f>
        <v>0.151683413</v>
      </c>
      <c r="Q5" s="199">
        <f>MAX(K11:K117)</f>
        <v>0.1722644913</v>
      </c>
      <c r="R5" s="199">
        <f>MIN(K11:K117)</f>
        <v>0.1396635514</v>
      </c>
      <c r="S5" s="40">
        <f t="shared" si="1"/>
        <v>0.03260093993</v>
      </c>
      <c r="T5" s="96" t="s">
        <v>180</v>
      </c>
      <c r="U5" s="96">
        <v>2.0</v>
      </c>
      <c r="V5" s="99">
        <f>U2*U7*U5</f>
        <v>2415820</v>
      </c>
      <c r="W5" s="101">
        <f>V2*U6*U8</f>
        <v>2581672.5</v>
      </c>
      <c r="X5" s="99"/>
      <c r="Y5" s="9"/>
      <c r="Z5" s="1"/>
      <c r="AA5" s="9"/>
      <c r="AB5" s="9"/>
      <c r="AC5" s="9"/>
    </row>
    <row r="6">
      <c r="A6" s="9"/>
      <c r="B6" s="211" t="s">
        <v>87</v>
      </c>
      <c r="C6" s="212">
        <f>MIN(C108:C118)</f>
        <v>175.64</v>
      </c>
      <c r="D6" s="213">
        <f>C1-A3</f>
        <v>181.844438</v>
      </c>
      <c r="E6" s="211" t="s">
        <v>87</v>
      </c>
      <c r="F6" s="212">
        <f>MIN(F108:F118)</f>
        <v>1230</v>
      </c>
      <c r="G6" s="213">
        <f>F1-G1</f>
        <v>1243.441472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6" t="s">
        <v>179</v>
      </c>
      <c r="U6" s="96">
        <v>3.0</v>
      </c>
      <c r="V6" s="99">
        <f>U3*U5*U7</f>
        <v>2054800</v>
      </c>
      <c r="W6" s="99">
        <f>V3*U6*U8</f>
        <v>2708437.5</v>
      </c>
      <c r="X6" s="99"/>
      <c r="Y6" s="9"/>
      <c r="Z6" s="1"/>
      <c r="AA6" s="9"/>
      <c r="AB6" s="9"/>
      <c r="AC6" s="9"/>
    </row>
    <row r="7">
      <c r="A7" s="9"/>
      <c r="B7" s="214" t="s">
        <v>88</v>
      </c>
      <c r="C7" s="193">
        <f>max(C88:C118)</f>
        <v>190.82</v>
      </c>
      <c r="D7" s="9"/>
      <c r="E7" s="214" t="s">
        <v>88</v>
      </c>
      <c r="F7" s="193">
        <f>max(F88:F118)</f>
        <v>1341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7" t="s">
        <v>180</v>
      </c>
      <c r="U7" s="7">
        <v>5500.0</v>
      </c>
      <c r="V7" s="1"/>
      <c r="W7" s="1"/>
      <c r="X7" s="1"/>
      <c r="Y7" s="9"/>
      <c r="Z7" s="1"/>
      <c r="AA7" s="9"/>
      <c r="AB7" s="9"/>
      <c r="AC7" s="9"/>
    </row>
    <row r="8">
      <c r="A8" s="9"/>
      <c r="B8" s="211" t="s">
        <v>90</v>
      </c>
      <c r="C8" s="215">
        <f>AVERAGE(C98:C118)</f>
        <v>184.3819048</v>
      </c>
      <c r="D8" s="9"/>
      <c r="E8" s="211" t="s">
        <v>90</v>
      </c>
      <c r="F8" s="215">
        <f>AVERAGE(F98:F118)</f>
        <v>1267.466667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7" t="s">
        <v>179</v>
      </c>
      <c r="U8" s="7">
        <v>675.0</v>
      </c>
      <c r="V8" s="1"/>
      <c r="W8" s="1"/>
      <c r="X8" s="1"/>
      <c r="Y8" s="9"/>
      <c r="Z8" s="1"/>
      <c r="AA8" s="9"/>
      <c r="AB8" s="9"/>
      <c r="AC8" s="9"/>
    </row>
    <row r="9">
      <c r="A9" s="9"/>
      <c r="B9" s="216" t="s">
        <v>121</v>
      </c>
      <c r="C9" s="9"/>
      <c r="D9" s="9"/>
      <c r="E9" s="216" t="s">
        <v>125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"/>
      <c r="U9" s="1"/>
      <c r="V9" s="1"/>
      <c r="W9" s="1"/>
      <c r="X9" s="1"/>
      <c r="Y9" s="9"/>
      <c r="Z9" s="1"/>
      <c r="AA9" s="9"/>
      <c r="AB9" s="9"/>
      <c r="AC9" s="9"/>
    </row>
    <row r="10">
      <c r="A10" s="9"/>
      <c r="B10" s="193" t="str">
        <f>IFERROR(__xludf.DUMMYFUNCTION("GOOGLEFINANCE(B9,""price"",TODAY()-165,TODAY())"),"Date")</f>
        <v>Date</v>
      </c>
      <c r="C10" s="193" t="str">
        <f>IFERROR(__xludf.DUMMYFUNCTION("""COMPUTED_VALUE"""),"Close")</f>
        <v>Close</v>
      </c>
      <c r="D10" s="9"/>
      <c r="E10" s="193" t="str">
        <f>IFERROR(__xludf.DUMMYFUNCTION("GOOGLEFINANCE(E9,""price"",TODAY()-165,TODAY())"),"Date")</f>
        <v>Date</v>
      </c>
      <c r="F10" s="193" t="str">
        <f>IFERROR(__xludf.DUMMYFUNCTION("""COMPUTED_VALUE"""),"Close")</f>
        <v>Close</v>
      </c>
      <c r="G10" s="9"/>
      <c r="H10" s="7" t="s">
        <v>92</v>
      </c>
      <c r="I10" s="7" t="s">
        <v>93</v>
      </c>
      <c r="J10" s="7" t="s">
        <v>94</v>
      </c>
      <c r="K10" s="193" t="s">
        <v>92</v>
      </c>
      <c r="L10" s="110" t="s">
        <v>181</v>
      </c>
      <c r="M10" s="110" t="s">
        <v>182</v>
      </c>
      <c r="N10" s="110" t="s">
        <v>183</v>
      </c>
      <c r="O10" s="110" t="s">
        <v>185</v>
      </c>
      <c r="P10" s="214" t="s">
        <v>99</v>
      </c>
      <c r="Q10" s="9"/>
      <c r="R10" s="9"/>
      <c r="S10" s="9"/>
      <c r="T10" s="1"/>
      <c r="U10" s="1"/>
      <c r="V10" s="1"/>
      <c r="W10" s="1"/>
      <c r="X10" s="1"/>
      <c r="Y10" s="110" t="s">
        <v>1</v>
      </c>
      <c r="Z10" s="111" t="s">
        <v>180</v>
      </c>
      <c r="AA10" s="111" t="s">
        <v>179</v>
      </c>
      <c r="AB10" s="9"/>
      <c r="AC10" s="9"/>
    </row>
    <row r="11">
      <c r="A11" s="9"/>
      <c r="B11" s="217">
        <f>IFERROR(__xludf.DUMMYFUNCTION("""COMPUTED_VALUE"""),46147.64583333333)</f>
        <v>46147.64583</v>
      </c>
      <c r="C11" s="193">
        <f>IFERROR(__xludf.DUMMYFUNCTION("""COMPUTED_VALUE"""),211.32)</f>
        <v>211.32</v>
      </c>
      <c r="D11" s="9"/>
      <c r="E11" s="217">
        <f>IFERROR(__xludf.DUMMYFUNCTION("""COMPUTED_VALUE"""),46147.64583333333)</f>
        <v>46147.64583</v>
      </c>
      <c r="F11" s="193">
        <f>IFERROR(__xludf.DUMMYFUNCTION("""COMPUTED_VALUE"""),1252.4)</f>
        <v>1252.4</v>
      </c>
      <c r="G11" s="9"/>
      <c r="H11" s="29">
        <f t="shared" ref="H11:H118" si="3">C11/F11</f>
        <v>0.1687320345</v>
      </c>
      <c r="I11" s="1">
        <f t="shared" ref="I11:I118" si="4">C11-F11</f>
        <v>-1041.08</v>
      </c>
      <c r="J11" s="113">
        <f t="shared" ref="J11:J118" si="5">((I11-$I$129)/$I$130)</f>
        <v>1.387820849</v>
      </c>
      <c r="K11" s="199">
        <f t="shared" ref="K11:K117" si="6">C11/F11</f>
        <v>0.1687320345</v>
      </c>
      <c r="L11" s="9"/>
      <c r="M11" s="9"/>
      <c r="N11" s="9"/>
      <c r="O11" s="9"/>
      <c r="P11" s="9"/>
      <c r="Q11" s="9"/>
      <c r="R11" s="9"/>
      <c r="S11" s="9"/>
      <c r="T11" s="1"/>
      <c r="U11" s="1"/>
      <c r="V11" s="1">
        <f>V5-V6</f>
        <v>361020</v>
      </c>
      <c r="W11" s="54">
        <f>W6-W5</f>
        <v>126765</v>
      </c>
      <c r="X11" s="101">
        <f>V11+W11</f>
        <v>487785</v>
      </c>
      <c r="Y11" s="110" t="s">
        <v>101</v>
      </c>
      <c r="Z11" s="115">
        <f>AVERAGE(C88,C118)</f>
        <v>180.97</v>
      </c>
      <c r="AA11" s="115">
        <f>AVERAGE(F88,F118)</f>
        <v>1278.5</v>
      </c>
      <c r="AB11" s="9"/>
      <c r="AC11" s="9"/>
    </row>
    <row r="12">
      <c r="A12" s="9"/>
      <c r="B12" s="217">
        <f>IFERROR(__xludf.DUMMYFUNCTION("""COMPUTED_VALUE"""),46148.64583333333)</f>
        <v>46148.64583</v>
      </c>
      <c r="C12" s="193">
        <f>IFERROR(__xludf.DUMMYFUNCTION("""COMPUTED_VALUE"""),215.47)</f>
        <v>215.47</v>
      </c>
      <c r="D12" s="9"/>
      <c r="E12" s="217">
        <f>IFERROR(__xludf.DUMMYFUNCTION("""COMPUTED_VALUE"""),46148.64583333333)</f>
        <v>46148.64583</v>
      </c>
      <c r="F12" s="193">
        <f>IFERROR(__xludf.DUMMYFUNCTION("""COMPUTED_VALUE"""),1273.3)</f>
        <v>1273.3</v>
      </c>
      <c r="G12" s="9"/>
      <c r="H12" s="29">
        <f t="shared" si="3"/>
        <v>0.1692217074</v>
      </c>
      <c r="I12" s="1">
        <f t="shared" si="4"/>
        <v>-1057.83</v>
      </c>
      <c r="J12" s="113">
        <f t="shared" si="5"/>
        <v>0.8068161195</v>
      </c>
      <c r="K12" s="199">
        <f t="shared" si="6"/>
        <v>0.1692217074</v>
      </c>
      <c r="L12" s="9"/>
      <c r="M12" s="9"/>
      <c r="N12" s="9"/>
      <c r="O12" s="9"/>
      <c r="P12" s="9"/>
      <c r="Q12" s="9"/>
      <c r="R12" s="9"/>
      <c r="S12" s="9"/>
      <c r="T12" s="7" t="s">
        <v>103</v>
      </c>
      <c r="U12" s="116">
        <f>S2/2</f>
        <v>0.004881005534</v>
      </c>
      <c r="V12" s="1"/>
      <c r="W12" s="1"/>
      <c r="X12" s="1"/>
      <c r="Y12" s="110" t="s">
        <v>104</v>
      </c>
      <c r="Z12" s="115">
        <f>AVERAGE(C58,C118)</f>
        <v>181.375</v>
      </c>
      <c r="AA12" s="115">
        <f>AVERAGE(F58,F118)</f>
        <v>1233.7</v>
      </c>
      <c r="AB12" s="9"/>
      <c r="AC12" s="9"/>
    </row>
    <row r="13">
      <c r="A13" s="9"/>
      <c r="B13" s="217">
        <f>IFERROR(__xludf.DUMMYFUNCTION("""COMPUTED_VALUE"""),46149.64583333333)</f>
        <v>46149.64583</v>
      </c>
      <c r="C13" s="193">
        <f>IFERROR(__xludf.DUMMYFUNCTION("""COMPUTED_VALUE"""),217.09)</f>
        <v>217.09</v>
      </c>
      <c r="D13" s="9"/>
      <c r="E13" s="217">
        <f>IFERROR(__xludf.DUMMYFUNCTION("""COMPUTED_VALUE"""),46149.64583333333)</f>
        <v>46149.64583</v>
      </c>
      <c r="F13" s="193">
        <f>IFERROR(__xludf.DUMMYFUNCTION("""COMPUTED_VALUE"""),1283.4)</f>
        <v>1283.4</v>
      </c>
      <c r="G13" s="9"/>
      <c r="H13" s="29">
        <f t="shared" si="3"/>
        <v>0.1691522518</v>
      </c>
      <c r="I13" s="1">
        <f t="shared" si="4"/>
        <v>-1066.31</v>
      </c>
      <c r="J13" s="113">
        <f t="shared" si="5"/>
        <v>0.5126716357</v>
      </c>
      <c r="K13" s="199">
        <f t="shared" si="6"/>
        <v>0.1691522518</v>
      </c>
      <c r="L13" s="9"/>
      <c r="M13" s="9"/>
      <c r="N13" s="9"/>
      <c r="O13" s="209"/>
      <c r="P13" s="9"/>
      <c r="Q13" s="9"/>
      <c r="R13" s="9"/>
      <c r="S13" s="9"/>
      <c r="T13" s="117"/>
      <c r="U13" s="118">
        <f>(X11*U12)/S2</f>
        <v>243892.5</v>
      </c>
      <c r="V13" s="117"/>
      <c r="W13" s="117"/>
      <c r="X13" s="119">
        <f>X11/(R2/U12)</f>
        <v>17047.26294</v>
      </c>
      <c r="Y13" s="110" t="s">
        <v>105</v>
      </c>
      <c r="Z13" s="115">
        <f>AVERAGE(C28,C118)</f>
        <v>191.83</v>
      </c>
      <c r="AA13" s="115">
        <f>AVERAGE(F28,F118)</f>
        <v>1254</v>
      </c>
      <c r="AB13" s="9"/>
      <c r="AC13" s="9"/>
    </row>
    <row r="14">
      <c r="A14" s="9"/>
      <c r="B14" s="217">
        <f>IFERROR(__xludf.DUMMYFUNCTION("""COMPUTED_VALUE"""),46150.64583333333)</f>
        <v>46150.64583</v>
      </c>
      <c r="C14" s="193">
        <f>IFERROR(__xludf.DUMMYFUNCTION("""COMPUTED_VALUE"""),214.49)</f>
        <v>214.49</v>
      </c>
      <c r="D14" s="9"/>
      <c r="E14" s="217">
        <f>IFERROR(__xludf.DUMMYFUNCTION("""COMPUTED_VALUE"""),46150.64583333333)</f>
        <v>46150.64583</v>
      </c>
      <c r="F14" s="193">
        <f>IFERROR(__xludf.DUMMYFUNCTION("""COMPUTED_VALUE"""),1277.8)</f>
        <v>1277.8</v>
      </c>
      <c r="G14" s="9"/>
      <c r="H14" s="29">
        <f t="shared" si="3"/>
        <v>0.1678588198</v>
      </c>
      <c r="I14" s="1">
        <f t="shared" si="4"/>
        <v>-1063.31</v>
      </c>
      <c r="J14" s="113">
        <f t="shared" si="5"/>
        <v>0.6167321842</v>
      </c>
      <c r="K14" s="199">
        <f t="shared" si="6"/>
        <v>0.1678588198</v>
      </c>
      <c r="L14" s="9"/>
      <c r="M14" s="9"/>
      <c r="N14" s="9"/>
      <c r="O14" s="9"/>
      <c r="P14" s="9"/>
      <c r="Q14" s="9"/>
      <c r="R14" s="9"/>
      <c r="S14" s="1"/>
      <c r="T14" s="1"/>
      <c r="U14" s="1"/>
      <c r="V14" s="1"/>
      <c r="W14" s="1"/>
      <c r="X14" s="1"/>
      <c r="Y14" s="1"/>
      <c r="Z14" s="1"/>
      <c r="AA14" s="9"/>
      <c r="AB14" s="9"/>
      <c r="AC14" s="9"/>
    </row>
    <row r="15">
      <c r="A15" s="9"/>
      <c r="B15" s="217">
        <f>IFERROR(__xludf.DUMMYFUNCTION("""COMPUTED_VALUE"""),46153.64583333333)</f>
        <v>46153.64583</v>
      </c>
      <c r="C15" s="193">
        <f>IFERROR(__xludf.DUMMYFUNCTION("""COMPUTED_VALUE"""),212.08)</f>
        <v>212.08</v>
      </c>
      <c r="D15" s="9"/>
      <c r="E15" s="217">
        <f>IFERROR(__xludf.DUMMYFUNCTION("""COMPUTED_VALUE"""),46153.64583333333)</f>
        <v>46153.64583</v>
      </c>
      <c r="F15" s="193">
        <f>IFERROR(__xludf.DUMMYFUNCTION("""COMPUTED_VALUE"""),1262.6)</f>
        <v>1262.6</v>
      </c>
      <c r="G15" s="9"/>
      <c r="H15" s="29">
        <f t="shared" si="3"/>
        <v>0.1679708538</v>
      </c>
      <c r="I15" s="1">
        <f t="shared" si="4"/>
        <v>-1050.52</v>
      </c>
      <c r="J15" s="113">
        <f t="shared" si="5"/>
        <v>1.060376989</v>
      </c>
      <c r="K15" s="199">
        <f t="shared" si="6"/>
        <v>0.1679708538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217">
        <f>IFERROR(__xludf.DUMMYFUNCTION("""COMPUTED_VALUE"""),46154.64583333333)</f>
        <v>46154.64583</v>
      </c>
      <c r="C16" s="193">
        <f>IFERROR(__xludf.DUMMYFUNCTION("""COMPUTED_VALUE"""),212.0)</f>
        <v>212</v>
      </c>
      <c r="D16" s="9"/>
      <c r="E16" s="217">
        <f>IFERROR(__xludf.DUMMYFUNCTION("""COMPUTED_VALUE"""),46154.64583333333)</f>
        <v>46154.64583</v>
      </c>
      <c r="F16" s="193">
        <f>IFERROR(__xludf.DUMMYFUNCTION("""COMPUTED_VALUE"""),1252.3)</f>
        <v>1252.3</v>
      </c>
      <c r="G16" s="9"/>
      <c r="H16" s="29">
        <f t="shared" si="3"/>
        <v>0.1692885091</v>
      </c>
      <c r="I16" s="1">
        <f t="shared" si="4"/>
        <v>-1040.3</v>
      </c>
      <c r="J16" s="113">
        <f t="shared" si="5"/>
        <v>1.414876591</v>
      </c>
      <c r="K16" s="199">
        <f t="shared" si="6"/>
        <v>0.1692885091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217">
        <f>IFERROR(__xludf.DUMMYFUNCTION("""COMPUTED_VALUE"""),46155.64583333333)</f>
        <v>46155.64583</v>
      </c>
      <c r="C17" s="193">
        <f>IFERROR(__xludf.DUMMYFUNCTION("""COMPUTED_VALUE"""),219.62)</f>
        <v>219.62</v>
      </c>
      <c r="D17" s="9"/>
      <c r="E17" s="217">
        <f>IFERROR(__xludf.DUMMYFUNCTION("""COMPUTED_VALUE"""),46155.64583333333)</f>
        <v>46155.64583</v>
      </c>
      <c r="F17" s="193">
        <f>IFERROR(__xludf.DUMMYFUNCTION("""COMPUTED_VALUE"""),1274.9)</f>
        <v>1274.9</v>
      </c>
      <c r="G17" s="9"/>
      <c r="H17" s="29">
        <f t="shared" si="3"/>
        <v>0.1722644913</v>
      </c>
      <c r="I17" s="1">
        <f t="shared" si="4"/>
        <v>-1055.28</v>
      </c>
      <c r="J17" s="113">
        <f t="shared" si="5"/>
        <v>0.8952675857</v>
      </c>
      <c r="K17" s="199">
        <f t="shared" si="6"/>
        <v>0.1722644913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217">
        <f>IFERROR(__xludf.DUMMYFUNCTION("""COMPUTED_VALUE"""),46156.64583333333)</f>
        <v>46156.64583</v>
      </c>
      <c r="C18" s="193">
        <f>IFERROR(__xludf.DUMMYFUNCTION("""COMPUTED_VALUE"""),221.13)</f>
        <v>221.13</v>
      </c>
      <c r="D18" s="9"/>
      <c r="E18" s="217">
        <f>IFERROR(__xludf.DUMMYFUNCTION("""COMPUTED_VALUE"""),46156.64583333333)</f>
        <v>46156.64583</v>
      </c>
      <c r="F18" s="193">
        <f>IFERROR(__xludf.DUMMYFUNCTION("""COMPUTED_VALUE"""),1296.9)</f>
        <v>1296.9</v>
      </c>
      <c r="G18" s="9"/>
      <c r="H18" s="29">
        <f t="shared" si="3"/>
        <v>0.1705065926</v>
      </c>
      <c r="I18" s="1">
        <f t="shared" si="4"/>
        <v>-1075.77</v>
      </c>
      <c r="J18" s="113">
        <f t="shared" si="5"/>
        <v>0.1845340394</v>
      </c>
      <c r="K18" s="199">
        <f t="shared" si="6"/>
        <v>0.1705065926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217">
        <f>IFERROR(__xludf.DUMMYFUNCTION("""COMPUTED_VALUE"""),46157.64583333333)</f>
        <v>46157.64583</v>
      </c>
      <c r="C19" s="193">
        <f>IFERROR(__xludf.DUMMYFUNCTION("""COMPUTED_VALUE"""),216.84)</f>
        <v>216.84</v>
      </c>
      <c r="D19" s="9"/>
      <c r="E19" s="217">
        <f>IFERROR(__xludf.DUMMYFUNCTION("""COMPUTED_VALUE"""),46157.64583333333)</f>
        <v>46157.64583</v>
      </c>
      <c r="F19" s="193">
        <f>IFERROR(__xludf.DUMMYFUNCTION("""COMPUTED_VALUE"""),1278.8)</f>
        <v>1278.8</v>
      </c>
      <c r="G19" s="9"/>
      <c r="H19" s="29">
        <f t="shared" si="3"/>
        <v>0.1695652174</v>
      </c>
      <c r="I19" s="1">
        <f t="shared" si="4"/>
        <v>-1061.96</v>
      </c>
      <c r="J19" s="113">
        <f t="shared" si="5"/>
        <v>0.663559431</v>
      </c>
      <c r="K19" s="199">
        <f t="shared" si="6"/>
        <v>0.1695652174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217">
        <f>IFERROR(__xludf.DUMMYFUNCTION("""COMPUTED_VALUE"""),46160.64583333333)</f>
        <v>46160.64583</v>
      </c>
      <c r="C20" s="193">
        <f>IFERROR(__xludf.DUMMYFUNCTION("""COMPUTED_VALUE"""),209.71)</f>
        <v>209.71</v>
      </c>
      <c r="D20" s="9"/>
      <c r="E20" s="217">
        <f>IFERROR(__xludf.DUMMYFUNCTION("""COMPUTED_VALUE"""),46160.64583333333)</f>
        <v>46160.64583</v>
      </c>
      <c r="F20" s="193">
        <f>IFERROR(__xludf.DUMMYFUNCTION("""COMPUTED_VALUE"""),1292.8)</f>
        <v>1292.8</v>
      </c>
      <c r="G20" s="9"/>
      <c r="H20" s="29">
        <f t="shared" si="3"/>
        <v>0.1622137995</v>
      </c>
      <c r="I20" s="1">
        <f t="shared" si="4"/>
        <v>-1083.09</v>
      </c>
      <c r="J20" s="113">
        <f t="shared" si="5"/>
        <v>-0.06937369901</v>
      </c>
      <c r="K20" s="199">
        <f t="shared" si="6"/>
        <v>0.1622137995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217">
        <f>IFERROR(__xludf.DUMMYFUNCTION("""COMPUTED_VALUE"""),46161.64583333333)</f>
        <v>46161.64583</v>
      </c>
      <c r="C21" s="193">
        <f>IFERROR(__xludf.DUMMYFUNCTION("""COMPUTED_VALUE"""),209.29)</f>
        <v>209.29</v>
      </c>
      <c r="D21" s="9"/>
      <c r="E21" s="217">
        <f>IFERROR(__xludf.DUMMYFUNCTION("""COMPUTED_VALUE"""),46161.64583333333)</f>
        <v>46161.64583</v>
      </c>
      <c r="F21" s="193">
        <f>IFERROR(__xludf.DUMMYFUNCTION("""COMPUTED_VALUE"""),1285.2)</f>
        <v>1285.2</v>
      </c>
      <c r="G21" s="9"/>
      <c r="H21" s="29">
        <f t="shared" si="3"/>
        <v>0.1628462496</v>
      </c>
      <c r="I21" s="1">
        <f t="shared" si="4"/>
        <v>-1075.91</v>
      </c>
      <c r="J21" s="113">
        <f t="shared" si="5"/>
        <v>0.1796778804</v>
      </c>
      <c r="K21" s="199">
        <f t="shared" si="6"/>
        <v>0.1628462496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217">
        <f>IFERROR(__xludf.DUMMYFUNCTION("""COMPUTED_VALUE"""),46162.64583333333)</f>
        <v>46162.64583</v>
      </c>
      <c r="C22" s="193">
        <f>IFERROR(__xludf.DUMMYFUNCTION("""COMPUTED_VALUE"""),207.01)</f>
        <v>207.01</v>
      </c>
      <c r="D22" s="9"/>
      <c r="E22" s="217">
        <f>IFERROR(__xludf.DUMMYFUNCTION("""COMPUTED_VALUE"""),46162.64583333333)</f>
        <v>46162.64583</v>
      </c>
      <c r="F22" s="193">
        <f>IFERROR(__xludf.DUMMYFUNCTION("""COMPUTED_VALUE"""),1283.2)</f>
        <v>1283.2</v>
      </c>
      <c r="G22" s="9"/>
      <c r="H22" s="29">
        <f t="shared" si="3"/>
        <v>0.1613232544</v>
      </c>
      <c r="I22" s="1">
        <f t="shared" si="4"/>
        <v>-1076.19</v>
      </c>
      <c r="J22" s="113">
        <f t="shared" si="5"/>
        <v>0.1699655626</v>
      </c>
      <c r="K22" s="199">
        <f t="shared" si="6"/>
        <v>0.1613232544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217">
        <f>IFERROR(__xludf.DUMMYFUNCTION("""COMPUTED_VALUE"""),46163.64583333333)</f>
        <v>46163.64583</v>
      </c>
      <c r="C23" s="193">
        <f>IFERROR(__xludf.DUMMYFUNCTION("""COMPUTED_VALUE"""),208.58)</f>
        <v>208.58</v>
      </c>
      <c r="D23" s="9"/>
      <c r="E23" s="217">
        <f>IFERROR(__xludf.DUMMYFUNCTION("""COMPUTED_VALUE"""),46163.64583333333)</f>
        <v>46163.64583</v>
      </c>
      <c r="F23" s="193">
        <f>IFERROR(__xludf.DUMMYFUNCTION("""COMPUTED_VALUE"""),1281.3)</f>
        <v>1281.3</v>
      </c>
      <c r="G23" s="9"/>
      <c r="H23" s="29">
        <f t="shared" si="3"/>
        <v>0.1627877936</v>
      </c>
      <c r="I23" s="1">
        <f t="shared" si="4"/>
        <v>-1072.72</v>
      </c>
      <c r="J23" s="113">
        <f t="shared" si="5"/>
        <v>0.2903289303</v>
      </c>
      <c r="K23" s="199">
        <f t="shared" si="6"/>
        <v>0.1627877936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217">
        <f>IFERROR(__xludf.DUMMYFUNCTION("""COMPUTED_VALUE"""),46164.64583333333)</f>
        <v>46164.64583</v>
      </c>
      <c r="C24" s="193">
        <f>IFERROR(__xludf.DUMMYFUNCTION("""COMPUTED_VALUE"""),209.19)</f>
        <v>209.19</v>
      </c>
      <c r="D24" s="9"/>
      <c r="E24" s="217">
        <f>IFERROR(__xludf.DUMMYFUNCTION("""COMPUTED_VALUE"""),46164.64583333333)</f>
        <v>46164.64583</v>
      </c>
      <c r="F24" s="193">
        <f>IFERROR(__xludf.DUMMYFUNCTION("""COMPUTED_VALUE"""),1285.5)</f>
        <v>1285.5</v>
      </c>
      <c r="G24" s="9"/>
      <c r="H24" s="29">
        <f t="shared" si="3"/>
        <v>0.1627304551</v>
      </c>
      <c r="I24" s="1">
        <f t="shared" si="4"/>
        <v>-1076.31</v>
      </c>
      <c r="J24" s="113">
        <f t="shared" si="5"/>
        <v>0.1658031406</v>
      </c>
      <c r="K24" s="199">
        <f t="shared" si="6"/>
        <v>0.1627304551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217">
        <f>IFERROR(__xludf.DUMMYFUNCTION("""COMPUTED_VALUE"""),46167.64583333333)</f>
        <v>46167.64583</v>
      </c>
      <c r="C25" s="193">
        <f>IFERROR(__xludf.DUMMYFUNCTION("""COMPUTED_VALUE"""),210.22)</f>
        <v>210.22</v>
      </c>
      <c r="D25" s="9"/>
      <c r="E25" s="217">
        <f>IFERROR(__xludf.DUMMYFUNCTION("""COMPUTED_VALUE"""),46167.64583333333)</f>
        <v>46167.64583</v>
      </c>
      <c r="F25" s="193">
        <f>IFERROR(__xludf.DUMMYFUNCTION("""COMPUTED_VALUE"""),1289.4)</f>
        <v>1289.4</v>
      </c>
      <c r="G25" s="9"/>
      <c r="H25" s="29">
        <f t="shared" si="3"/>
        <v>0.1630370715</v>
      </c>
      <c r="I25" s="1">
        <f t="shared" si="4"/>
        <v>-1079.18</v>
      </c>
      <c r="J25" s="113">
        <f t="shared" si="5"/>
        <v>0.06625188255</v>
      </c>
      <c r="K25" s="199">
        <f t="shared" si="6"/>
        <v>0.1630370715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217">
        <f>IFERROR(__xludf.DUMMYFUNCTION("""COMPUTED_VALUE"""),46168.64583333333)</f>
        <v>46168.64583</v>
      </c>
      <c r="C26" s="193">
        <f>IFERROR(__xludf.DUMMYFUNCTION("""COMPUTED_VALUE"""),210.47)</f>
        <v>210.47</v>
      </c>
      <c r="D26" s="9"/>
      <c r="E26" s="217">
        <f>IFERROR(__xludf.DUMMYFUNCTION("""COMPUTED_VALUE"""),46168.64583333333)</f>
        <v>46168.64583</v>
      </c>
      <c r="F26" s="193">
        <f>IFERROR(__xludf.DUMMYFUNCTION("""COMPUTED_VALUE"""),1293.6)</f>
        <v>1293.6</v>
      </c>
      <c r="G26" s="9"/>
      <c r="H26" s="29">
        <f t="shared" si="3"/>
        <v>0.1627009895</v>
      </c>
      <c r="I26" s="1">
        <f t="shared" si="4"/>
        <v>-1083.13</v>
      </c>
      <c r="J26" s="113">
        <f t="shared" si="5"/>
        <v>-0.07076117299</v>
      </c>
      <c r="K26" s="199">
        <f t="shared" si="6"/>
        <v>0.1627009895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217">
        <f>IFERROR(__xludf.DUMMYFUNCTION("""COMPUTED_VALUE"""),46169.64583333333)</f>
        <v>46169.64583</v>
      </c>
      <c r="C27" s="193">
        <f>IFERROR(__xludf.DUMMYFUNCTION("""COMPUTED_VALUE"""),214.7)</f>
        <v>214.7</v>
      </c>
      <c r="D27" s="9"/>
      <c r="E27" s="217">
        <f>IFERROR(__xludf.DUMMYFUNCTION("""COMPUTED_VALUE"""),46169.64583333333)</f>
        <v>46169.64583</v>
      </c>
      <c r="F27" s="193">
        <f>IFERROR(__xludf.DUMMYFUNCTION("""COMPUTED_VALUE"""),1309.3)</f>
        <v>1309.3</v>
      </c>
      <c r="G27" s="9"/>
      <c r="H27" s="29">
        <f t="shared" si="3"/>
        <v>0.1639807531</v>
      </c>
      <c r="I27" s="1">
        <f t="shared" si="4"/>
        <v>-1094.6</v>
      </c>
      <c r="J27" s="113">
        <f t="shared" si="5"/>
        <v>-0.4686193368</v>
      </c>
      <c r="K27" s="199">
        <f t="shared" si="6"/>
        <v>0.1639807531</v>
      </c>
      <c r="L27" s="9"/>
      <c r="M27" s="9"/>
      <c r="N27" s="9"/>
      <c r="O27" s="9"/>
      <c r="P27" s="9"/>
      <c r="Q27" s="9"/>
      <c r="R27" s="212" t="s">
        <v>112</v>
      </c>
      <c r="S27" s="229">
        <f>AVERAGE(K88:K118)</f>
        <v>0.1440128123</v>
      </c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217">
        <f>IFERROR(__xludf.DUMMYFUNCTION("""COMPUTED_VALUE"""),46171.64583333333)</f>
        <v>46171.64583</v>
      </c>
      <c r="C28" s="193">
        <f>IFERROR(__xludf.DUMMYFUNCTION("""COMPUTED_VALUE"""),208.02)</f>
        <v>208.02</v>
      </c>
      <c r="D28" s="9"/>
      <c r="E28" s="217">
        <f>IFERROR(__xludf.DUMMYFUNCTION("""COMPUTED_VALUE"""),46171.64583333333)</f>
        <v>46171.64583</v>
      </c>
      <c r="F28" s="193">
        <f>IFERROR(__xludf.DUMMYFUNCTION("""COMPUTED_VALUE"""),1278.0)</f>
        <v>1278</v>
      </c>
      <c r="G28" s="9"/>
      <c r="H28" s="29">
        <f t="shared" si="3"/>
        <v>0.1627699531</v>
      </c>
      <c r="I28" s="1">
        <f t="shared" si="4"/>
        <v>-1069.98</v>
      </c>
      <c r="J28" s="113">
        <f t="shared" si="5"/>
        <v>0.385370898</v>
      </c>
      <c r="K28" s="199">
        <f t="shared" si="6"/>
        <v>0.1627699531</v>
      </c>
      <c r="L28" s="9"/>
      <c r="M28" s="9"/>
      <c r="N28" s="9"/>
      <c r="O28" s="9"/>
      <c r="P28" s="9"/>
      <c r="Q28" s="9"/>
      <c r="R28" s="212" t="s">
        <v>113</v>
      </c>
      <c r="S28" s="229">
        <f>MAX(K88:K118)</f>
        <v>0.1494255625</v>
      </c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217">
        <f>IFERROR(__xludf.DUMMYFUNCTION("""COMPUTED_VALUE"""),46174.64583333333)</f>
        <v>46174.64583</v>
      </c>
      <c r="C29" s="193">
        <f>IFERROR(__xludf.DUMMYFUNCTION("""COMPUTED_VALUE"""),210.57)</f>
        <v>210.57</v>
      </c>
      <c r="D29" s="9"/>
      <c r="E29" s="217">
        <f>IFERROR(__xludf.DUMMYFUNCTION("""COMPUTED_VALUE"""),46174.64583333333)</f>
        <v>46174.64583</v>
      </c>
      <c r="F29" s="193">
        <f>IFERROR(__xludf.DUMMYFUNCTION("""COMPUTED_VALUE"""),1299.4)</f>
        <v>1299.4</v>
      </c>
      <c r="G29" s="9"/>
      <c r="H29" s="29">
        <f t="shared" si="3"/>
        <v>0.1620517162</v>
      </c>
      <c r="I29" s="1">
        <f t="shared" si="4"/>
        <v>-1088.83</v>
      </c>
      <c r="J29" s="113">
        <f t="shared" si="5"/>
        <v>-0.2684762152</v>
      </c>
      <c r="K29" s="199">
        <f t="shared" si="6"/>
        <v>0.1620517162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217">
        <f>IFERROR(__xludf.DUMMYFUNCTION("""COMPUTED_VALUE"""),46175.64583333333)</f>
        <v>46175.64583</v>
      </c>
      <c r="C30" s="193">
        <f>IFERROR(__xludf.DUMMYFUNCTION("""COMPUTED_VALUE"""),210.6)</f>
        <v>210.6</v>
      </c>
      <c r="D30" s="9"/>
      <c r="E30" s="217">
        <f>IFERROR(__xludf.DUMMYFUNCTION("""COMPUTED_VALUE"""),46175.64583333333)</f>
        <v>46175.64583</v>
      </c>
      <c r="F30" s="193">
        <f>IFERROR(__xludf.DUMMYFUNCTION("""COMPUTED_VALUE"""),1310.8)</f>
        <v>1310.8</v>
      </c>
      <c r="G30" s="9"/>
      <c r="H30" s="29">
        <f t="shared" si="3"/>
        <v>0.1606652426</v>
      </c>
      <c r="I30" s="1">
        <f t="shared" si="4"/>
        <v>-1100.2</v>
      </c>
      <c r="J30" s="113">
        <f t="shared" si="5"/>
        <v>-0.662865694</v>
      </c>
      <c r="K30" s="199">
        <f t="shared" si="6"/>
        <v>0.1606652426</v>
      </c>
      <c r="L30" s="193">
        <f t="shared" ref="L30:L118" si="7">AVERAGE(C11:C30)</f>
        <v>212.42</v>
      </c>
      <c r="M30" s="210">
        <f t="shared" ref="M30:M118" si="8">(C30-L30)/C30</f>
        <v>-0.008641975309</v>
      </c>
      <c r="N30" s="213">
        <f t="shared" ref="N30:N118" si="9">AVERAGE(F11:F30)</f>
        <v>1283.045</v>
      </c>
      <c r="O30" s="210">
        <f t="shared" ref="O30:O118" si="10">(F30-N30)/F30</f>
        <v>0.02117409216</v>
      </c>
      <c r="P30" s="210">
        <f t="shared" ref="P30:P118" si="11">M30-O30</f>
        <v>-0.02981606747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217">
        <f>IFERROR(__xludf.DUMMYFUNCTION("""COMPUTED_VALUE"""),46176.64583333333)</f>
        <v>46176.64583</v>
      </c>
      <c r="C31" s="193">
        <f>IFERROR(__xludf.DUMMYFUNCTION("""COMPUTED_VALUE"""),211.89)</f>
        <v>211.89</v>
      </c>
      <c r="D31" s="9"/>
      <c r="E31" s="217">
        <f>IFERROR(__xludf.DUMMYFUNCTION("""COMPUTED_VALUE"""),46176.64583333333)</f>
        <v>46176.64583</v>
      </c>
      <c r="F31" s="193">
        <f>IFERROR(__xludf.DUMMYFUNCTION("""COMPUTED_VALUE"""),1312.9)</f>
        <v>1312.9</v>
      </c>
      <c r="G31" s="9"/>
      <c r="H31" s="29">
        <f t="shared" si="3"/>
        <v>0.1613908142</v>
      </c>
      <c r="I31" s="1">
        <f t="shared" si="4"/>
        <v>-1101.01</v>
      </c>
      <c r="J31" s="113">
        <f t="shared" si="5"/>
        <v>-0.6909620421</v>
      </c>
      <c r="K31" s="199">
        <f t="shared" si="6"/>
        <v>0.1613908142</v>
      </c>
      <c r="L31" s="213">
        <f t="shared" si="7"/>
        <v>212.4485</v>
      </c>
      <c r="M31" s="210">
        <f t="shared" si="8"/>
        <v>-0.002635801595</v>
      </c>
      <c r="N31" s="213">
        <f t="shared" si="9"/>
        <v>1286.07</v>
      </c>
      <c r="O31" s="210">
        <f t="shared" si="10"/>
        <v>0.02043567675</v>
      </c>
      <c r="P31" s="210">
        <f t="shared" si="11"/>
        <v>-0.02307147834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217">
        <f>IFERROR(__xludf.DUMMYFUNCTION("""COMPUTED_VALUE"""),46177.64583333333)</f>
        <v>46177.64583</v>
      </c>
      <c r="C32" s="193">
        <f>IFERROR(__xludf.DUMMYFUNCTION("""COMPUTED_VALUE"""),210.57)</f>
        <v>210.57</v>
      </c>
      <c r="D32" s="9"/>
      <c r="E32" s="217">
        <f>IFERROR(__xludf.DUMMYFUNCTION("""COMPUTED_VALUE"""),46177.64583333333)</f>
        <v>46177.64583</v>
      </c>
      <c r="F32" s="193">
        <f>IFERROR(__xludf.DUMMYFUNCTION("""COMPUTED_VALUE"""),1301.1)</f>
        <v>1301.1</v>
      </c>
      <c r="G32" s="9"/>
      <c r="H32" s="29">
        <f t="shared" si="3"/>
        <v>0.1618399816</v>
      </c>
      <c r="I32" s="1">
        <f t="shared" si="4"/>
        <v>-1090.53</v>
      </c>
      <c r="J32" s="113">
        <f t="shared" si="5"/>
        <v>-0.3274438593</v>
      </c>
      <c r="K32" s="199">
        <f t="shared" si="6"/>
        <v>0.1618399816</v>
      </c>
      <c r="L32" s="213">
        <f t="shared" si="7"/>
        <v>212.2035</v>
      </c>
      <c r="M32" s="210">
        <f t="shared" si="8"/>
        <v>-0.007757515316</v>
      </c>
      <c r="N32" s="213">
        <f t="shared" si="9"/>
        <v>1287.46</v>
      </c>
      <c r="O32" s="210">
        <f t="shared" si="10"/>
        <v>0.01048343709</v>
      </c>
      <c r="P32" s="210">
        <f t="shared" si="11"/>
        <v>-0.01824095241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217">
        <f>IFERROR(__xludf.DUMMYFUNCTION("""COMPUTED_VALUE"""),46178.64583333333)</f>
        <v>46178.64583</v>
      </c>
      <c r="C33" s="193">
        <f>IFERROR(__xludf.DUMMYFUNCTION("""COMPUTED_VALUE"""),206.77)</f>
        <v>206.77</v>
      </c>
      <c r="D33" s="9"/>
      <c r="E33" s="217">
        <f>IFERROR(__xludf.DUMMYFUNCTION("""COMPUTED_VALUE"""),46178.64583333333)</f>
        <v>46178.64583</v>
      </c>
      <c r="F33" s="193">
        <f>IFERROR(__xludf.DUMMYFUNCTION("""COMPUTED_VALUE"""),1284.0)</f>
        <v>1284</v>
      </c>
      <c r="G33" s="9"/>
      <c r="H33" s="29">
        <f t="shared" si="3"/>
        <v>0.1610358255</v>
      </c>
      <c r="I33" s="1">
        <f t="shared" si="4"/>
        <v>-1077.23</v>
      </c>
      <c r="J33" s="113">
        <f t="shared" si="5"/>
        <v>0.1338912391</v>
      </c>
      <c r="K33" s="199">
        <f t="shared" si="6"/>
        <v>0.1610358255</v>
      </c>
      <c r="L33" s="213">
        <f t="shared" si="7"/>
        <v>211.6875</v>
      </c>
      <c r="M33" s="210">
        <f t="shared" si="8"/>
        <v>-0.02378246361</v>
      </c>
      <c r="N33" s="213">
        <f t="shared" si="9"/>
        <v>1287.49</v>
      </c>
      <c r="O33" s="210">
        <f t="shared" si="10"/>
        <v>-0.002718068536</v>
      </c>
      <c r="P33" s="210">
        <f t="shared" si="11"/>
        <v>-0.02106439507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217">
        <f>IFERROR(__xludf.DUMMYFUNCTION("""COMPUTED_VALUE"""),46181.64583333333)</f>
        <v>46181.64583</v>
      </c>
      <c r="C34" s="193">
        <f>IFERROR(__xludf.DUMMYFUNCTION("""COMPUTED_VALUE"""),202.72)</f>
        <v>202.72</v>
      </c>
      <c r="D34" s="9"/>
      <c r="E34" s="217">
        <f>IFERROR(__xludf.DUMMYFUNCTION("""COMPUTED_VALUE"""),46181.64583333333)</f>
        <v>46181.64583</v>
      </c>
      <c r="F34" s="193">
        <f>IFERROR(__xludf.DUMMYFUNCTION("""COMPUTED_VALUE"""),1260.7)</f>
        <v>1260.7</v>
      </c>
      <c r="G34" s="9"/>
      <c r="H34" s="29">
        <f t="shared" si="3"/>
        <v>0.1607995558</v>
      </c>
      <c r="I34" s="1">
        <f t="shared" si="4"/>
        <v>-1057.98</v>
      </c>
      <c r="J34" s="113">
        <f t="shared" si="5"/>
        <v>0.801613092</v>
      </c>
      <c r="K34" s="199">
        <f t="shared" si="6"/>
        <v>0.1607995558</v>
      </c>
      <c r="L34" s="213">
        <f t="shared" si="7"/>
        <v>211.099</v>
      </c>
      <c r="M34" s="210">
        <f t="shared" si="8"/>
        <v>-0.04133287293</v>
      </c>
      <c r="N34" s="213">
        <f t="shared" si="9"/>
        <v>1286.635</v>
      </c>
      <c r="O34" s="210">
        <f t="shared" si="10"/>
        <v>-0.0205719045</v>
      </c>
      <c r="P34" s="210">
        <f t="shared" si="11"/>
        <v>-0.02076096843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217">
        <f>IFERROR(__xludf.DUMMYFUNCTION("""COMPUTED_VALUE"""),46182.64583333333)</f>
        <v>46182.64583</v>
      </c>
      <c r="C35" s="193">
        <f>IFERROR(__xludf.DUMMYFUNCTION("""COMPUTED_VALUE"""),203.18)</f>
        <v>203.18</v>
      </c>
      <c r="D35" s="9"/>
      <c r="E35" s="217">
        <f>IFERROR(__xludf.DUMMYFUNCTION("""COMPUTED_VALUE"""),46182.64583333333)</f>
        <v>46182.64583</v>
      </c>
      <c r="F35" s="193">
        <f>IFERROR(__xludf.DUMMYFUNCTION("""COMPUTED_VALUE"""),1261.7)</f>
        <v>1261.7</v>
      </c>
      <c r="G35" s="9"/>
      <c r="H35" s="29">
        <f t="shared" si="3"/>
        <v>0.1610366965</v>
      </c>
      <c r="I35" s="1">
        <f t="shared" si="4"/>
        <v>-1058.52</v>
      </c>
      <c r="J35" s="113">
        <f t="shared" si="5"/>
        <v>0.7828821933</v>
      </c>
      <c r="K35" s="199">
        <f t="shared" si="6"/>
        <v>0.1610366965</v>
      </c>
      <c r="L35" s="213">
        <f t="shared" si="7"/>
        <v>210.654</v>
      </c>
      <c r="M35" s="210">
        <f t="shared" si="8"/>
        <v>-0.03678511665</v>
      </c>
      <c r="N35" s="213">
        <f t="shared" si="9"/>
        <v>1286.59</v>
      </c>
      <c r="O35" s="210">
        <f t="shared" si="10"/>
        <v>-0.01972735199</v>
      </c>
      <c r="P35" s="210">
        <f t="shared" si="11"/>
        <v>-0.01705776466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217">
        <f>IFERROR(__xludf.DUMMYFUNCTION("""COMPUTED_VALUE"""),46183.64583333333)</f>
        <v>46183.64583</v>
      </c>
      <c r="C36" s="193">
        <f>IFERROR(__xludf.DUMMYFUNCTION("""COMPUTED_VALUE"""),199.31)</f>
        <v>199.31</v>
      </c>
      <c r="D36" s="9"/>
      <c r="E36" s="217">
        <f>IFERROR(__xludf.DUMMYFUNCTION("""COMPUTED_VALUE"""),46183.64583333333)</f>
        <v>46183.64583</v>
      </c>
      <c r="F36" s="193">
        <f>IFERROR(__xludf.DUMMYFUNCTION("""COMPUTED_VALUE"""),1269.8)</f>
        <v>1269.8</v>
      </c>
      <c r="G36" s="9"/>
      <c r="H36" s="29">
        <f t="shared" si="3"/>
        <v>0.1569617263</v>
      </c>
      <c r="I36" s="1">
        <f t="shared" si="4"/>
        <v>-1070.49</v>
      </c>
      <c r="J36" s="113">
        <f t="shared" si="5"/>
        <v>0.3676806047</v>
      </c>
      <c r="K36" s="199">
        <f t="shared" si="6"/>
        <v>0.1569617263</v>
      </c>
      <c r="L36" s="213">
        <f t="shared" si="7"/>
        <v>210.0195</v>
      </c>
      <c r="M36" s="210">
        <f t="shared" si="8"/>
        <v>-0.05373287843</v>
      </c>
      <c r="N36" s="213">
        <f t="shared" si="9"/>
        <v>1287.465</v>
      </c>
      <c r="O36" s="210">
        <f t="shared" si="10"/>
        <v>-0.01391163963</v>
      </c>
      <c r="P36" s="210">
        <f t="shared" si="11"/>
        <v>-0.0398212388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217">
        <f>IFERROR(__xludf.DUMMYFUNCTION("""COMPUTED_VALUE"""),46184.64583333333)</f>
        <v>46184.64583</v>
      </c>
      <c r="C37" s="193">
        <f>IFERROR(__xludf.DUMMYFUNCTION("""COMPUTED_VALUE"""),197.96)</f>
        <v>197.96</v>
      </c>
      <c r="D37" s="9"/>
      <c r="E37" s="217">
        <f>IFERROR(__xludf.DUMMYFUNCTION("""COMPUTED_VALUE"""),46184.64583333333)</f>
        <v>46184.64583</v>
      </c>
      <c r="F37" s="193">
        <f>IFERROR(__xludf.DUMMYFUNCTION("""COMPUTED_VALUE"""),1282.3)</f>
        <v>1282.3</v>
      </c>
      <c r="G37" s="9"/>
      <c r="H37" s="29">
        <f t="shared" si="3"/>
        <v>0.1543788505</v>
      </c>
      <c r="I37" s="1">
        <f t="shared" si="4"/>
        <v>-1084.34</v>
      </c>
      <c r="J37" s="113">
        <f t="shared" si="5"/>
        <v>-0.1127322609</v>
      </c>
      <c r="K37" s="199">
        <f t="shared" si="6"/>
        <v>0.1543788505</v>
      </c>
      <c r="L37" s="213">
        <f t="shared" si="7"/>
        <v>208.9365</v>
      </c>
      <c r="M37" s="210">
        <f t="shared" si="8"/>
        <v>-0.05544807032</v>
      </c>
      <c r="N37" s="213">
        <f t="shared" si="9"/>
        <v>1287.835</v>
      </c>
      <c r="O37" s="210">
        <f t="shared" si="10"/>
        <v>-0.004316462606</v>
      </c>
      <c r="P37" s="210">
        <f t="shared" si="11"/>
        <v>-0.05113160771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217">
        <f>IFERROR(__xludf.DUMMYFUNCTION("""COMPUTED_VALUE"""),46185.64583333333)</f>
        <v>46185.64583</v>
      </c>
      <c r="C38" s="193">
        <f>IFERROR(__xludf.DUMMYFUNCTION("""COMPUTED_VALUE"""),197.86)</f>
        <v>197.86</v>
      </c>
      <c r="D38" s="9"/>
      <c r="E38" s="217">
        <f>IFERROR(__xludf.DUMMYFUNCTION("""COMPUTED_VALUE"""),46185.64583333333)</f>
        <v>46185.64583</v>
      </c>
      <c r="F38" s="193">
        <f>IFERROR(__xludf.DUMMYFUNCTION("""COMPUTED_VALUE"""),1297.6)</f>
        <v>1297.6</v>
      </c>
      <c r="G38" s="9"/>
      <c r="H38" s="29">
        <f t="shared" si="3"/>
        <v>0.1524815043</v>
      </c>
      <c r="I38" s="1">
        <f t="shared" si="4"/>
        <v>-1099.74</v>
      </c>
      <c r="J38" s="113">
        <f t="shared" si="5"/>
        <v>-0.6469097432</v>
      </c>
      <c r="K38" s="199">
        <f t="shared" si="6"/>
        <v>0.1524815043</v>
      </c>
      <c r="L38" s="213">
        <f t="shared" si="7"/>
        <v>207.773</v>
      </c>
      <c r="M38" s="210">
        <f t="shared" si="8"/>
        <v>-0.05010108157</v>
      </c>
      <c r="N38" s="213">
        <f t="shared" si="9"/>
        <v>1287.87</v>
      </c>
      <c r="O38" s="210">
        <f t="shared" si="10"/>
        <v>0.007498458693</v>
      </c>
      <c r="P38" s="210">
        <f t="shared" si="11"/>
        <v>-0.05759954027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217">
        <f>IFERROR(__xludf.DUMMYFUNCTION("""COMPUTED_VALUE"""),46188.64583333333)</f>
        <v>46188.64583</v>
      </c>
      <c r="C39" s="193">
        <f>IFERROR(__xludf.DUMMYFUNCTION("""COMPUTED_VALUE"""),197.28)</f>
        <v>197.28</v>
      </c>
      <c r="D39" s="9"/>
      <c r="E39" s="217">
        <f>IFERROR(__xludf.DUMMYFUNCTION("""COMPUTED_VALUE"""),46188.64583333333)</f>
        <v>46188.64583</v>
      </c>
      <c r="F39" s="193">
        <f>IFERROR(__xludf.DUMMYFUNCTION("""COMPUTED_VALUE"""),1296.5)</f>
        <v>1296.5</v>
      </c>
      <c r="G39" s="9"/>
      <c r="H39" s="29">
        <f t="shared" si="3"/>
        <v>0.1521635172</v>
      </c>
      <c r="I39" s="1">
        <f t="shared" si="4"/>
        <v>-1099.22</v>
      </c>
      <c r="J39" s="113">
        <f t="shared" si="5"/>
        <v>-0.6288725815</v>
      </c>
      <c r="K39" s="199">
        <f t="shared" si="6"/>
        <v>0.1521635172</v>
      </c>
      <c r="L39" s="213">
        <f t="shared" si="7"/>
        <v>206.795</v>
      </c>
      <c r="M39" s="210">
        <f t="shared" si="8"/>
        <v>-0.04823094079</v>
      </c>
      <c r="N39" s="213">
        <f t="shared" si="9"/>
        <v>1288.755</v>
      </c>
      <c r="O39" s="210">
        <f t="shared" si="10"/>
        <v>0.00597377555</v>
      </c>
      <c r="P39" s="210">
        <f t="shared" si="11"/>
        <v>-0.05420471634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217">
        <f>IFERROR(__xludf.DUMMYFUNCTION("""COMPUTED_VALUE"""),46189.64583333333)</f>
        <v>46189.64583</v>
      </c>
      <c r="C40" s="193">
        <f>IFERROR(__xludf.DUMMYFUNCTION("""COMPUTED_VALUE"""),196.0)</f>
        <v>196</v>
      </c>
      <c r="D40" s="9"/>
      <c r="E40" s="217">
        <f>IFERROR(__xludf.DUMMYFUNCTION("""COMPUTED_VALUE"""),46189.64583333333)</f>
        <v>46189.64583</v>
      </c>
      <c r="F40" s="193">
        <f>IFERROR(__xludf.DUMMYFUNCTION("""COMPUTED_VALUE"""),1274.3)</f>
        <v>1274.3</v>
      </c>
      <c r="G40" s="9"/>
      <c r="H40" s="29">
        <f t="shared" si="3"/>
        <v>0.1538099349</v>
      </c>
      <c r="I40" s="1">
        <f t="shared" si="4"/>
        <v>-1078.3</v>
      </c>
      <c r="J40" s="113">
        <f t="shared" si="5"/>
        <v>0.09677631011</v>
      </c>
      <c r="K40" s="199">
        <f t="shared" si="6"/>
        <v>0.1538099349</v>
      </c>
      <c r="L40" s="213">
        <f t="shared" si="7"/>
        <v>206.1095</v>
      </c>
      <c r="M40" s="210">
        <f t="shared" si="8"/>
        <v>-0.05157908163</v>
      </c>
      <c r="N40" s="213">
        <f t="shared" si="9"/>
        <v>1287.83</v>
      </c>
      <c r="O40" s="210">
        <f t="shared" si="10"/>
        <v>-0.01061759397</v>
      </c>
      <c r="P40" s="210">
        <f t="shared" si="11"/>
        <v>-0.04096148766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217">
        <f>IFERROR(__xludf.DUMMYFUNCTION("""COMPUTED_VALUE"""),46190.64583333333)</f>
        <v>46190.64583</v>
      </c>
      <c r="C41" s="193">
        <f>IFERROR(__xludf.DUMMYFUNCTION("""COMPUTED_VALUE"""),199.01)</f>
        <v>199.01</v>
      </c>
      <c r="D41" s="9"/>
      <c r="E41" s="217">
        <f>IFERROR(__xludf.DUMMYFUNCTION("""COMPUTED_VALUE"""),46190.64583333333)</f>
        <v>46190.64583</v>
      </c>
      <c r="F41" s="193">
        <f>IFERROR(__xludf.DUMMYFUNCTION("""COMPUTED_VALUE"""),1287.2)</f>
        <v>1287.2</v>
      </c>
      <c r="G41" s="9"/>
      <c r="H41" s="29">
        <f t="shared" si="3"/>
        <v>0.1546068987</v>
      </c>
      <c r="I41" s="1">
        <f t="shared" si="4"/>
        <v>-1088.19</v>
      </c>
      <c r="J41" s="113">
        <f t="shared" si="5"/>
        <v>-0.2462766315</v>
      </c>
      <c r="K41" s="199">
        <f t="shared" si="6"/>
        <v>0.1546068987</v>
      </c>
      <c r="L41" s="213">
        <f t="shared" si="7"/>
        <v>205.5955</v>
      </c>
      <c r="M41" s="210">
        <f t="shared" si="8"/>
        <v>-0.03309130194</v>
      </c>
      <c r="N41" s="213">
        <f t="shared" si="9"/>
        <v>1287.93</v>
      </c>
      <c r="O41" s="210">
        <f t="shared" si="10"/>
        <v>-0.0005671224363</v>
      </c>
      <c r="P41" s="210">
        <f t="shared" si="11"/>
        <v>-0.03252417951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217">
        <f>IFERROR(__xludf.DUMMYFUNCTION("""COMPUTED_VALUE"""),46191.64583333333)</f>
        <v>46191.64583</v>
      </c>
      <c r="C42" s="193">
        <f>IFERROR(__xludf.DUMMYFUNCTION("""COMPUTED_VALUE"""),200.52)</f>
        <v>200.52</v>
      </c>
      <c r="D42" s="9"/>
      <c r="E42" s="217">
        <f>IFERROR(__xludf.DUMMYFUNCTION("""COMPUTED_VALUE"""),46191.64583333333)</f>
        <v>46191.64583</v>
      </c>
      <c r="F42" s="193">
        <f>IFERROR(__xludf.DUMMYFUNCTION("""COMPUTED_VALUE"""),1293.9)</f>
        <v>1293.9</v>
      </c>
      <c r="G42" s="9"/>
      <c r="H42" s="29">
        <f t="shared" si="3"/>
        <v>0.1549733364</v>
      </c>
      <c r="I42" s="1">
        <f t="shared" si="4"/>
        <v>-1093.38</v>
      </c>
      <c r="J42" s="113">
        <f t="shared" si="5"/>
        <v>-0.4263013804</v>
      </c>
      <c r="K42" s="199">
        <f t="shared" si="6"/>
        <v>0.1549733364</v>
      </c>
      <c r="L42" s="213">
        <f t="shared" si="7"/>
        <v>205.271</v>
      </c>
      <c r="M42" s="210">
        <f t="shared" si="8"/>
        <v>-0.02369339717</v>
      </c>
      <c r="N42" s="213">
        <f t="shared" si="9"/>
        <v>1288.465</v>
      </c>
      <c r="O42" s="210">
        <f t="shared" si="10"/>
        <v>0.004200479171</v>
      </c>
      <c r="P42" s="210">
        <f t="shared" si="11"/>
        <v>-0.02789387634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217">
        <f>IFERROR(__xludf.DUMMYFUNCTION("""COMPUTED_VALUE"""),46192.64583333333)</f>
        <v>46192.64583</v>
      </c>
      <c r="C43" s="193">
        <f>IFERROR(__xludf.DUMMYFUNCTION("""COMPUTED_VALUE"""),198.96)</f>
        <v>198.96</v>
      </c>
      <c r="D43" s="9"/>
      <c r="E43" s="217">
        <f>IFERROR(__xludf.DUMMYFUNCTION("""COMPUTED_VALUE"""),46192.64583333333)</f>
        <v>46192.64583</v>
      </c>
      <c r="F43" s="193">
        <f>IFERROR(__xludf.DUMMYFUNCTION("""COMPUTED_VALUE"""),1287.7)</f>
        <v>1287.7</v>
      </c>
      <c r="G43" s="9"/>
      <c r="H43" s="29">
        <f t="shared" si="3"/>
        <v>0.1545080376</v>
      </c>
      <c r="I43" s="1">
        <f t="shared" si="4"/>
        <v>-1088.74</v>
      </c>
      <c r="J43" s="113">
        <f t="shared" si="5"/>
        <v>-0.2653543987</v>
      </c>
      <c r="K43" s="199">
        <f t="shared" si="6"/>
        <v>0.1545080376</v>
      </c>
      <c r="L43" s="213">
        <f t="shared" si="7"/>
        <v>204.79</v>
      </c>
      <c r="M43" s="210">
        <f t="shared" si="8"/>
        <v>-0.02930237234</v>
      </c>
      <c r="N43" s="213">
        <f t="shared" si="9"/>
        <v>1288.785</v>
      </c>
      <c r="O43" s="210">
        <f t="shared" si="10"/>
        <v>-0.0008425875592</v>
      </c>
      <c r="P43" s="210">
        <f t="shared" si="11"/>
        <v>-0.02845978478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217">
        <f>IFERROR(__xludf.DUMMYFUNCTION("""COMPUTED_VALUE"""),46195.64583333333)</f>
        <v>46195.64583</v>
      </c>
      <c r="C44" s="193">
        <f>IFERROR(__xludf.DUMMYFUNCTION("""COMPUTED_VALUE"""),198.97)</f>
        <v>198.97</v>
      </c>
      <c r="D44" s="9"/>
      <c r="E44" s="217">
        <f>IFERROR(__xludf.DUMMYFUNCTION("""COMPUTED_VALUE"""),46195.64583333333)</f>
        <v>46195.64583</v>
      </c>
      <c r="F44" s="193">
        <f>IFERROR(__xludf.DUMMYFUNCTION("""COMPUTED_VALUE"""),1282.4)</f>
        <v>1282.4</v>
      </c>
      <c r="G44" s="9"/>
      <c r="H44" s="29">
        <f t="shared" si="3"/>
        <v>0.155154398</v>
      </c>
      <c r="I44" s="1">
        <f t="shared" si="4"/>
        <v>-1083.43</v>
      </c>
      <c r="J44" s="113">
        <f t="shared" si="5"/>
        <v>-0.08116722784</v>
      </c>
      <c r="K44" s="199">
        <f t="shared" si="6"/>
        <v>0.155154398</v>
      </c>
      <c r="L44" s="213">
        <f t="shared" si="7"/>
        <v>204.279</v>
      </c>
      <c r="M44" s="210">
        <f t="shared" si="8"/>
        <v>-0.02668241443</v>
      </c>
      <c r="N44" s="213">
        <f t="shared" si="9"/>
        <v>1288.63</v>
      </c>
      <c r="O44" s="210">
        <f t="shared" si="10"/>
        <v>-0.004858078603</v>
      </c>
      <c r="P44" s="210">
        <f t="shared" si="11"/>
        <v>-0.02182433583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217">
        <f>IFERROR(__xludf.DUMMYFUNCTION("""COMPUTED_VALUE"""),46196.64583333333)</f>
        <v>46196.64583</v>
      </c>
      <c r="C45" s="193">
        <f>IFERROR(__xludf.DUMMYFUNCTION("""COMPUTED_VALUE"""),193.56)</f>
        <v>193.56</v>
      </c>
      <c r="D45" s="9"/>
      <c r="E45" s="217">
        <f>IFERROR(__xludf.DUMMYFUNCTION("""COMPUTED_VALUE"""),46196.64583333333)</f>
        <v>46196.64583</v>
      </c>
      <c r="F45" s="193">
        <f>IFERROR(__xludf.DUMMYFUNCTION("""COMPUTED_VALUE"""),1242.2)</f>
        <v>1242.2</v>
      </c>
      <c r="G45" s="9"/>
      <c r="H45" s="29">
        <f t="shared" si="3"/>
        <v>0.1558203188</v>
      </c>
      <c r="I45" s="1">
        <f t="shared" si="4"/>
        <v>-1048.64</v>
      </c>
      <c r="J45" s="113">
        <f t="shared" si="5"/>
        <v>1.125588266</v>
      </c>
      <c r="K45" s="199">
        <f t="shared" si="6"/>
        <v>0.1558203188</v>
      </c>
      <c r="L45" s="213">
        <f t="shared" si="7"/>
        <v>203.446</v>
      </c>
      <c r="M45" s="210">
        <f t="shared" si="8"/>
        <v>-0.05107460219</v>
      </c>
      <c r="N45" s="213">
        <f t="shared" si="9"/>
        <v>1286.27</v>
      </c>
      <c r="O45" s="210">
        <f t="shared" si="10"/>
        <v>-0.03547737884</v>
      </c>
      <c r="P45" s="210">
        <f t="shared" si="11"/>
        <v>-0.01559722335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217">
        <f>IFERROR(__xludf.DUMMYFUNCTION("""COMPUTED_VALUE"""),46197.64583333333)</f>
        <v>46197.64583</v>
      </c>
      <c r="C46" s="193">
        <f>IFERROR(__xludf.DUMMYFUNCTION("""COMPUTED_VALUE"""),190.16)</f>
        <v>190.16</v>
      </c>
      <c r="D46" s="9"/>
      <c r="E46" s="217">
        <f>IFERROR(__xludf.DUMMYFUNCTION("""COMPUTED_VALUE"""),46197.64583333333)</f>
        <v>46197.64583</v>
      </c>
      <c r="F46" s="193">
        <f>IFERROR(__xludf.DUMMYFUNCTION("""COMPUTED_VALUE"""),1231.2)</f>
        <v>1231.2</v>
      </c>
      <c r="G46" s="9"/>
      <c r="H46" s="29">
        <f t="shared" si="3"/>
        <v>0.1544509422</v>
      </c>
      <c r="I46" s="1">
        <f t="shared" si="4"/>
        <v>-1041.04</v>
      </c>
      <c r="J46" s="113">
        <f t="shared" si="5"/>
        <v>1.389208323</v>
      </c>
      <c r="K46" s="199">
        <f t="shared" si="6"/>
        <v>0.1544509422</v>
      </c>
      <c r="L46" s="213">
        <f t="shared" si="7"/>
        <v>202.4305</v>
      </c>
      <c r="M46" s="210">
        <f t="shared" si="8"/>
        <v>-0.06452724022</v>
      </c>
      <c r="N46" s="213">
        <f t="shared" si="9"/>
        <v>1283.15</v>
      </c>
      <c r="O46" s="210">
        <f t="shared" si="10"/>
        <v>-0.04219460689</v>
      </c>
      <c r="P46" s="210">
        <f t="shared" si="11"/>
        <v>-0.02233263333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217">
        <f>IFERROR(__xludf.DUMMYFUNCTION("""COMPUTED_VALUE"""),46198.64583333333)</f>
        <v>46198.64583</v>
      </c>
      <c r="C47" s="193">
        <f>IFERROR(__xludf.DUMMYFUNCTION("""COMPUTED_VALUE"""),188.71)</f>
        <v>188.71</v>
      </c>
      <c r="D47" s="9"/>
      <c r="E47" s="217">
        <f>IFERROR(__xludf.DUMMYFUNCTION("""COMPUTED_VALUE"""),46198.64583333333)</f>
        <v>46198.64583</v>
      </c>
      <c r="F47" s="193">
        <f>IFERROR(__xludf.DUMMYFUNCTION("""COMPUTED_VALUE"""),1231.0)</f>
        <v>1231</v>
      </c>
      <c r="G47" s="9"/>
      <c r="H47" s="29">
        <f t="shared" si="3"/>
        <v>0.1532981316</v>
      </c>
      <c r="I47" s="1">
        <f t="shared" si="4"/>
        <v>-1042.29</v>
      </c>
      <c r="J47" s="113">
        <f t="shared" si="5"/>
        <v>1.345849761</v>
      </c>
      <c r="K47" s="199">
        <f t="shared" si="6"/>
        <v>0.1532981316</v>
      </c>
      <c r="L47" s="213">
        <f t="shared" si="7"/>
        <v>201.131</v>
      </c>
      <c r="M47" s="210">
        <f t="shared" si="8"/>
        <v>-0.06582057125</v>
      </c>
      <c r="N47" s="213">
        <f t="shared" si="9"/>
        <v>1279.235</v>
      </c>
      <c r="O47" s="210">
        <f t="shared" si="10"/>
        <v>-0.03918359058</v>
      </c>
      <c r="P47" s="210">
        <f t="shared" si="11"/>
        <v>-0.02663698067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217">
        <f>IFERROR(__xludf.DUMMYFUNCTION("""COMPUTED_VALUE"""),46202.64583333333)</f>
        <v>46202.64583</v>
      </c>
      <c r="C48" s="193">
        <f>IFERROR(__xludf.DUMMYFUNCTION("""COMPUTED_VALUE"""),189.57)</f>
        <v>189.57</v>
      </c>
      <c r="D48" s="9"/>
      <c r="E48" s="217">
        <f>IFERROR(__xludf.DUMMYFUNCTION("""COMPUTED_VALUE"""),46202.64583333333)</f>
        <v>46202.64583</v>
      </c>
      <c r="F48" s="193">
        <f>IFERROR(__xludf.DUMMYFUNCTION("""COMPUTED_VALUE"""),1232.4)</f>
        <v>1232.4</v>
      </c>
      <c r="G48" s="9"/>
      <c r="H48" s="29">
        <f t="shared" si="3"/>
        <v>0.1538218111</v>
      </c>
      <c r="I48" s="1">
        <f t="shared" si="4"/>
        <v>-1042.83</v>
      </c>
      <c r="J48" s="113">
        <f t="shared" si="5"/>
        <v>1.327118862</v>
      </c>
      <c r="K48" s="199">
        <f t="shared" si="6"/>
        <v>0.1538218111</v>
      </c>
      <c r="L48" s="213">
        <f t="shared" si="7"/>
        <v>200.2085</v>
      </c>
      <c r="M48" s="210">
        <f t="shared" si="8"/>
        <v>-0.05611911167</v>
      </c>
      <c r="N48" s="213">
        <f t="shared" si="9"/>
        <v>1276.955</v>
      </c>
      <c r="O48" s="210">
        <f t="shared" si="10"/>
        <v>-0.03615303473</v>
      </c>
      <c r="P48" s="210">
        <f t="shared" si="11"/>
        <v>-0.01996607694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217">
        <f>IFERROR(__xludf.DUMMYFUNCTION("""COMPUTED_VALUE"""),46203.64583333333)</f>
        <v>46203.64583</v>
      </c>
      <c r="C49" s="193">
        <f>IFERROR(__xludf.DUMMYFUNCTION("""COMPUTED_VALUE"""),188.06)</f>
        <v>188.06</v>
      </c>
      <c r="D49" s="9"/>
      <c r="E49" s="217">
        <f>IFERROR(__xludf.DUMMYFUNCTION("""COMPUTED_VALUE"""),46203.64583333333)</f>
        <v>46203.64583</v>
      </c>
      <c r="F49" s="193">
        <f>IFERROR(__xludf.DUMMYFUNCTION("""COMPUTED_VALUE"""),1226.4)</f>
        <v>1226.4</v>
      </c>
      <c r="G49" s="9"/>
      <c r="H49" s="29">
        <f t="shared" si="3"/>
        <v>0.1533431181</v>
      </c>
      <c r="I49" s="1">
        <f t="shared" si="4"/>
        <v>-1038.34</v>
      </c>
      <c r="J49" s="113">
        <f t="shared" si="5"/>
        <v>1.482862816</v>
      </c>
      <c r="K49" s="199">
        <f t="shared" si="6"/>
        <v>0.1533431181</v>
      </c>
      <c r="L49" s="213">
        <f t="shared" si="7"/>
        <v>199.083</v>
      </c>
      <c r="M49" s="210">
        <f t="shared" si="8"/>
        <v>-0.05861427204</v>
      </c>
      <c r="N49" s="213">
        <f t="shared" si="9"/>
        <v>1273.305</v>
      </c>
      <c r="O49" s="210">
        <f t="shared" si="10"/>
        <v>-0.03824608611</v>
      </c>
      <c r="P49" s="210">
        <f t="shared" si="11"/>
        <v>-0.02036818594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217">
        <f>IFERROR(__xludf.DUMMYFUNCTION("""COMPUTED_VALUE"""),46204.64583333333)</f>
        <v>46204.64583</v>
      </c>
      <c r="C50" s="193">
        <f>IFERROR(__xludf.DUMMYFUNCTION("""COMPUTED_VALUE"""),185.17)</f>
        <v>185.17</v>
      </c>
      <c r="D50" s="9"/>
      <c r="E50" s="217">
        <f>IFERROR(__xludf.DUMMYFUNCTION("""COMPUTED_VALUE"""),46204.64583333333)</f>
        <v>46204.64583</v>
      </c>
      <c r="F50" s="193">
        <f>IFERROR(__xludf.DUMMYFUNCTION("""COMPUTED_VALUE"""),1216.2)</f>
        <v>1216.2</v>
      </c>
      <c r="G50" s="9"/>
      <c r="H50" s="29">
        <f t="shared" si="3"/>
        <v>0.1522529189</v>
      </c>
      <c r="I50" s="1">
        <f t="shared" si="4"/>
        <v>-1031.03</v>
      </c>
      <c r="J50" s="113">
        <f t="shared" si="5"/>
        <v>1.736423686</v>
      </c>
      <c r="K50" s="199">
        <f t="shared" si="6"/>
        <v>0.1522529189</v>
      </c>
      <c r="L50" s="213">
        <f t="shared" si="7"/>
        <v>197.8115</v>
      </c>
      <c r="M50" s="210">
        <f t="shared" si="8"/>
        <v>-0.06826969812</v>
      </c>
      <c r="N50" s="213">
        <f t="shared" si="9"/>
        <v>1268.575</v>
      </c>
      <c r="O50" s="210">
        <f t="shared" si="10"/>
        <v>-0.04306446308</v>
      </c>
      <c r="P50" s="210">
        <f t="shared" si="11"/>
        <v>-0.02520523503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217">
        <f>IFERROR(__xludf.DUMMYFUNCTION("""COMPUTED_VALUE"""),46205.64583333333)</f>
        <v>46205.64583</v>
      </c>
      <c r="C51" s="193">
        <f>IFERROR(__xludf.DUMMYFUNCTION("""COMPUTED_VALUE"""),187.67)</f>
        <v>187.67</v>
      </c>
      <c r="D51" s="9"/>
      <c r="E51" s="217">
        <f>IFERROR(__xludf.DUMMYFUNCTION("""COMPUTED_VALUE"""),46205.64583333333)</f>
        <v>46205.64583</v>
      </c>
      <c r="F51" s="193">
        <f>IFERROR(__xludf.DUMMYFUNCTION("""COMPUTED_VALUE"""),1223.8)</f>
        <v>1223.8</v>
      </c>
      <c r="G51" s="9"/>
      <c r="H51" s="29">
        <f t="shared" si="3"/>
        <v>0.1533502206</v>
      </c>
      <c r="I51" s="1">
        <f t="shared" si="4"/>
        <v>-1036.13</v>
      </c>
      <c r="J51" s="113">
        <f t="shared" si="5"/>
        <v>1.559520754</v>
      </c>
      <c r="K51" s="199">
        <f t="shared" si="6"/>
        <v>0.1533502206</v>
      </c>
      <c r="L51" s="213">
        <f t="shared" si="7"/>
        <v>196.6005</v>
      </c>
      <c r="M51" s="210">
        <f t="shared" si="8"/>
        <v>-0.04758618852</v>
      </c>
      <c r="N51" s="213">
        <f t="shared" si="9"/>
        <v>1264.12</v>
      </c>
      <c r="O51" s="210">
        <f t="shared" si="10"/>
        <v>-0.0329465599</v>
      </c>
      <c r="P51" s="210">
        <f t="shared" si="11"/>
        <v>-0.01463962863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217">
        <f>IFERROR(__xludf.DUMMYFUNCTION("""COMPUTED_VALUE"""),46206.64583333333)</f>
        <v>46206.64583</v>
      </c>
      <c r="C52" s="193">
        <f>IFERROR(__xludf.DUMMYFUNCTION("""COMPUTED_VALUE"""),189.8)</f>
        <v>189.8</v>
      </c>
      <c r="D52" s="9"/>
      <c r="E52" s="217">
        <f>IFERROR(__xludf.DUMMYFUNCTION("""COMPUTED_VALUE"""),46206.64583333333)</f>
        <v>46206.64583</v>
      </c>
      <c r="F52" s="193">
        <f>IFERROR(__xludf.DUMMYFUNCTION("""COMPUTED_VALUE"""),1230.2)</f>
        <v>1230.2</v>
      </c>
      <c r="G52" s="9"/>
      <c r="H52" s="29">
        <f t="shared" si="3"/>
        <v>0.1542838563</v>
      </c>
      <c r="I52" s="1">
        <f t="shared" si="4"/>
        <v>-1040.4</v>
      </c>
      <c r="J52" s="113">
        <f t="shared" si="5"/>
        <v>1.411407906</v>
      </c>
      <c r="K52" s="199">
        <f t="shared" si="6"/>
        <v>0.1542838563</v>
      </c>
      <c r="L52" s="213">
        <f t="shared" si="7"/>
        <v>195.562</v>
      </c>
      <c r="M52" s="210">
        <f t="shared" si="8"/>
        <v>-0.03035827187</v>
      </c>
      <c r="N52" s="213">
        <f t="shared" si="9"/>
        <v>1260.575</v>
      </c>
      <c r="O52" s="210">
        <f t="shared" si="10"/>
        <v>-0.02469110714</v>
      </c>
      <c r="P52" s="210">
        <f t="shared" si="11"/>
        <v>-0.005667164728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217">
        <f>IFERROR(__xludf.DUMMYFUNCTION("""COMPUTED_VALUE"""),46209.64583333333)</f>
        <v>46209.64583</v>
      </c>
      <c r="C53" s="193">
        <f>IFERROR(__xludf.DUMMYFUNCTION("""COMPUTED_VALUE"""),190.87)</f>
        <v>190.87</v>
      </c>
      <c r="D53" s="9"/>
      <c r="E53" s="217">
        <f>IFERROR(__xludf.DUMMYFUNCTION("""COMPUTED_VALUE"""),46209.64583333333)</f>
        <v>46209.64583</v>
      </c>
      <c r="F53" s="193">
        <f>IFERROR(__xludf.DUMMYFUNCTION("""COMPUTED_VALUE"""),1243.2)</f>
        <v>1243.2</v>
      </c>
      <c r="G53" s="9"/>
      <c r="H53" s="29">
        <f t="shared" si="3"/>
        <v>0.1535312098</v>
      </c>
      <c r="I53" s="1">
        <f t="shared" si="4"/>
        <v>-1052.33</v>
      </c>
      <c r="J53" s="113">
        <f t="shared" si="5"/>
        <v>0.9975937917</v>
      </c>
      <c r="K53" s="199">
        <f t="shared" si="6"/>
        <v>0.1535312098</v>
      </c>
      <c r="L53" s="213">
        <f t="shared" si="7"/>
        <v>194.767</v>
      </c>
      <c r="M53" s="210">
        <f t="shared" si="8"/>
        <v>-0.02041703777</v>
      </c>
      <c r="N53" s="213">
        <f t="shared" si="9"/>
        <v>1258.535</v>
      </c>
      <c r="O53" s="210">
        <f t="shared" si="10"/>
        <v>-0.01233510296</v>
      </c>
      <c r="P53" s="210">
        <f t="shared" si="11"/>
        <v>-0.008081934814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217">
        <f>IFERROR(__xludf.DUMMYFUNCTION("""COMPUTED_VALUE"""),46210.64583333333)</f>
        <v>46210.64583</v>
      </c>
      <c r="C54" s="193">
        <f>IFERROR(__xludf.DUMMYFUNCTION("""COMPUTED_VALUE"""),189.79)</f>
        <v>189.79</v>
      </c>
      <c r="D54" s="9"/>
      <c r="E54" s="217">
        <f>IFERROR(__xludf.DUMMYFUNCTION("""COMPUTED_VALUE"""),46210.64583333333)</f>
        <v>46210.64583</v>
      </c>
      <c r="F54" s="193">
        <f>IFERROR(__xludf.DUMMYFUNCTION("""COMPUTED_VALUE"""),1246.4)</f>
        <v>1246.4</v>
      </c>
      <c r="G54" s="9"/>
      <c r="H54" s="29">
        <f t="shared" si="3"/>
        <v>0.1522705392</v>
      </c>
      <c r="I54" s="1">
        <f t="shared" si="4"/>
        <v>-1056.61</v>
      </c>
      <c r="J54" s="113">
        <f t="shared" si="5"/>
        <v>0.8491340758</v>
      </c>
      <c r="K54" s="199">
        <f t="shared" si="6"/>
        <v>0.1522705392</v>
      </c>
      <c r="L54" s="213">
        <f t="shared" si="7"/>
        <v>194.1205</v>
      </c>
      <c r="M54" s="210">
        <f t="shared" si="8"/>
        <v>-0.02281732441</v>
      </c>
      <c r="N54" s="213">
        <f t="shared" si="9"/>
        <v>1257.82</v>
      </c>
      <c r="O54" s="210">
        <f t="shared" si="10"/>
        <v>-0.009162387677</v>
      </c>
      <c r="P54" s="210">
        <f t="shared" si="11"/>
        <v>-0.01365493673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217">
        <f>IFERROR(__xludf.DUMMYFUNCTION("""COMPUTED_VALUE"""),46211.64583333333)</f>
        <v>46211.64583</v>
      </c>
      <c r="C55" s="193">
        <f>IFERROR(__xludf.DUMMYFUNCTION("""COMPUTED_VALUE"""),188.2)</f>
        <v>188.2</v>
      </c>
      <c r="D55" s="9"/>
      <c r="E55" s="217">
        <f>IFERROR(__xludf.DUMMYFUNCTION("""COMPUTED_VALUE"""),46211.64583333333)</f>
        <v>46211.64583</v>
      </c>
      <c r="F55" s="193">
        <f>IFERROR(__xludf.DUMMYFUNCTION("""COMPUTED_VALUE"""),1219.5)</f>
        <v>1219.5</v>
      </c>
      <c r="G55" s="9"/>
      <c r="H55" s="29">
        <f t="shared" si="3"/>
        <v>0.1543255433</v>
      </c>
      <c r="I55" s="1">
        <f t="shared" si="4"/>
        <v>-1031.3</v>
      </c>
      <c r="J55" s="113">
        <f t="shared" si="5"/>
        <v>1.727058237</v>
      </c>
      <c r="K55" s="199">
        <f t="shared" si="6"/>
        <v>0.1543255433</v>
      </c>
      <c r="L55" s="213">
        <f t="shared" si="7"/>
        <v>193.3715</v>
      </c>
      <c r="M55" s="210">
        <f t="shared" si="8"/>
        <v>-0.02747874601</v>
      </c>
      <c r="N55" s="213">
        <f t="shared" si="9"/>
        <v>1255.71</v>
      </c>
      <c r="O55" s="210">
        <f t="shared" si="10"/>
        <v>-0.02969249692</v>
      </c>
      <c r="P55" s="210">
        <f t="shared" si="11"/>
        <v>0.00221375091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217">
        <f>IFERROR(__xludf.DUMMYFUNCTION("""COMPUTED_VALUE"""),46212.64583333333)</f>
        <v>46212.64583</v>
      </c>
      <c r="C56" s="193">
        <f>IFERROR(__xludf.DUMMYFUNCTION("""COMPUTED_VALUE"""),187.91)</f>
        <v>187.91</v>
      </c>
      <c r="D56" s="9"/>
      <c r="E56" s="217">
        <f>IFERROR(__xludf.DUMMYFUNCTION("""COMPUTED_VALUE"""),46212.64583333333)</f>
        <v>46212.64583</v>
      </c>
      <c r="F56" s="193">
        <f>IFERROR(__xludf.DUMMYFUNCTION("""COMPUTED_VALUE"""),1225.8)</f>
        <v>1225.8</v>
      </c>
      <c r="G56" s="9"/>
      <c r="H56" s="29">
        <f t="shared" si="3"/>
        <v>0.1532958068</v>
      </c>
      <c r="I56" s="1">
        <f t="shared" si="4"/>
        <v>-1037.89</v>
      </c>
      <c r="J56" s="113">
        <f t="shared" si="5"/>
        <v>1.498471899</v>
      </c>
      <c r="K56" s="199">
        <f t="shared" si="6"/>
        <v>0.1532958068</v>
      </c>
      <c r="L56" s="213">
        <f t="shared" si="7"/>
        <v>192.8015</v>
      </c>
      <c r="M56" s="210">
        <f t="shared" si="8"/>
        <v>-0.02603107871</v>
      </c>
      <c r="N56" s="213">
        <f t="shared" si="9"/>
        <v>1253.51</v>
      </c>
      <c r="O56" s="210">
        <f t="shared" si="10"/>
        <v>-0.02260564529</v>
      </c>
      <c r="P56" s="210">
        <f t="shared" si="11"/>
        <v>-0.003425433415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217">
        <f>IFERROR(__xludf.DUMMYFUNCTION("""COMPUTED_VALUE"""),46213.64583333333)</f>
        <v>46213.64583</v>
      </c>
      <c r="C57" s="193">
        <f>IFERROR(__xludf.DUMMYFUNCTION("""COMPUTED_VALUE"""),191.19)</f>
        <v>191.19</v>
      </c>
      <c r="D57" s="9"/>
      <c r="E57" s="217">
        <f>IFERROR(__xludf.DUMMYFUNCTION("""COMPUTED_VALUE"""),46213.64583333333)</f>
        <v>46213.64583</v>
      </c>
      <c r="F57" s="193">
        <f>IFERROR(__xludf.DUMMYFUNCTION("""COMPUTED_VALUE"""),1245.4)</f>
        <v>1245.4</v>
      </c>
      <c r="G57" s="9"/>
      <c r="H57" s="29">
        <f t="shared" si="3"/>
        <v>0.1535169423</v>
      </c>
      <c r="I57" s="1">
        <f t="shared" si="4"/>
        <v>-1054.21</v>
      </c>
      <c r="J57" s="113">
        <f t="shared" si="5"/>
        <v>0.9323825147</v>
      </c>
      <c r="K57" s="199">
        <f t="shared" si="6"/>
        <v>0.1535169423</v>
      </c>
      <c r="L57" s="213">
        <f t="shared" si="7"/>
        <v>192.463</v>
      </c>
      <c r="M57" s="210">
        <f t="shared" si="8"/>
        <v>-0.006658298028</v>
      </c>
      <c r="N57" s="213">
        <f t="shared" si="9"/>
        <v>1251.665</v>
      </c>
      <c r="O57" s="210">
        <f t="shared" si="10"/>
        <v>-0.005030512285</v>
      </c>
      <c r="P57" s="210">
        <f t="shared" si="11"/>
        <v>-0.001627785743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217">
        <f>IFERROR(__xludf.DUMMYFUNCTION("""COMPUTED_VALUE"""),46216.64583333333)</f>
        <v>46216.64583</v>
      </c>
      <c r="C58" s="193">
        <f>IFERROR(__xludf.DUMMYFUNCTION("""COMPUTED_VALUE"""),187.11)</f>
        <v>187.11</v>
      </c>
      <c r="D58" s="9"/>
      <c r="E58" s="217">
        <f>IFERROR(__xludf.DUMMYFUNCTION("""COMPUTED_VALUE"""),46216.64583333333)</f>
        <v>46216.64583</v>
      </c>
      <c r="F58" s="193">
        <f>IFERROR(__xludf.DUMMYFUNCTION("""COMPUTED_VALUE"""),1237.4)</f>
        <v>1237.4</v>
      </c>
      <c r="G58" s="9"/>
      <c r="H58" s="29">
        <f t="shared" si="3"/>
        <v>0.1512122192</v>
      </c>
      <c r="I58" s="1">
        <f t="shared" si="4"/>
        <v>-1050.29</v>
      </c>
      <c r="J58" s="113">
        <f t="shared" si="5"/>
        <v>1.068354965</v>
      </c>
      <c r="K58" s="199">
        <f t="shared" si="6"/>
        <v>0.1512122192</v>
      </c>
      <c r="L58" s="213">
        <f t="shared" si="7"/>
        <v>191.9255</v>
      </c>
      <c r="M58" s="210">
        <f t="shared" si="8"/>
        <v>-0.02573619796</v>
      </c>
      <c r="N58" s="213">
        <f t="shared" si="9"/>
        <v>1248.655</v>
      </c>
      <c r="O58" s="210">
        <f t="shared" si="10"/>
        <v>-0.0090956845</v>
      </c>
      <c r="P58" s="210">
        <f t="shared" si="11"/>
        <v>-0.01664051346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217">
        <f>IFERROR(__xludf.DUMMYFUNCTION("""COMPUTED_VALUE"""),46217.64583333333)</f>
        <v>46217.64583</v>
      </c>
      <c r="C59" s="193">
        <f>IFERROR(__xludf.DUMMYFUNCTION("""COMPUTED_VALUE"""),188.27)</f>
        <v>188.27</v>
      </c>
      <c r="D59" s="9"/>
      <c r="E59" s="217">
        <f>IFERROR(__xludf.DUMMYFUNCTION("""COMPUTED_VALUE"""),46217.64583333333)</f>
        <v>46217.64583</v>
      </c>
      <c r="F59" s="193">
        <f>IFERROR(__xludf.DUMMYFUNCTION("""COMPUTED_VALUE"""),1247.7)</f>
        <v>1247.7</v>
      </c>
      <c r="G59" s="9"/>
      <c r="H59" s="29">
        <f t="shared" si="3"/>
        <v>0.1508936443</v>
      </c>
      <c r="I59" s="1">
        <f t="shared" si="4"/>
        <v>-1059.43</v>
      </c>
      <c r="J59" s="113">
        <f t="shared" si="5"/>
        <v>0.7513171602</v>
      </c>
      <c r="K59" s="199">
        <f t="shared" si="6"/>
        <v>0.1508936443</v>
      </c>
      <c r="L59" s="213">
        <f t="shared" si="7"/>
        <v>191.475</v>
      </c>
      <c r="M59" s="210">
        <f t="shared" si="8"/>
        <v>-0.01702342381</v>
      </c>
      <c r="N59" s="213">
        <f t="shared" si="9"/>
        <v>1246.215</v>
      </c>
      <c r="O59" s="210">
        <f t="shared" si="10"/>
        <v>0.00119018995</v>
      </c>
      <c r="P59" s="210">
        <f t="shared" si="11"/>
        <v>-0.01821361376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217">
        <f>IFERROR(__xludf.DUMMYFUNCTION("""COMPUTED_VALUE"""),46218.64583333333)</f>
        <v>46218.64583</v>
      </c>
      <c r="C60" s="193">
        <f>IFERROR(__xludf.DUMMYFUNCTION("""COMPUTED_VALUE"""),185.26)</f>
        <v>185.26</v>
      </c>
      <c r="D60" s="9"/>
      <c r="E60" s="217">
        <f>IFERROR(__xludf.DUMMYFUNCTION("""COMPUTED_VALUE"""),46218.64583333333)</f>
        <v>46218.64583</v>
      </c>
      <c r="F60" s="193">
        <f>IFERROR(__xludf.DUMMYFUNCTION("""COMPUTED_VALUE"""),1226.9)</f>
        <v>1226.9</v>
      </c>
      <c r="G60" s="9"/>
      <c r="H60" s="29">
        <f t="shared" si="3"/>
        <v>0.1509984514</v>
      </c>
      <c r="I60" s="1">
        <f t="shared" si="4"/>
        <v>-1041.64</v>
      </c>
      <c r="J60" s="113">
        <f t="shared" si="5"/>
        <v>1.368396213</v>
      </c>
      <c r="K60" s="199">
        <f t="shared" si="6"/>
        <v>0.1509984514</v>
      </c>
      <c r="L60" s="213">
        <f t="shared" si="7"/>
        <v>190.938</v>
      </c>
      <c r="M60" s="210">
        <f t="shared" si="8"/>
        <v>-0.03064881788</v>
      </c>
      <c r="N60" s="213">
        <f t="shared" si="9"/>
        <v>1243.845</v>
      </c>
      <c r="O60" s="210">
        <f t="shared" si="10"/>
        <v>-0.01381123156</v>
      </c>
      <c r="P60" s="210">
        <f t="shared" si="11"/>
        <v>-0.01683758632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217">
        <f>IFERROR(__xludf.DUMMYFUNCTION("""COMPUTED_VALUE"""),46219.64583333333)</f>
        <v>46219.64583</v>
      </c>
      <c r="C61" s="193">
        <f>IFERROR(__xludf.DUMMYFUNCTION("""COMPUTED_VALUE"""),185.49)</f>
        <v>185.49</v>
      </c>
      <c r="D61" s="9"/>
      <c r="E61" s="217">
        <f>IFERROR(__xludf.DUMMYFUNCTION("""COMPUTED_VALUE"""),46219.64583333333)</f>
        <v>46219.64583</v>
      </c>
      <c r="F61" s="193">
        <f>IFERROR(__xludf.DUMMYFUNCTION("""COMPUTED_VALUE"""),1221.0)</f>
        <v>1221</v>
      </c>
      <c r="G61" s="9"/>
      <c r="H61" s="29">
        <f t="shared" si="3"/>
        <v>0.1519164619</v>
      </c>
      <c r="I61" s="1">
        <f t="shared" si="4"/>
        <v>-1035.51</v>
      </c>
      <c r="J61" s="113">
        <f t="shared" si="5"/>
        <v>1.5810266</v>
      </c>
      <c r="K61" s="199">
        <f t="shared" si="6"/>
        <v>0.1519164619</v>
      </c>
      <c r="L61" s="213">
        <f t="shared" si="7"/>
        <v>190.262</v>
      </c>
      <c r="M61" s="210">
        <f t="shared" si="8"/>
        <v>-0.02572645426</v>
      </c>
      <c r="N61" s="213">
        <f t="shared" si="9"/>
        <v>1240.535</v>
      </c>
      <c r="O61" s="210">
        <f t="shared" si="10"/>
        <v>-0.015999181</v>
      </c>
      <c r="P61" s="210">
        <f t="shared" si="11"/>
        <v>-0.009727273257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217">
        <f>IFERROR(__xludf.DUMMYFUNCTION("""COMPUTED_VALUE"""),46220.64583333333)</f>
        <v>46220.64583</v>
      </c>
      <c r="C62" s="193">
        <f>IFERROR(__xludf.DUMMYFUNCTION("""COMPUTED_VALUE"""),185.89)</f>
        <v>185.89</v>
      </c>
      <c r="D62" s="9"/>
      <c r="E62" s="217">
        <f>IFERROR(__xludf.DUMMYFUNCTION("""COMPUTED_VALUE"""),46220.64583333333)</f>
        <v>46220.64583</v>
      </c>
      <c r="F62" s="193">
        <f>IFERROR(__xludf.DUMMYFUNCTION("""COMPUTED_VALUE"""),1237.3)</f>
        <v>1237.3</v>
      </c>
      <c r="G62" s="9"/>
      <c r="H62" s="29">
        <f t="shared" si="3"/>
        <v>0.1502384224</v>
      </c>
      <c r="I62" s="1">
        <f t="shared" si="4"/>
        <v>-1051.41</v>
      </c>
      <c r="J62" s="113">
        <f t="shared" si="5"/>
        <v>1.029505693</v>
      </c>
      <c r="K62" s="199">
        <f t="shared" si="6"/>
        <v>0.1502384224</v>
      </c>
      <c r="L62" s="213">
        <f t="shared" si="7"/>
        <v>189.5305</v>
      </c>
      <c r="M62" s="210">
        <f t="shared" si="8"/>
        <v>-0.01958416268</v>
      </c>
      <c r="N62" s="213">
        <f t="shared" si="9"/>
        <v>1237.705</v>
      </c>
      <c r="O62" s="210">
        <f t="shared" si="10"/>
        <v>-0.0003273256284</v>
      </c>
      <c r="P62" s="210">
        <f t="shared" si="11"/>
        <v>-0.01925683705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217">
        <f>IFERROR(__xludf.DUMMYFUNCTION("""COMPUTED_VALUE"""),46223.64583333333)</f>
        <v>46223.64583</v>
      </c>
      <c r="C63" s="193">
        <f>IFERROR(__xludf.DUMMYFUNCTION("""COMPUTED_VALUE"""),186.41)</f>
        <v>186.41</v>
      </c>
      <c r="D63" s="9"/>
      <c r="E63" s="217">
        <f>IFERROR(__xludf.DUMMYFUNCTION("""COMPUTED_VALUE"""),46223.64583333333)</f>
        <v>46223.64583</v>
      </c>
      <c r="F63" s="193">
        <f>IFERROR(__xludf.DUMMYFUNCTION("""COMPUTED_VALUE"""),1257.0)</f>
        <v>1257</v>
      </c>
      <c r="G63" s="9"/>
      <c r="H63" s="29">
        <f t="shared" si="3"/>
        <v>0.1482975338</v>
      </c>
      <c r="I63" s="1">
        <f t="shared" si="4"/>
        <v>-1070.59</v>
      </c>
      <c r="J63" s="113">
        <f t="shared" si="5"/>
        <v>0.3642119198</v>
      </c>
      <c r="K63" s="199">
        <f t="shared" si="6"/>
        <v>0.1482975338</v>
      </c>
      <c r="L63" s="213">
        <f t="shared" si="7"/>
        <v>188.903</v>
      </c>
      <c r="M63" s="210">
        <f t="shared" si="8"/>
        <v>-0.01337374604</v>
      </c>
      <c r="N63" s="213">
        <f t="shared" si="9"/>
        <v>1236.17</v>
      </c>
      <c r="O63" s="210">
        <f t="shared" si="10"/>
        <v>0.01657120127</v>
      </c>
      <c r="P63" s="210">
        <f t="shared" si="11"/>
        <v>-0.02994494732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93">
        <v>30.0</v>
      </c>
      <c r="B64" s="217">
        <f>IFERROR(__xludf.DUMMYFUNCTION("""COMPUTED_VALUE"""),46224.64583333333)</f>
        <v>46224.64583</v>
      </c>
      <c r="C64" s="193">
        <f>IFERROR(__xludf.DUMMYFUNCTION("""COMPUTED_VALUE"""),187.24)</f>
        <v>187.24</v>
      </c>
      <c r="D64" s="9"/>
      <c r="E64" s="217">
        <f>IFERROR(__xludf.DUMMYFUNCTION("""COMPUTED_VALUE"""),46224.64583333333)</f>
        <v>46224.64583</v>
      </c>
      <c r="F64" s="193">
        <f>IFERROR(__xludf.DUMMYFUNCTION("""COMPUTED_VALUE"""),1267.4)</f>
        <v>1267.4</v>
      </c>
      <c r="G64" s="9"/>
      <c r="H64" s="29">
        <f t="shared" si="3"/>
        <v>0.1477355215</v>
      </c>
      <c r="I64" s="1">
        <f t="shared" si="4"/>
        <v>-1080.16</v>
      </c>
      <c r="J64" s="113">
        <f t="shared" si="5"/>
        <v>0.03225877004</v>
      </c>
      <c r="K64" s="199">
        <f t="shared" si="6"/>
        <v>0.1477355215</v>
      </c>
      <c r="L64" s="213">
        <f t="shared" si="7"/>
        <v>188.3165</v>
      </c>
      <c r="M64" s="210">
        <f t="shared" si="8"/>
        <v>-0.005749305704</v>
      </c>
      <c r="N64" s="213">
        <f t="shared" si="9"/>
        <v>1235.42</v>
      </c>
      <c r="O64" s="210">
        <f t="shared" si="10"/>
        <v>0.02523275998</v>
      </c>
      <c r="P64" s="210">
        <f t="shared" si="11"/>
        <v>-0.03098206568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217">
        <f>IFERROR(__xludf.DUMMYFUNCTION("""COMPUTED_VALUE"""),46225.64583333333)</f>
        <v>46225.64583</v>
      </c>
      <c r="C65" s="193">
        <f>IFERROR(__xludf.DUMMYFUNCTION("""COMPUTED_VALUE"""),186.53)</f>
        <v>186.53</v>
      </c>
      <c r="D65" s="9"/>
      <c r="E65" s="217">
        <f>IFERROR(__xludf.DUMMYFUNCTION("""COMPUTED_VALUE"""),46225.64583333333)</f>
        <v>46225.64583</v>
      </c>
      <c r="F65" s="193">
        <f>IFERROR(__xludf.DUMMYFUNCTION("""COMPUTED_VALUE"""),1266.9)</f>
        <v>1266.9</v>
      </c>
      <c r="G65" s="9"/>
      <c r="H65" s="29">
        <f t="shared" si="3"/>
        <v>0.1472334044</v>
      </c>
      <c r="I65" s="1">
        <f t="shared" si="4"/>
        <v>-1080.37</v>
      </c>
      <c r="J65" s="113">
        <f t="shared" si="5"/>
        <v>0.02497453164</v>
      </c>
      <c r="K65" s="199">
        <f t="shared" si="6"/>
        <v>0.1472334044</v>
      </c>
      <c r="L65" s="213">
        <f t="shared" si="7"/>
        <v>187.965</v>
      </c>
      <c r="M65" s="210">
        <f t="shared" si="8"/>
        <v>-0.007693132472</v>
      </c>
      <c r="N65" s="213">
        <f t="shared" si="9"/>
        <v>1236.655</v>
      </c>
      <c r="O65" s="210">
        <f t="shared" si="10"/>
        <v>0.02387323388</v>
      </c>
      <c r="P65" s="210">
        <f t="shared" si="11"/>
        <v>-0.03156636635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217">
        <f>IFERROR(__xludf.DUMMYFUNCTION("""COMPUTED_VALUE"""),46226.64583333333)</f>
        <v>46226.64583</v>
      </c>
      <c r="C66" s="193">
        <f>IFERROR(__xludf.DUMMYFUNCTION("""COMPUTED_VALUE"""),184.23)</f>
        <v>184.23</v>
      </c>
      <c r="D66" s="9"/>
      <c r="E66" s="217">
        <f>IFERROR(__xludf.DUMMYFUNCTION("""COMPUTED_VALUE"""),46226.64583333333)</f>
        <v>46226.64583</v>
      </c>
      <c r="F66" s="193">
        <f>IFERROR(__xludf.DUMMYFUNCTION("""COMPUTED_VALUE"""),1246.8)</f>
        <v>1246.8</v>
      </c>
      <c r="G66" s="9"/>
      <c r="H66" s="29">
        <f t="shared" si="3"/>
        <v>0.1477622714</v>
      </c>
      <c r="I66" s="1">
        <f t="shared" si="4"/>
        <v>-1062.57</v>
      </c>
      <c r="J66" s="113">
        <f t="shared" si="5"/>
        <v>0.6424004528</v>
      </c>
      <c r="K66" s="199">
        <f t="shared" si="6"/>
        <v>0.1477622714</v>
      </c>
      <c r="L66" s="213">
        <f t="shared" si="7"/>
        <v>187.6685</v>
      </c>
      <c r="M66" s="210">
        <f t="shared" si="8"/>
        <v>-0.01866416979</v>
      </c>
      <c r="N66" s="213">
        <f t="shared" si="9"/>
        <v>1237.435</v>
      </c>
      <c r="O66" s="210">
        <f t="shared" si="10"/>
        <v>0.007511228746</v>
      </c>
      <c r="P66" s="210">
        <f t="shared" si="11"/>
        <v>-0.02617539853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217">
        <f>IFERROR(__xludf.DUMMYFUNCTION("""COMPUTED_VALUE"""),46227.64583333333)</f>
        <v>46227.64583</v>
      </c>
      <c r="C67" s="193">
        <f>IFERROR(__xludf.DUMMYFUNCTION("""COMPUTED_VALUE"""),182.67)</f>
        <v>182.67</v>
      </c>
      <c r="D67" s="9"/>
      <c r="E67" s="217">
        <f>IFERROR(__xludf.DUMMYFUNCTION("""COMPUTED_VALUE"""),46227.64583333333)</f>
        <v>46227.64583</v>
      </c>
      <c r="F67" s="193">
        <f>IFERROR(__xludf.DUMMYFUNCTION("""COMPUTED_VALUE"""),1240.8)</f>
        <v>1240.8</v>
      </c>
      <c r="G67" s="9"/>
      <c r="H67" s="29">
        <f t="shared" si="3"/>
        <v>0.1472195358</v>
      </c>
      <c r="I67" s="1">
        <f t="shared" si="4"/>
        <v>-1058.13</v>
      </c>
      <c r="J67" s="113">
        <f t="shared" si="5"/>
        <v>0.7964100646</v>
      </c>
      <c r="K67" s="199">
        <f t="shared" si="6"/>
        <v>0.1472195358</v>
      </c>
      <c r="L67" s="213">
        <f t="shared" si="7"/>
        <v>187.3665</v>
      </c>
      <c r="M67" s="210">
        <f t="shared" si="8"/>
        <v>-0.02571029726</v>
      </c>
      <c r="N67" s="213">
        <f t="shared" si="9"/>
        <v>1237.925</v>
      </c>
      <c r="O67" s="210">
        <f t="shared" si="10"/>
        <v>0.002317053514</v>
      </c>
      <c r="P67" s="210">
        <f t="shared" si="11"/>
        <v>-0.02802735077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217">
        <f>IFERROR(__xludf.DUMMYFUNCTION("""COMPUTED_VALUE"""),46230.64583333333)</f>
        <v>46230.64583</v>
      </c>
      <c r="C68" s="193">
        <f>IFERROR(__xludf.DUMMYFUNCTION("""COMPUTED_VALUE"""),184.25)</f>
        <v>184.25</v>
      </c>
      <c r="D68" s="9"/>
      <c r="E68" s="217">
        <f>IFERROR(__xludf.DUMMYFUNCTION("""COMPUTED_VALUE"""),46230.64583333333)</f>
        <v>46230.64583</v>
      </c>
      <c r="F68" s="193">
        <f>IFERROR(__xludf.DUMMYFUNCTION("""COMPUTED_VALUE"""),1244.6)</f>
        <v>1244.6</v>
      </c>
      <c r="G68" s="9"/>
      <c r="H68" s="29">
        <f t="shared" si="3"/>
        <v>0.1480395308</v>
      </c>
      <c r="I68" s="1">
        <f t="shared" si="4"/>
        <v>-1060.35</v>
      </c>
      <c r="J68" s="113">
        <f t="shared" si="5"/>
        <v>0.7194052587</v>
      </c>
      <c r="K68" s="199">
        <f t="shared" si="6"/>
        <v>0.1480395308</v>
      </c>
      <c r="L68" s="213">
        <f t="shared" si="7"/>
        <v>187.1005</v>
      </c>
      <c r="M68" s="210">
        <f t="shared" si="8"/>
        <v>-0.01547082768</v>
      </c>
      <c r="N68" s="213">
        <f t="shared" si="9"/>
        <v>1238.535</v>
      </c>
      <c r="O68" s="210">
        <f t="shared" si="10"/>
        <v>0.004873051583</v>
      </c>
      <c r="P68" s="210">
        <f t="shared" si="11"/>
        <v>-0.02034387926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217">
        <f>IFERROR(__xludf.DUMMYFUNCTION("""COMPUTED_VALUE"""),46231.64583333333)</f>
        <v>46231.64583</v>
      </c>
      <c r="C69" s="193">
        <f>IFERROR(__xludf.DUMMYFUNCTION("""COMPUTED_VALUE"""),182.63)</f>
        <v>182.63</v>
      </c>
      <c r="D69" s="9"/>
      <c r="E69" s="217">
        <f>IFERROR(__xludf.DUMMYFUNCTION("""COMPUTED_VALUE"""),46231.64583333333)</f>
        <v>46231.64583</v>
      </c>
      <c r="F69" s="193">
        <f>IFERROR(__xludf.DUMMYFUNCTION("""COMPUTED_VALUE"""),1246.9)</f>
        <v>1246.9</v>
      </c>
      <c r="G69" s="9"/>
      <c r="H69" s="29">
        <f t="shared" si="3"/>
        <v>0.1464672388</v>
      </c>
      <c r="I69" s="1">
        <f t="shared" si="4"/>
        <v>-1064.27</v>
      </c>
      <c r="J69" s="113">
        <f t="shared" si="5"/>
        <v>0.5834328087</v>
      </c>
      <c r="K69" s="199">
        <f t="shared" si="6"/>
        <v>0.1464672388</v>
      </c>
      <c r="L69" s="213">
        <f t="shared" si="7"/>
        <v>186.829</v>
      </c>
      <c r="M69" s="210">
        <f t="shared" si="8"/>
        <v>-0.02299184143</v>
      </c>
      <c r="N69" s="213">
        <f t="shared" si="9"/>
        <v>1239.56</v>
      </c>
      <c r="O69" s="210">
        <f t="shared" si="10"/>
        <v>0.005886598765</v>
      </c>
      <c r="P69" s="210">
        <f t="shared" si="11"/>
        <v>-0.02887844019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217">
        <f>IFERROR(__xludf.DUMMYFUNCTION("""COMPUTED_VALUE"""),46232.64583333333)</f>
        <v>46232.64583</v>
      </c>
      <c r="C70" s="193">
        <f>IFERROR(__xludf.DUMMYFUNCTION("""COMPUTED_VALUE"""),187.27)</f>
        <v>187.27</v>
      </c>
      <c r="D70" s="9"/>
      <c r="E70" s="217">
        <f>IFERROR(__xludf.DUMMYFUNCTION("""COMPUTED_VALUE"""),46232.64583333333)</f>
        <v>46232.64583</v>
      </c>
      <c r="F70" s="193">
        <f>IFERROR(__xludf.DUMMYFUNCTION("""COMPUTED_VALUE"""),1276.6)</f>
        <v>1276.6</v>
      </c>
      <c r="G70" s="9"/>
      <c r="H70" s="29">
        <f t="shared" si="3"/>
        <v>0.1466943444</v>
      </c>
      <c r="I70" s="1">
        <f t="shared" si="4"/>
        <v>-1089.33</v>
      </c>
      <c r="J70" s="113">
        <f t="shared" si="5"/>
        <v>-0.2858196399</v>
      </c>
      <c r="K70" s="199">
        <f t="shared" si="6"/>
        <v>0.1466943444</v>
      </c>
      <c r="L70" s="213">
        <f t="shared" si="7"/>
        <v>186.934</v>
      </c>
      <c r="M70" s="210">
        <f t="shared" si="8"/>
        <v>0.001794200886</v>
      </c>
      <c r="N70" s="213">
        <f t="shared" si="9"/>
        <v>1242.58</v>
      </c>
      <c r="O70" s="210">
        <f t="shared" si="10"/>
        <v>0.02664891117</v>
      </c>
      <c r="P70" s="210">
        <f t="shared" si="11"/>
        <v>-0.02485471028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217">
        <f>IFERROR(__xludf.DUMMYFUNCTION("""COMPUTED_VALUE"""),46233.64583333333)</f>
        <v>46233.64583</v>
      </c>
      <c r="C71" s="193">
        <f>IFERROR(__xludf.DUMMYFUNCTION("""COMPUTED_VALUE"""),186.92)</f>
        <v>186.92</v>
      </c>
      <c r="D71" s="9"/>
      <c r="E71" s="217">
        <f>IFERROR(__xludf.DUMMYFUNCTION("""COMPUTED_VALUE"""),46233.64583333333)</f>
        <v>46233.64583</v>
      </c>
      <c r="F71" s="193">
        <f>IFERROR(__xludf.DUMMYFUNCTION("""COMPUTED_VALUE"""),1270.8)</f>
        <v>1270.8</v>
      </c>
      <c r="G71" s="9"/>
      <c r="H71" s="29">
        <f t="shared" si="3"/>
        <v>0.1470884482</v>
      </c>
      <c r="I71" s="1">
        <f t="shared" si="4"/>
        <v>-1083.88</v>
      </c>
      <c r="J71" s="113">
        <f t="shared" si="5"/>
        <v>-0.09677631011</v>
      </c>
      <c r="K71" s="199">
        <f t="shared" si="6"/>
        <v>0.1470884482</v>
      </c>
      <c r="L71" s="213">
        <f t="shared" si="7"/>
        <v>186.8965</v>
      </c>
      <c r="M71" s="210">
        <f t="shared" si="8"/>
        <v>0.0001257222341</v>
      </c>
      <c r="N71" s="213">
        <f t="shared" si="9"/>
        <v>1244.93</v>
      </c>
      <c r="O71" s="210">
        <f t="shared" si="10"/>
        <v>0.02035725527</v>
      </c>
      <c r="P71" s="210">
        <f t="shared" si="11"/>
        <v>-0.02023153304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217">
        <f>IFERROR(__xludf.DUMMYFUNCTION("""COMPUTED_VALUE"""),46234.64583333333)</f>
        <v>46234.64583</v>
      </c>
      <c r="C72" s="193">
        <f>IFERROR(__xludf.DUMMYFUNCTION("""COMPUTED_VALUE"""),189.69)</f>
        <v>189.69</v>
      </c>
      <c r="D72" s="9"/>
      <c r="E72" s="217">
        <f>IFERROR(__xludf.DUMMYFUNCTION("""COMPUTED_VALUE"""),46234.64583333333)</f>
        <v>46234.64583</v>
      </c>
      <c r="F72" s="193">
        <f>IFERROR(__xludf.DUMMYFUNCTION("""COMPUTED_VALUE"""),1270.0)</f>
        <v>1270</v>
      </c>
      <c r="G72" s="9"/>
      <c r="H72" s="29">
        <f t="shared" si="3"/>
        <v>0.1493622047</v>
      </c>
      <c r="I72" s="1">
        <f t="shared" si="4"/>
        <v>-1080.31</v>
      </c>
      <c r="J72" s="113">
        <f t="shared" si="5"/>
        <v>0.02705574261</v>
      </c>
      <c r="K72" s="199">
        <f t="shared" si="6"/>
        <v>0.1493622047</v>
      </c>
      <c r="L72" s="213">
        <f t="shared" si="7"/>
        <v>186.891</v>
      </c>
      <c r="M72" s="210">
        <f t="shared" si="8"/>
        <v>0.01475565396</v>
      </c>
      <c r="N72" s="213">
        <f t="shared" si="9"/>
        <v>1246.92</v>
      </c>
      <c r="O72" s="210">
        <f t="shared" si="10"/>
        <v>0.01817322835</v>
      </c>
      <c r="P72" s="210">
        <f t="shared" si="11"/>
        <v>-0.003417574385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217">
        <f>IFERROR(__xludf.DUMMYFUNCTION("""COMPUTED_VALUE"""),46237.64583333333)</f>
        <v>46237.64583</v>
      </c>
      <c r="C73" s="193">
        <f>IFERROR(__xludf.DUMMYFUNCTION("""COMPUTED_VALUE"""),191.0)</f>
        <v>191</v>
      </c>
      <c r="D73" s="9"/>
      <c r="E73" s="217">
        <f>IFERROR(__xludf.DUMMYFUNCTION("""COMPUTED_VALUE"""),46237.64583333333)</f>
        <v>46237.64583</v>
      </c>
      <c r="F73" s="193">
        <f>IFERROR(__xludf.DUMMYFUNCTION("""COMPUTED_VALUE"""),1292.3)</f>
        <v>1292.3</v>
      </c>
      <c r="G73" s="9"/>
      <c r="H73" s="29">
        <f t="shared" si="3"/>
        <v>0.1477984988</v>
      </c>
      <c r="I73" s="1">
        <f t="shared" si="4"/>
        <v>-1101.3</v>
      </c>
      <c r="J73" s="113">
        <f t="shared" si="5"/>
        <v>-0.7010212285</v>
      </c>
      <c r="K73" s="199">
        <f t="shared" si="6"/>
        <v>0.1477984988</v>
      </c>
      <c r="L73" s="213">
        <f t="shared" si="7"/>
        <v>186.8975</v>
      </c>
      <c r="M73" s="210">
        <f t="shared" si="8"/>
        <v>0.02147905759</v>
      </c>
      <c r="N73" s="213">
        <f t="shared" si="9"/>
        <v>1249.375</v>
      </c>
      <c r="O73" s="210">
        <f t="shared" si="10"/>
        <v>0.03321597152</v>
      </c>
      <c r="P73" s="210">
        <f t="shared" si="11"/>
        <v>-0.01173691393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93">
        <v>20.0</v>
      </c>
      <c r="B74" s="217">
        <f>IFERROR(__xludf.DUMMYFUNCTION("""COMPUTED_VALUE"""),46238.64583333333)</f>
        <v>46238.64583</v>
      </c>
      <c r="C74" s="193">
        <f>IFERROR(__xludf.DUMMYFUNCTION("""COMPUTED_VALUE"""),190.95)</f>
        <v>190.95</v>
      </c>
      <c r="D74" s="9"/>
      <c r="E74" s="217">
        <f>IFERROR(__xludf.DUMMYFUNCTION("""COMPUTED_VALUE"""),46238.64583333333)</f>
        <v>46238.64583</v>
      </c>
      <c r="F74" s="193">
        <f>IFERROR(__xludf.DUMMYFUNCTION("""COMPUTED_VALUE"""),1300.0)</f>
        <v>1300</v>
      </c>
      <c r="G74" s="9"/>
      <c r="H74" s="29">
        <f t="shared" si="3"/>
        <v>0.1468846154</v>
      </c>
      <c r="I74" s="1">
        <f t="shared" si="4"/>
        <v>-1109.05</v>
      </c>
      <c r="J74" s="113">
        <f t="shared" si="5"/>
        <v>-0.9698443121</v>
      </c>
      <c r="K74" s="199">
        <f t="shared" si="6"/>
        <v>0.1468846154</v>
      </c>
      <c r="L74" s="213">
        <f t="shared" si="7"/>
        <v>186.9555</v>
      </c>
      <c r="M74" s="210">
        <f t="shared" si="8"/>
        <v>0.02091908877</v>
      </c>
      <c r="N74" s="213">
        <f t="shared" si="9"/>
        <v>1252.055</v>
      </c>
      <c r="O74" s="210">
        <f t="shared" si="10"/>
        <v>0.03688076923</v>
      </c>
      <c r="P74" s="210">
        <f t="shared" si="11"/>
        <v>-0.01596168046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217">
        <f>IFERROR(__xludf.DUMMYFUNCTION("""COMPUTED_VALUE"""),46239.64583333333)</f>
        <v>46239.64583</v>
      </c>
      <c r="C75" s="193">
        <f>IFERROR(__xludf.DUMMYFUNCTION("""COMPUTED_VALUE"""),192.99)</f>
        <v>192.99</v>
      </c>
      <c r="D75" s="9"/>
      <c r="E75" s="217">
        <f>IFERROR(__xludf.DUMMYFUNCTION("""COMPUTED_VALUE"""),46239.64583333333)</f>
        <v>46239.64583</v>
      </c>
      <c r="F75" s="193">
        <f>IFERROR(__xludf.DUMMYFUNCTION("""COMPUTED_VALUE"""),1330.0)</f>
        <v>1330</v>
      </c>
      <c r="G75" s="9"/>
      <c r="H75" s="29">
        <f t="shared" si="3"/>
        <v>0.1451052632</v>
      </c>
      <c r="I75" s="1">
        <f t="shared" si="4"/>
        <v>-1137.01</v>
      </c>
      <c r="J75" s="113">
        <f t="shared" si="5"/>
        <v>-1.939688624</v>
      </c>
      <c r="K75" s="199">
        <f t="shared" si="6"/>
        <v>0.1451052632</v>
      </c>
      <c r="L75" s="213">
        <f t="shared" si="7"/>
        <v>187.195</v>
      </c>
      <c r="M75" s="210">
        <f t="shared" si="8"/>
        <v>0.03002746256</v>
      </c>
      <c r="N75" s="213">
        <f t="shared" si="9"/>
        <v>1257.58</v>
      </c>
      <c r="O75" s="210">
        <f t="shared" si="10"/>
        <v>0.05445112782</v>
      </c>
      <c r="P75" s="210">
        <f t="shared" si="11"/>
        <v>-0.02442366526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217">
        <f>IFERROR(__xludf.DUMMYFUNCTION("""COMPUTED_VALUE"""),46240.64583333333)</f>
        <v>46240.64583</v>
      </c>
      <c r="C76" s="193">
        <f>IFERROR(__xludf.DUMMYFUNCTION("""COMPUTED_VALUE"""),189.3)</f>
        <v>189.3</v>
      </c>
      <c r="D76" s="9"/>
      <c r="E76" s="217">
        <f>IFERROR(__xludf.DUMMYFUNCTION("""COMPUTED_VALUE"""),46240.64583333333)</f>
        <v>46240.64583</v>
      </c>
      <c r="F76" s="193">
        <f>IFERROR(__xludf.DUMMYFUNCTION("""COMPUTED_VALUE"""),1307.9)</f>
        <v>1307.9</v>
      </c>
      <c r="G76" s="9"/>
      <c r="H76" s="29">
        <f t="shared" si="3"/>
        <v>0.1447358361</v>
      </c>
      <c r="I76" s="1">
        <f t="shared" si="4"/>
        <v>-1118.6</v>
      </c>
      <c r="J76" s="113">
        <f t="shared" si="5"/>
        <v>-1.301103725</v>
      </c>
      <c r="K76" s="199">
        <f t="shared" si="6"/>
        <v>0.1447358361</v>
      </c>
      <c r="L76" s="213">
        <f t="shared" si="7"/>
        <v>187.2645</v>
      </c>
      <c r="M76" s="210">
        <f t="shared" si="8"/>
        <v>0.01075277338</v>
      </c>
      <c r="N76" s="213">
        <f t="shared" si="9"/>
        <v>1261.685</v>
      </c>
      <c r="O76" s="210">
        <f t="shared" si="10"/>
        <v>0.03533527028</v>
      </c>
      <c r="P76" s="210">
        <f t="shared" si="11"/>
        <v>-0.02458249691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217">
        <f>IFERROR(__xludf.DUMMYFUNCTION("""COMPUTED_VALUE"""),46241.64583333333)</f>
        <v>46241.64583</v>
      </c>
      <c r="C77" s="193">
        <f>IFERROR(__xludf.DUMMYFUNCTION("""COMPUTED_VALUE"""),187.55)</f>
        <v>187.55</v>
      </c>
      <c r="D77" s="9"/>
      <c r="E77" s="217">
        <f>IFERROR(__xludf.DUMMYFUNCTION("""COMPUTED_VALUE"""),46241.64583333333)</f>
        <v>46241.64583</v>
      </c>
      <c r="F77" s="193">
        <f>IFERROR(__xludf.DUMMYFUNCTION("""COMPUTED_VALUE"""),1299.5)</f>
        <v>1299.5</v>
      </c>
      <c r="G77" s="9"/>
      <c r="H77" s="29">
        <f t="shared" si="3"/>
        <v>0.1443247403</v>
      </c>
      <c r="I77" s="1">
        <f t="shared" si="4"/>
        <v>-1111.95</v>
      </c>
      <c r="J77" s="113">
        <f t="shared" si="5"/>
        <v>-1.070436176</v>
      </c>
      <c r="K77" s="199">
        <f t="shared" si="6"/>
        <v>0.1443247403</v>
      </c>
      <c r="L77" s="213">
        <f t="shared" si="7"/>
        <v>187.0825</v>
      </c>
      <c r="M77" s="210">
        <f t="shared" si="8"/>
        <v>0.002492668622</v>
      </c>
      <c r="N77" s="213">
        <f t="shared" si="9"/>
        <v>1264.39</v>
      </c>
      <c r="O77" s="210">
        <f t="shared" si="10"/>
        <v>0.02701808388</v>
      </c>
      <c r="P77" s="210">
        <f t="shared" si="11"/>
        <v>-0.02452541526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217">
        <f>IFERROR(__xludf.DUMMYFUNCTION("""COMPUTED_VALUE"""),46244.64583333333)</f>
        <v>46244.64583</v>
      </c>
      <c r="C78" s="193">
        <f>IFERROR(__xludf.DUMMYFUNCTION("""COMPUTED_VALUE"""),190.24)</f>
        <v>190.24</v>
      </c>
      <c r="D78" s="9"/>
      <c r="E78" s="217">
        <f>IFERROR(__xludf.DUMMYFUNCTION("""COMPUTED_VALUE"""),46244.64583333333)</f>
        <v>46244.64583</v>
      </c>
      <c r="F78" s="193">
        <f>IFERROR(__xludf.DUMMYFUNCTION("""COMPUTED_VALUE"""),1302.0)</f>
        <v>1302</v>
      </c>
      <c r="G78" s="9"/>
      <c r="H78" s="29">
        <f t="shared" si="3"/>
        <v>0.1461136713</v>
      </c>
      <c r="I78" s="1">
        <f t="shared" si="4"/>
        <v>-1111.76</v>
      </c>
      <c r="J78" s="113">
        <f t="shared" si="5"/>
        <v>-1.063845674</v>
      </c>
      <c r="K78" s="199">
        <f t="shared" si="6"/>
        <v>0.1461136713</v>
      </c>
      <c r="L78" s="213">
        <f t="shared" si="7"/>
        <v>187.239</v>
      </c>
      <c r="M78" s="210">
        <f t="shared" si="8"/>
        <v>0.01577481077</v>
      </c>
      <c r="N78" s="213">
        <f t="shared" si="9"/>
        <v>1267.62</v>
      </c>
      <c r="O78" s="210">
        <f t="shared" si="10"/>
        <v>0.02640552995</v>
      </c>
      <c r="P78" s="210">
        <f t="shared" si="11"/>
        <v>-0.01063071919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217">
        <f>IFERROR(__xludf.DUMMYFUNCTION("""COMPUTED_VALUE"""),46245.64583333333)</f>
        <v>46245.64583</v>
      </c>
      <c r="C79" s="193">
        <f>IFERROR(__xludf.DUMMYFUNCTION("""COMPUTED_VALUE"""),188.25)</f>
        <v>188.25</v>
      </c>
      <c r="D79" s="9"/>
      <c r="E79" s="217">
        <f>IFERROR(__xludf.DUMMYFUNCTION("""COMPUTED_VALUE"""),46245.64583333333)</f>
        <v>46245.64583</v>
      </c>
      <c r="F79" s="193">
        <f>IFERROR(__xludf.DUMMYFUNCTION("""COMPUTED_VALUE"""),1283.4)</f>
        <v>1283.4</v>
      </c>
      <c r="G79" s="9"/>
      <c r="H79" s="29">
        <f t="shared" si="3"/>
        <v>0.1466806919</v>
      </c>
      <c r="I79" s="1">
        <f t="shared" si="4"/>
        <v>-1095.15</v>
      </c>
      <c r="J79" s="113">
        <f t="shared" si="5"/>
        <v>-0.487697104</v>
      </c>
      <c r="K79" s="199">
        <f t="shared" si="6"/>
        <v>0.1466806919</v>
      </c>
      <c r="L79" s="213">
        <f t="shared" si="7"/>
        <v>187.238</v>
      </c>
      <c r="M79" s="210">
        <f t="shared" si="8"/>
        <v>0.005375830013</v>
      </c>
      <c r="N79" s="213">
        <f t="shared" si="9"/>
        <v>1269.405</v>
      </c>
      <c r="O79" s="210">
        <f t="shared" si="10"/>
        <v>0.01090462833</v>
      </c>
      <c r="P79" s="210">
        <f t="shared" si="11"/>
        <v>-0.005528798318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217">
        <f>IFERROR(__xludf.DUMMYFUNCTION("""COMPUTED_VALUE"""),46246.64583333333)</f>
        <v>46246.64583</v>
      </c>
      <c r="C80" s="193">
        <f>IFERROR(__xludf.DUMMYFUNCTION("""COMPUTED_VALUE"""),186.2)</f>
        <v>186.2</v>
      </c>
      <c r="D80" s="9"/>
      <c r="E80" s="217">
        <f>IFERROR(__xludf.DUMMYFUNCTION("""COMPUTED_VALUE"""),46246.64583333333)</f>
        <v>46246.64583</v>
      </c>
      <c r="F80" s="193">
        <f>IFERROR(__xludf.DUMMYFUNCTION("""COMPUTED_VALUE"""),1269.1)</f>
        <v>1269.1</v>
      </c>
      <c r="G80" s="9"/>
      <c r="H80" s="29">
        <f t="shared" si="3"/>
        <v>0.1467181467</v>
      </c>
      <c r="I80" s="1">
        <f t="shared" si="4"/>
        <v>-1082.9</v>
      </c>
      <c r="J80" s="113">
        <f t="shared" si="5"/>
        <v>-0.0627831976</v>
      </c>
      <c r="K80" s="199">
        <f t="shared" si="6"/>
        <v>0.1467181467</v>
      </c>
      <c r="L80" s="213">
        <f t="shared" si="7"/>
        <v>187.285</v>
      </c>
      <c r="M80" s="210">
        <f t="shared" si="8"/>
        <v>-0.005827067669</v>
      </c>
      <c r="N80" s="213">
        <f t="shared" si="9"/>
        <v>1271.515</v>
      </c>
      <c r="O80" s="210">
        <f t="shared" si="10"/>
        <v>-0.001902923331</v>
      </c>
      <c r="P80" s="210">
        <f t="shared" si="11"/>
        <v>-0.003924144338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217">
        <f>IFERROR(__xludf.DUMMYFUNCTION("""COMPUTED_VALUE"""),46247.64583333333)</f>
        <v>46247.64583</v>
      </c>
      <c r="C81" s="193">
        <f>IFERROR(__xludf.DUMMYFUNCTION("""COMPUTED_VALUE"""),184.85)</f>
        <v>184.85</v>
      </c>
      <c r="D81" s="9"/>
      <c r="E81" s="217">
        <f>IFERROR(__xludf.DUMMYFUNCTION("""COMPUTED_VALUE"""),46247.64583333333)</f>
        <v>46247.64583</v>
      </c>
      <c r="F81" s="193">
        <f>IFERROR(__xludf.DUMMYFUNCTION("""COMPUTED_VALUE"""),1275.0)</f>
        <v>1275</v>
      </c>
      <c r="G81" s="9"/>
      <c r="H81" s="29">
        <f t="shared" si="3"/>
        <v>0.1449803922</v>
      </c>
      <c r="I81" s="1">
        <f t="shared" si="4"/>
        <v>-1090.15</v>
      </c>
      <c r="J81" s="113">
        <f t="shared" si="5"/>
        <v>-0.3142628565</v>
      </c>
      <c r="K81" s="199">
        <f t="shared" si="6"/>
        <v>0.1449803922</v>
      </c>
      <c r="L81" s="213">
        <f t="shared" si="7"/>
        <v>187.253</v>
      </c>
      <c r="M81" s="210">
        <f t="shared" si="8"/>
        <v>-0.01299972951</v>
      </c>
      <c r="N81" s="213">
        <f t="shared" si="9"/>
        <v>1274.215</v>
      </c>
      <c r="O81" s="210">
        <f t="shared" si="10"/>
        <v>0.0006156862745</v>
      </c>
      <c r="P81" s="210">
        <f t="shared" si="11"/>
        <v>-0.01361541578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217">
        <f>IFERROR(__xludf.DUMMYFUNCTION("""COMPUTED_VALUE"""),46248.64583333333)</f>
        <v>46248.64583</v>
      </c>
      <c r="C82" s="193">
        <f>IFERROR(__xludf.DUMMYFUNCTION("""COMPUTED_VALUE"""),183.5)</f>
        <v>183.5</v>
      </c>
      <c r="D82" s="9"/>
      <c r="E82" s="217">
        <f>IFERROR(__xludf.DUMMYFUNCTION("""COMPUTED_VALUE"""),46248.64583333333)</f>
        <v>46248.64583</v>
      </c>
      <c r="F82" s="193">
        <f>IFERROR(__xludf.DUMMYFUNCTION("""COMPUTED_VALUE"""),1270.0)</f>
        <v>1270</v>
      </c>
      <c r="G82" s="9"/>
      <c r="H82" s="29">
        <f t="shared" si="3"/>
        <v>0.144488189</v>
      </c>
      <c r="I82" s="1">
        <f t="shared" si="4"/>
        <v>-1086.5</v>
      </c>
      <c r="J82" s="113">
        <f t="shared" si="5"/>
        <v>-0.1876558558</v>
      </c>
      <c r="K82" s="199">
        <f t="shared" si="6"/>
        <v>0.144488189</v>
      </c>
      <c r="L82" s="213">
        <f t="shared" si="7"/>
        <v>187.1335</v>
      </c>
      <c r="M82" s="210">
        <f t="shared" si="8"/>
        <v>-0.01980108992</v>
      </c>
      <c r="N82" s="213">
        <f t="shared" si="9"/>
        <v>1275.85</v>
      </c>
      <c r="O82" s="210">
        <f t="shared" si="10"/>
        <v>-0.004606299213</v>
      </c>
      <c r="P82" s="210">
        <f t="shared" si="11"/>
        <v>-0.01519479071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217">
        <f>IFERROR(__xludf.DUMMYFUNCTION("""COMPUTED_VALUE"""),46251.64583333333)</f>
        <v>46251.64583</v>
      </c>
      <c r="C83" s="193">
        <f>IFERROR(__xludf.DUMMYFUNCTION("""COMPUTED_VALUE"""),186.0)</f>
        <v>186</v>
      </c>
      <c r="D83" s="9"/>
      <c r="E83" s="217">
        <f>IFERROR(__xludf.DUMMYFUNCTION("""COMPUTED_VALUE"""),46251.64583333333)</f>
        <v>46251.64583</v>
      </c>
      <c r="F83" s="193">
        <f>IFERROR(__xludf.DUMMYFUNCTION("""COMPUTED_VALUE"""),1277.8)</f>
        <v>1277.8</v>
      </c>
      <c r="G83" s="9"/>
      <c r="H83" s="29">
        <f t="shared" si="3"/>
        <v>0.1455626859</v>
      </c>
      <c r="I83" s="1">
        <f t="shared" si="4"/>
        <v>-1091.8</v>
      </c>
      <c r="J83" s="113">
        <f t="shared" si="5"/>
        <v>-0.3714961582</v>
      </c>
      <c r="K83" s="199">
        <f t="shared" si="6"/>
        <v>0.1455626859</v>
      </c>
      <c r="L83" s="213">
        <f t="shared" si="7"/>
        <v>187.113</v>
      </c>
      <c r="M83" s="210">
        <f t="shared" si="8"/>
        <v>-0.005983870968</v>
      </c>
      <c r="N83" s="213">
        <f t="shared" si="9"/>
        <v>1276.89</v>
      </c>
      <c r="O83" s="210">
        <f t="shared" si="10"/>
        <v>0.0007121615276</v>
      </c>
      <c r="P83" s="210">
        <f t="shared" si="11"/>
        <v>-0.006696032495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93">
        <v>10.0</v>
      </c>
      <c r="B84" s="217">
        <f>IFERROR(__xludf.DUMMYFUNCTION("""COMPUTED_VALUE"""),46252.64583333333)</f>
        <v>46252.64583</v>
      </c>
      <c r="C84" s="193">
        <f>IFERROR(__xludf.DUMMYFUNCTION("""COMPUTED_VALUE"""),185.5)</f>
        <v>185.5</v>
      </c>
      <c r="D84" s="9"/>
      <c r="E84" s="217">
        <f>IFERROR(__xludf.DUMMYFUNCTION("""COMPUTED_VALUE"""),46252.64583333333)</f>
        <v>46252.64583</v>
      </c>
      <c r="F84" s="193">
        <f>IFERROR(__xludf.DUMMYFUNCTION("""COMPUTED_VALUE"""),1267.6)</f>
        <v>1267.6</v>
      </c>
      <c r="G84" s="9"/>
      <c r="H84" s="29">
        <f t="shared" si="3"/>
        <v>0.1463395393</v>
      </c>
      <c r="I84" s="1">
        <f t="shared" si="4"/>
        <v>-1082.1</v>
      </c>
      <c r="J84" s="113">
        <f t="shared" si="5"/>
        <v>-0.035033718</v>
      </c>
      <c r="K84" s="199">
        <f t="shared" si="6"/>
        <v>0.1463395393</v>
      </c>
      <c r="L84" s="213">
        <f t="shared" si="7"/>
        <v>187.026</v>
      </c>
      <c r="M84" s="210">
        <f t="shared" si="8"/>
        <v>-0.008226415094</v>
      </c>
      <c r="N84" s="213">
        <f t="shared" si="9"/>
        <v>1276.9</v>
      </c>
      <c r="O84" s="210">
        <f t="shared" si="10"/>
        <v>-0.007336699274</v>
      </c>
      <c r="P84" s="210">
        <f t="shared" si="11"/>
        <v>-0.0008897158201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217">
        <f>IFERROR(__xludf.DUMMYFUNCTION("""COMPUTED_VALUE"""),46253.64583333333)</f>
        <v>46253.64583</v>
      </c>
      <c r="C85" s="193">
        <f>IFERROR(__xludf.DUMMYFUNCTION("""COMPUTED_VALUE"""),184.0)</f>
        <v>184</v>
      </c>
      <c r="D85" s="9"/>
      <c r="E85" s="217">
        <f>IFERROR(__xludf.DUMMYFUNCTION("""COMPUTED_VALUE"""),46253.64583333333)</f>
        <v>46253.64583</v>
      </c>
      <c r="F85" s="193">
        <f>IFERROR(__xludf.DUMMYFUNCTION("""COMPUTED_VALUE"""),1285.8)</f>
        <v>1285.8</v>
      </c>
      <c r="G85" s="9"/>
      <c r="H85" s="29">
        <f t="shared" si="3"/>
        <v>0.143101571</v>
      </c>
      <c r="I85" s="1">
        <f t="shared" si="4"/>
        <v>-1101.8</v>
      </c>
      <c r="J85" s="113">
        <f t="shared" si="5"/>
        <v>-0.7183646532</v>
      </c>
      <c r="K85" s="199">
        <f t="shared" si="6"/>
        <v>0.143101571</v>
      </c>
      <c r="L85" s="213">
        <f t="shared" si="7"/>
        <v>186.8995</v>
      </c>
      <c r="M85" s="210">
        <f t="shared" si="8"/>
        <v>-0.01575815217</v>
      </c>
      <c r="N85" s="213">
        <f t="shared" si="9"/>
        <v>1277.845</v>
      </c>
      <c r="O85" s="210">
        <f t="shared" si="10"/>
        <v>0.006186809768</v>
      </c>
      <c r="P85" s="210">
        <f t="shared" si="11"/>
        <v>-0.02194496194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217">
        <f>IFERROR(__xludf.DUMMYFUNCTION("""COMPUTED_VALUE"""),46254.64583333333)</f>
        <v>46254.64583</v>
      </c>
      <c r="C86" s="193">
        <f>IFERROR(__xludf.DUMMYFUNCTION("""COMPUTED_VALUE"""),183.5)</f>
        <v>183.5</v>
      </c>
      <c r="D86" s="9"/>
      <c r="E86" s="217">
        <f>IFERROR(__xludf.DUMMYFUNCTION("""COMPUTED_VALUE"""),46254.64583333333)</f>
        <v>46254.64583</v>
      </c>
      <c r="F86" s="193">
        <f>IFERROR(__xludf.DUMMYFUNCTION("""COMPUTED_VALUE"""),1299.7)</f>
        <v>1299.7</v>
      </c>
      <c r="G86" s="9"/>
      <c r="H86" s="29">
        <f t="shared" si="3"/>
        <v>0.1411864276</v>
      </c>
      <c r="I86" s="1">
        <f t="shared" si="4"/>
        <v>-1116.2</v>
      </c>
      <c r="J86" s="113">
        <f t="shared" si="5"/>
        <v>-1.217855286</v>
      </c>
      <c r="K86" s="199">
        <f t="shared" si="6"/>
        <v>0.1411864276</v>
      </c>
      <c r="L86" s="213">
        <f t="shared" si="7"/>
        <v>186.863</v>
      </c>
      <c r="M86" s="210">
        <f t="shared" si="8"/>
        <v>-0.01832697548</v>
      </c>
      <c r="N86" s="213">
        <f t="shared" si="9"/>
        <v>1280.49</v>
      </c>
      <c r="O86" s="210">
        <f t="shared" si="10"/>
        <v>0.01478033392</v>
      </c>
      <c r="P86" s="210">
        <f t="shared" si="11"/>
        <v>-0.0331073094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217">
        <f>IFERROR(__xludf.DUMMYFUNCTION("""COMPUTED_VALUE"""),46255.64583333333)</f>
        <v>46255.64583</v>
      </c>
      <c r="C87" s="193">
        <f>IFERROR(__xludf.DUMMYFUNCTION("""COMPUTED_VALUE"""),183.0)</f>
        <v>183</v>
      </c>
      <c r="D87" s="9"/>
      <c r="E87" s="217">
        <f>IFERROR(__xludf.DUMMYFUNCTION("""COMPUTED_VALUE"""),46255.64583333333)</f>
        <v>46255.64583</v>
      </c>
      <c r="F87" s="193">
        <f>IFERROR(__xludf.DUMMYFUNCTION("""COMPUTED_VALUE"""),1293.7)</f>
        <v>1293.7</v>
      </c>
      <c r="G87" s="9"/>
      <c r="H87" s="29">
        <f t="shared" si="3"/>
        <v>0.1414547422</v>
      </c>
      <c r="I87" s="1">
        <f t="shared" si="4"/>
        <v>-1110.7</v>
      </c>
      <c r="J87" s="113">
        <f t="shared" si="5"/>
        <v>-1.027077614</v>
      </c>
      <c r="K87" s="199">
        <f t="shared" si="6"/>
        <v>0.1414547422</v>
      </c>
      <c r="L87" s="213">
        <f t="shared" si="7"/>
        <v>186.8795</v>
      </c>
      <c r="M87" s="210">
        <f t="shared" si="8"/>
        <v>-0.02119945355</v>
      </c>
      <c r="N87" s="213">
        <f t="shared" si="9"/>
        <v>1283.135</v>
      </c>
      <c r="O87" s="210">
        <f t="shared" si="10"/>
        <v>0.008166499188</v>
      </c>
      <c r="P87" s="210">
        <f t="shared" si="11"/>
        <v>-0.02936595274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217">
        <f>IFERROR(__xludf.DUMMYFUNCTION("""COMPUTED_VALUE"""),46258.64583333333)</f>
        <v>46258.64583</v>
      </c>
      <c r="C88" s="193">
        <f>IFERROR(__xludf.DUMMYFUNCTION("""COMPUTED_VALUE"""),186.3)</f>
        <v>186.3</v>
      </c>
      <c r="D88" s="9"/>
      <c r="E88" s="217">
        <f>IFERROR(__xludf.DUMMYFUNCTION("""COMPUTED_VALUE"""),46258.64583333333)</f>
        <v>46258.64583</v>
      </c>
      <c r="F88" s="193">
        <f>IFERROR(__xludf.DUMMYFUNCTION("""COMPUTED_VALUE"""),1327.0)</f>
        <v>1327</v>
      </c>
      <c r="G88" s="9"/>
      <c r="H88" s="29">
        <f t="shared" si="3"/>
        <v>0.1403918613</v>
      </c>
      <c r="I88" s="1">
        <f t="shared" si="4"/>
        <v>-1140.7</v>
      </c>
      <c r="J88" s="113">
        <f t="shared" si="5"/>
        <v>-2.067683099</v>
      </c>
      <c r="K88" s="199">
        <f t="shared" si="6"/>
        <v>0.1403918613</v>
      </c>
      <c r="L88" s="213">
        <f t="shared" si="7"/>
        <v>186.982</v>
      </c>
      <c r="M88" s="210">
        <f t="shared" si="8"/>
        <v>-0.003660762211</v>
      </c>
      <c r="N88" s="213">
        <f t="shared" si="9"/>
        <v>1287.255</v>
      </c>
      <c r="O88" s="210">
        <f t="shared" si="10"/>
        <v>0.02995101733</v>
      </c>
      <c r="P88" s="210">
        <f t="shared" si="11"/>
        <v>-0.03361177954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217">
        <f>IFERROR(__xludf.DUMMYFUNCTION("""COMPUTED_VALUE"""),46259.64583333333)</f>
        <v>46259.64583</v>
      </c>
      <c r="C89" s="193">
        <f>IFERROR(__xludf.DUMMYFUNCTION("""COMPUTED_VALUE"""),186.94)</f>
        <v>186.94</v>
      </c>
      <c r="D89" s="9"/>
      <c r="E89" s="217">
        <f>IFERROR(__xludf.DUMMYFUNCTION("""COMPUTED_VALUE"""),46259.64583333333)</f>
        <v>46259.64583</v>
      </c>
      <c r="F89" s="193">
        <f>IFERROR(__xludf.DUMMYFUNCTION("""COMPUTED_VALUE"""),1320.3)</f>
        <v>1320.3</v>
      </c>
      <c r="G89" s="9"/>
      <c r="H89" s="29">
        <f t="shared" si="3"/>
        <v>0.1415890328</v>
      </c>
      <c r="I89" s="1">
        <f t="shared" si="4"/>
        <v>-1133.36</v>
      </c>
      <c r="J89" s="113">
        <f t="shared" si="5"/>
        <v>-1.813081624</v>
      </c>
      <c r="K89" s="199">
        <f t="shared" si="6"/>
        <v>0.1415890328</v>
      </c>
      <c r="L89" s="213">
        <f t="shared" si="7"/>
        <v>187.1975</v>
      </c>
      <c r="M89" s="210">
        <f t="shared" si="8"/>
        <v>-0.001377447309</v>
      </c>
      <c r="N89" s="213">
        <f t="shared" si="9"/>
        <v>1290.925</v>
      </c>
      <c r="O89" s="210">
        <f t="shared" si="10"/>
        <v>0.02224873135</v>
      </c>
      <c r="P89" s="210">
        <f t="shared" si="11"/>
        <v>-0.02362617866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217">
        <f>IFERROR(__xludf.DUMMYFUNCTION("""COMPUTED_VALUE"""),46260.64583333333)</f>
        <v>46260.64583</v>
      </c>
      <c r="C90" s="193">
        <f>IFERROR(__xludf.DUMMYFUNCTION("""COMPUTED_VALUE"""),188.01)</f>
        <v>188.01</v>
      </c>
      <c r="D90" s="209"/>
      <c r="E90" s="217">
        <f>IFERROR(__xludf.DUMMYFUNCTION("""COMPUTED_VALUE"""),46260.64583333333)</f>
        <v>46260.64583</v>
      </c>
      <c r="F90" s="193">
        <f>IFERROR(__xludf.DUMMYFUNCTION("""COMPUTED_VALUE"""),1341.0)</f>
        <v>1341</v>
      </c>
      <c r="G90" s="9"/>
      <c r="H90" s="29">
        <f t="shared" si="3"/>
        <v>0.1402013423</v>
      </c>
      <c r="I90" s="1">
        <f t="shared" si="4"/>
        <v>-1152.99</v>
      </c>
      <c r="J90" s="113">
        <f t="shared" si="5"/>
        <v>-2.493984479</v>
      </c>
      <c r="K90" s="199">
        <f t="shared" si="6"/>
        <v>0.1402013423</v>
      </c>
      <c r="L90" s="213">
        <f t="shared" si="7"/>
        <v>187.2345</v>
      </c>
      <c r="M90" s="210">
        <f t="shared" si="8"/>
        <v>0.004124780597</v>
      </c>
      <c r="N90" s="213">
        <f t="shared" si="9"/>
        <v>1294.145</v>
      </c>
      <c r="O90" s="210">
        <f t="shared" si="10"/>
        <v>0.03494034303</v>
      </c>
      <c r="P90" s="210">
        <f t="shared" si="11"/>
        <v>-0.03081556243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217">
        <f>IFERROR(__xludf.DUMMYFUNCTION("""COMPUTED_VALUE"""),46261.64583333333)</f>
        <v>46261.64583</v>
      </c>
      <c r="C91" s="193">
        <f>IFERROR(__xludf.DUMMYFUNCTION("""COMPUTED_VALUE"""),186.8)</f>
        <v>186.8</v>
      </c>
      <c r="D91" s="9"/>
      <c r="E91" s="217">
        <f>IFERROR(__xludf.DUMMYFUNCTION("""COMPUTED_VALUE"""),46261.64583333333)</f>
        <v>46261.64583</v>
      </c>
      <c r="F91" s="193">
        <f>IFERROR(__xludf.DUMMYFUNCTION("""COMPUTED_VALUE"""),1337.5)</f>
        <v>1337.5</v>
      </c>
      <c r="G91" s="9"/>
      <c r="H91" s="29">
        <f t="shared" si="3"/>
        <v>0.1396635514</v>
      </c>
      <c r="I91" s="1">
        <f t="shared" si="4"/>
        <v>-1150.7</v>
      </c>
      <c r="J91" s="113">
        <f t="shared" si="5"/>
        <v>-2.414551594</v>
      </c>
      <c r="K91" s="199">
        <f t="shared" si="6"/>
        <v>0.1396635514</v>
      </c>
      <c r="L91" s="213">
        <f t="shared" si="7"/>
        <v>187.2285</v>
      </c>
      <c r="M91" s="210">
        <f t="shared" si="8"/>
        <v>-0.002293897216</v>
      </c>
      <c r="N91" s="213">
        <f t="shared" si="9"/>
        <v>1297.48</v>
      </c>
      <c r="O91" s="210">
        <f t="shared" si="10"/>
        <v>0.02992149533</v>
      </c>
      <c r="P91" s="210">
        <f t="shared" si="11"/>
        <v>-0.03221539254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217">
        <f>IFERROR(__xludf.DUMMYFUNCTION("""COMPUTED_VALUE"""),46262.64583333333)</f>
        <v>46262.64583</v>
      </c>
      <c r="C92" s="193">
        <f>IFERROR(__xludf.DUMMYFUNCTION("""COMPUTED_VALUE"""),186.5)</f>
        <v>186.5</v>
      </c>
      <c r="D92" s="9"/>
      <c r="E92" s="217">
        <f>IFERROR(__xludf.DUMMYFUNCTION("""COMPUTED_VALUE"""),46262.64583333333)</f>
        <v>46262.64583</v>
      </c>
      <c r="F92" s="193">
        <f>IFERROR(__xludf.DUMMYFUNCTION("""COMPUTED_VALUE"""),1334.9)</f>
        <v>1334.9</v>
      </c>
      <c r="G92" s="9"/>
      <c r="H92" s="29">
        <f t="shared" si="3"/>
        <v>0.1397108398</v>
      </c>
      <c r="I92" s="1">
        <f t="shared" si="4"/>
        <v>-1148.4</v>
      </c>
      <c r="J92" s="113">
        <f t="shared" si="5"/>
        <v>-2.33477184</v>
      </c>
      <c r="K92" s="199">
        <f t="shared" si="6"/>
        <v>0.1397108398</v>
      </c>
      <c r="L92" s="213">
        <f t="shared" si="7"/>
        <v>187.069</v>
      </c>
      <c r="M92" s="210">
        <f t="shared" si="8"/>
        <v>-0.003050938338</v>
      </c>
      <c r="N92" s="213">
        <f t="shared" si="9"/>
        <v>1300.725</v>
      </c>
      <c r="O92" s="210">
        <f t="shared" si="10"/>
        <v>0.02560116863</v>
      </c>
      <c r="P92" s="210">
        <f t="shared" si="11"/>
        <v>-0.02865210696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217">
        <f>IFERROR(__xludf.DUMMYFUNCTION("""COMPUTED_VALUE"""),46265.64583333333)</f>
        <v>46265.64583</v>
      </c>
      <c r="C93" s="193">
        <f>IFERROR(__xludf.DUMMYFUNCTION("""COMPUTED_VALUE"""),184.35)</f>
        <v>184.35</v>
      </c>
      <c r="D93" s="9"/>
      <c r="E93" s="217">
        <f>IFERROR(__xludf.DUMMYFUNCTION("""COMPUTED_VALUE"""),46265.64583333333)</f>
        <v>46265.64583</v>
      </c>
      <c r="F93" s="193">
        <f>IFERROR(__xludf.DUMMYFUNCTION("""COMPUTED_VALUE"""),1307.7)</f>
        <v>1307.7</v>
      </c>
      <c r="G93" s="9"/>
      <c r="H93" s="29">
        <f t="shared" si="3"/>
        <v>0.1409727002</v>
      </c>
      <c r="I93" s="1">
        <f t="shared" si="4"/>
        <v>-1123.35</v>
      </c>
      <c r="J93" s="113">
        <f t="shared" si="5"/>
        <v>-1.46586626</v>
      </c>
      <c r="K93" s="199">
        <f t="shared" si="6"/>
        <v>0.1409727002</v>
      </c>
      <c r="L93" s="213">
        <f t="shared" si="7"/>
        <v>186.7365</v>
      </c>
      <c r="M93" s="210">
        <f t="shared" si="8"/>
        <v>-0.01294548413</v>
      </c>
      <c r="N93" s="213">
        <f t="shared" si="9"/>
        <v>1301.495</v>
      </c>
      <c r="O93" s="210">
        <f t="shared" si="10"/>
        <v>0.004744972088</v>
      </c>
      <c r="P93" s="210">
        <f t="shared" si="11"/>
        <v>-0.01769045622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217">
        <f>IFERROR(__xludf.DUMMYFUNCTION("""COMPUTED_VALUE"""),46266.64583333333)</f>
        <v>46266.64583</v>
      </c>
      <c r="C94" s="193">
        <f>IFERROR(__xludf.DUMMYFUNCTION("""COMPUTED_VALUE"""),184.07)</f>
        <v>184.07</v>
      </c>
      <c r="D94" s="9"/>
      <c r="E94" s="217">
        <f>IFERROR(__xludf.DUMMYFUNCTION("""COMPUTED_VALUE"""),46266.64583333333)</f>
        <v>46266.64583</v>
      </c>
      <c r="F94" s="193">
        <f>IFERROR(__xludf.DUMMYFUNCTION("""COMPUTED_VALUE"""),1313.5)</f>
        <v>1313.5</v>
      </c>
      <c r="G94" s="9"/>
      <c r="H94" s="29">
        <f t="shared" si="3"/>
        <v>0.1401370384</v>
      </c>
      <c r="I94" s="1">
        <f t="shared" si="4"/>
        <v>-1129.43</v>
      </c>
      <c r="J94" s="113">
        <f t="shared" si="5"/>
        <v>-1.676762305</v>
      </c>
      <c r="K94" s="199">
        <f t="shared" si="6"/>
        <v>0.1401370384</v>
      </c>
      <c r="L94" s="213">
        <f t="shared" si="7"/>
        <v>186.3925</v>
      </c>
      <c r="M94" s="210">
        <f t="shared" si="8"/>
        <v>-0.01261748248</v>
      </c>
      <c r="N94" s="213">
        <f t="shared" si="9"/>
        <v>1302.17</v>
      </c>
      <c r="O94" s="210">
        <f t="shared" si="10"/>
        <v>0.008625808907</v>
      </c>
      <c r="P94" s="210">
        <f t="shared" si="11"/>
        <v>-0.02124329139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232">
        <f>IFERROR(__xludf.DUMMYFUNCTION("""COMPUTED_VALUE"""),46267.64583333333)</f>
        <v>46267.64583</v>
      </c>
      <c r="C95" s="193">
        <f>IFERROR(__xludf.DUMMYFUNCTION("""COMPUTED_VALUE"""),183.85)</f>
        <v>183.85</v>
      </c>
      <c r="D95" s="9"/>
      <c r="E95" s="217">
        <f>IFERROR(__xludf.DUMMYFUNCTION("""COMPUTED_VALUE"""),46267.64583333333)</f>
        <v>46267.64583</v>
      </c>
      <c r="F95" s="193">
        <f>IFERROR(__xludf.DUMMYFUNCTION("""COMPUTED_VALUE"""),1306.0)</f>
        <v>1306</v>
      </c>
      <c r="G95" s="9"/>
      <c r="H95" s="29">
        <f t="shared" si="3"/>
        <v>0.1407733538</v>
      </c>
      <c r="I95" s="1">
        <f t="shared" si="4"/>
        <v>-1122.15</v>
      </c>
      <c r="J95" s="113">
        <f t="shared" si="5"/>
        <v>-1.424242041</v>
      </c>
      <c r="K95" s="199">
        <f t="shared" si="6"/>
        <v>0.1407733538</v>
      </c>
      <c r="L95" s="213">
        <f t="shared" si="7"/>
        <v>185.9355</v>
      </c>
      <c r="M95" s="210">
        <f t="shared" si="8"/>
        <v>-0.01134348654</v>
      </c>
      <c r="N95" s="213">
        <f t="shared" si="9"/>
        <v>1300.97</v>
      </c>
      <c r="O95" s="210">
        <f t="shared" si="10"/>
        <v>0.003851454824</v>
      </c>
      <c r="P95" s="210">
        <f t="shared" si="11"/>
        <v>-0.01519494136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217">
        <f>IFERROR(__xludf.DUMMYFUNCTION("""COMPUTED_VALUE"""),46268.64583333333)</f>
        <v>46268.64583</v>
      </c>
      <c r="C96" s="193">
        <f>IFERROR(__xludf.DUMMYFUNCTION("""COMPUTED_VALUE"""),184.2)</f>
        <v>184.2</v>
      </c>
      <c r="D96" s="9"/>
      <c r="E96" s="217">
        <f>IFERROR(__xludf.DUMMYFUNCTION("""COMPUTED_VALUE"""),46268.64583333333)</f>
        <v>46268.64583</v>
      </c>
      <c r="F96" s="193">
        <f>IFERROR(__xludf.DUMMYFUNCTION("""COMPUTED_VALUE"""),1308.0)</f>
        <v>1308</v>
      </c>
      <c r="G96" s="9"/>
      <c r="H96" s="29">
        <f t="shared" si="3"/>
        <v>0.1408256881</v>
      </c>
      <c r="I96" s="1">
        <f t="shared" si="4"/>
        <v>-1123.8</v>
      </c>
      <c r="J96" s="113">
        <f t="shared" si="5"/>
        <v>-1.481475342</v>
      </c>
      <c r="K96" s="199">
        <f t="shared" si="6"/>
        <v>0.1408256881</v>
      </c>
      <c r="L96" s="213">
        <f t="shared" si="7"/>
        <v>185.6805</v>
      </c>
      <c r="M96" s="210">
        <f t="shared" si="8"/>
        <v>-0.008037459283</v>
      </c>
      <c r="N96" s="213">
        <f t="shared" si="9"/>
        <v>1300.975</v>
      </c>
      <c r="O96" s="210">
        <f t="shared" si="10"/>
        <v>0.005370795107</v>
      </c>
      <c r="P96" s="210">
        <f t="shared" si="11"/>
        <v>-0.01340825439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217">
        <f>IFERROR(__xludf.DUMMYFUNCTION("""COMPUTED_VALUE"""),46269.64583333333)</f>
        <v>46269.64583</v>
      </c>
      <c r="C97" s="193">
        <f>IFERROR(__xludf.DUMMYFUNCTION("""COMPUTED_VALUE"""),188.79)</f>
        <v>188.79</v>
      </c>
      <c r="D97" s="9"/>
      <c r="E97" s="217">
        <f>IFERROR(__xludf.DUMMYFUNCTION("""COMPUTED_VALUE"""),46269.64583333333)</f>
        <v>46269.64583</v>
      </c>
      <c r="F97" s="193">
        <f>IFERROR(__xludf.DUMMYFUNCTION("""COMPUTED_VALUE"""),1325.0)</f>
        <v>1325</v>
      </c>
      <c r="G97" s="9"/>
      <c r="H97" s="29">
        <f t="shared" si="3"/>
        <v>0.1424830189</v>
      </c>
      <c r="I97" s="1">
        <f t="shared" si="4"/>
        <v>-1136.21</v>
      </c>
      <c r="J97" s="113">
        <f t="shared" si="5"/>
        <v>-1.911939145</v>
      </c>
      <c r="K97" s="199">
        <f t="shared" si="6"/>
        <v>0.1424830189</v>
      </c>
      <c r="L97" s="213">
        <f t="shared" si="7"/>
        <v>185.7425</v>
      </c>
      <c r="M97" s="210">
        <f t="shared" si="8"/>
        <v>0.01614227448</v>
      </c>
      <c r="N97" s="213">
        <f t="shared" si="9"/>
        <v>1302.25</v>
      </c>
      <c r="O97" s="210">
        <f t="shared" si="10"/>
        <v>0.01716981132</v>
      </c>
      <c r="P97" s="210">
        <f t="shared" si="11"/>
        <v>-0.001027536836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217">
        <f>IFERROR(__xludf.DUMMYFUNCTION("""COMPUTED_VALUE"""),46272.64583333333)</f>
        <v>46272.64583</v>
      </c>
      <c r="C98" s="193">
        <f>IFERROR(__xludf.DUMMYFUNCTION("""COMPUTED_VALUE"""),185.61)</f>
        <v>185.61</v>
      </c>
      <c r="D98" s="9"/>
      <c r="E98" s="217">
        <f>IFERROR(__xludf.DUMMYFUNCTION("""COMPUTED_VALUE"""),46272.64583333333)</f>
        <v>46272.64583</v>
      </c>
      <c r="F98" s="193">
        <f>IFERROR(__xludf.DUMMYFUNCTION("""COMPUTED_VALUE"""),1302.0)</f>
        <v>1302</v>
      </c>
      <c r="G98" s="9"/>
      <c r="H98" s="29">
        <f t="shared" si="3"/>
        <v>0.1425576037</v>
      </c>
      <c r="I98" s="1">
        <f t="shared" si="4"/>
        <v>-1116.39</v>
      </c>
      <c r="J98" s="113">
        <f t="shared" si="5"/>
        <v>-1.224445787</v>
      </c>
      <c r="K98" s="199">
        <f t="shared" si="6"/>
        <v>0.1425576037</v>
      </c>
      <c r="L98" s="213">
        <f t="shared" si="7"/>
        <v>185.511</v>
      </c>
      <c r="M98" s="210">
        <f t="shared" si="8"/>
        <v>0.0005333764345</v>
      </c>
      <c r="N98" s="213">
        <f t="shared" si="9"/>
        <v>1302.25</v>
      </c>
      <c r="O98" s="210">
        <f t="shared" si="10"/>
        <v>-0.0001920122888</v>
      </c>
      <c r="P98" s="210">
        <f t="shared" si="11"/>
        <v>0.0007253887232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232">
        <f>IFERROR(__xludf.DUMMYFUNCTION("""COMPUTED_VALUE"""),46273.64583333333)</f>
        <v>46273.64583</v>
      </c>
      <c r="C99" s="193">
        <f>IFERROR(__xludf.DUMMYFUNCTION("""COMPUTED_VALUE"""),184.15)</f>
        <v>184.15</v>
      </c>
      <c r="D99" s="9"/>
      <c r="E99" s="217">
        <f>IFERROR(__xludf.DUMMYFUNCTION("""COMPUTED_VALUE"""),46273.64583333333)</f>
        <v>46273.64583</v>
      </c>
      <c r="F99" s="193">
        <f>IFERROR(__xludf.DUMMYFUNCTION("""COMPUTED_VALUE"""),1297.3)</f>
        <v>1297.3</v>
      </c>
      <c r="G99" s="9"/>
      <c r="H99" s="29">
        <f t="shared" si="3"/>
        <v>0.1419486626</v>
      </c>
      <c r="I99" s="1">
        <f t="shared" si="4"/>
        <v>-1113.15</v>
      </c>
      <c r="J99" s="113">
        <f t="shared" si="5"/>
        <v>-1.112060395</v>
      </c>
      <c r="K99" s="199">
        <f t="shared" si="6"/>
        <v>0.1419486626</v>
      </c>
      <c r="L99" s="213">
        <f t="shared" si="7"/>
        <v>185.306</v>
      </c>
      <c r="M99" s="210">
        <f t="shared" si="8"/>
        <v>-0.006277491176</v>
      </c>
      <c r="N99" s="213">
        <f t="shared" si="9"/>
        <v>1302.945</v>
      </c>
      <c r="O99" s="210">
        <f t="shared" si="10"/>
        <v>-0.004351345101</v>
      </c>
      <c r="P99" s="210">
        <f t="shared" si="11"/>
        <v>-0.001926146074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232">
        <f>IFERROR(__xludf.DUMMYFUNCTION("""COMPUTED_VALUE"""),46274.64583333333)</f>
        <v>46274.64583</v>
      </c>
      <c r="C100" s="193">
        <f>IFERROR(__xludf.DUMMYFUNCTION("""COMPUTED_VALUE"""),188.75)</f>
        <v>188.75</v>
      </c>
      <c r="D100" s="9"/>
      <c r="E100" s="217">
        <f>IFERROR(__xludf.DUMMYFUNCTION("""COMPUTED_VALUE"""),46274.64583333333)</f>
        <v>46274.64583</v>
      </c>
      <c r="F100" s="193">
        <f>IFERROR(__xludf.DUMMYFUNCTION("""COMPUTED_VALUE"""),1310.0)</f>
        <v>1310</v>
      </c>
      <c r="G100" s="206"/>
      <c r="H100" s="29">
        <f t="shared" si="3"/>
        <v>0.1440839695</v>
      </c>
      <c r="I100" s="1">
        <f t="shared" si="4"/>
        <v>-1121.25</v>
      </c>
      <c r="J100" s="113">
        <f t="shared" si="5"/>
        <v>-1.393023876</v>
      </c>
      <c r="K100" s="199">
        <f t="shared" si="6"/>
        <v>0.1440839695</v>
      </c>
      <c r="L100" s="213">
        <f t="shared" si="7"/>
        <v>185.4335</v>
      </c>
      <c r="M100" s="210">
        <f t="shared" si="8"/>
        <v>0.01757086093</v>
      </c>
      <c r="N100" s="213">
        <f t="shared" si="9"/>
        <v>1304.99</v>
      </c>
      <c r="O100" s="210">
        <f t="shared" si="10"/>
        <v>0.003824427481</v>
      </c>
      <c r="P100" s="210">
        <f t="shared" si="11"/>
        <v>0.01374643345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217">
        <f>IFERROR(__xludf.DUMMYFUNCTION("""COMPUTED_VALUE"""),46275.64583333333)</f>
        <v>46275.64583</v>
      </c>
      <c r="C101" s="193">
        <f>IFERROR(__xludf.DUMMYFUNCTION("""COMPUTED_VALUE"""),186.78)</f>
        <v>186.78</v>
      </c>
      <c r="D101" s="9"/>
      <c r="E101" s="217">
        <f>IFERROR(__xludf.DUMMYFUNCTION("""COMPUTED_VALUE"""),46275.64583333333)</f>
        <v>46275.64583</v>
      </c>
      <c r="F101" s="193">
        <f>IFERROR(__xludf.DUMMYFUNCTION("""COMPUTED_VALUE"""),1304.0)</f>
        <v>1304</v>
      </c>
      <c r="G101" s="191"/>
      <c r="H101" s="29">
        <f t="shared" si="3"/>
        <v>0.1432361963</v>
      </c>
      <c r="I101" s="1">
        <f t="shared" si="4"/>
        <v>-1117.22</v>
      </c>
      <c r="J101" s="113">
        <f t="shared" si="5"/>
        <v>-1.253235873</v>
      </c>
      <c r="K101" s="199">
        <f t="shared" si="6"/>
        <v>0.1432361963</v>
      </c>
      <c r="L101" s="213">
        <f t="shared" si="7"/>
        <v>185.53</v>
      </c>
      <c r="M101" s="210">
        <f t="shared" si="8"/>
        <v>0.00669236535</v>
      </c>
      <c r="N101" s="213">
        <f t="shared" si="9"/>
        <v>1306.44</v>
      </c>
      <c r="O101" s="210">
        <f t="shared" si="10"/>
        <v>-0.001871165644</v>
      </c>
      <c r="P101" s="210">
        <f t="shared" si="11"/>
        <v>0.008563530994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217">
        <f>IFERROR(__xludf.DUMMYFUNCTION("""COMPUTED_VALUE"""),46276.64583333333)</f>
        <v>46276.64583</v>
      </c>
      <c r="C102" s="193">
        <f>IFERROR(__xludf.DUMMYFUNCTION("""COMPUTED_VALUE"""),183.0)</f>
        <v>183</v>
      </c>
      <c r="D102" s="9"/>
      <c r="E102" s="217">
        <f>IFERROR(__xludf.DUMMYFUNCTION("""COMPUTED_VALUE"""),46276.64583333333)</f>
        <v>46276.64583</v>
      </c>
      <c r="F102" s="193">
        <f>IFERROR(__xludf.DUMMYFUNCTION("""COMPUTED_VALUE"""),1265.0)</f>
        <v>1265</v>
      </c>
      <c r="G102" s="191"/>
      <c r="H102" s="29">
        <f t="shared" si="3"/>
        <v>0.1446640316</v>
      </c>
      <c r="I102" s="1">
        <f t="shared" si="4"/>
        <v>-1082</v>
      </c>
      <c r="J102" s="113">
        <f t="shared" si="5"/>
        <v>-0.03156503305</v>
      </c>
      <c r="K102" s="199">
        <f t="shared" si="6"/>
        <v>0.1446640316</v>
      </c>
      <c r="L102" s="213">
        <f t="shared" si="7"/>
        <v>185.505</v>
      </c>
      <c r="M102" s="210">
        <f t="shared" si="8"/>
        <v>-0.01368852459</v>
      </c>
      <c r="N102" s="213">
        <f t="shared" si="9"/>
        <v>1306.19</v>
      </c>
      <c r="O102" s="210">
        <f t="shared" si="10"/>
        <v>-0.03256126482</v>
      </c>
      <c r="P102" s="210">
        <f t="shared" si="11"/>
        <v>0.01887274023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217">
        <f>IFERROR(__xludf.DUMMYFUNCTION("""COMPUTED_VALUE"""),46280.64583333333)</f>
        <v>46280.64583</v>
      </c>
      <c r="C103" s="193">
        <f>IFERROR(__xludf.DUMMYFUNCTION("""COMPUTED_VALUE"""),183.65)</f>
        <v>183.65</v>
      </c>
      <c r="D103" s="9"/>
      <c r="E103" s="217">
        <f>IFERROR(__xludf.DUMMYFUNCTION("""COMPUTED_VALUE"""),46280.64583333333)</f>
        <v>46280.64583</v>
      </c>
      <c r="F103" s="193">
        <f>IFERROR(__xludf.DUMMYFUNCTION("""COMPUTED_VALUE"""),1229.2)</f>
        <v>1229.2</v>
      </c>
      <c r="G103" s="191"/>
      <c r="H103" s="29">
        <f t="shared" si="3"/>
        <v>0.1494061178</v>
      </c>
      <c r="I103" s="1">
        <f t="shared" si="4"/>
        <v>-1045.55</v>
      </c>
      <c r="J103" s="113">
        <f t="shared" si="5"/>
        <v>1.232770631</v>
      </c>
      <c r="K103" s="199">
        <f t="shared" si="6"/>
        <v>0.1494061178</v>
      </c>
      <c r="L103" s="213">
        <f t="shared" si="7"/>
        <v>185.3875</v>
      </c>
      <c r="M103" s="210">
        <f t="shared" si="8"/>
        <v>-0.009460931119</v>
      </c>
      <c r="N103" s="213">
        <f t="shared" si="9"/>
        <v>1303.76</v>
      </c>
      <c r="O103" s="210">
        <f t="shared" si="10"/>
        <v>-0.06065733811</v>
      </c>
      <c r="P103" s="210">
        <f t="shared" si="11"/>
        <v>0.05119640699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217">
        <f>IFERROR(__xludf.DUMMYFUNCTION("""COMPUTED_VALUE"""),46281.64583333333)</f>
        <v>46281.64583</v>
      </c>
      <c r="C104" s="193">
        <f>IFERROR(__xludf.DUMMYFUNCTION("""COMPUTED_VALUE"""),183.0)</f>
        <v>183</v>
      </c>
      <c r="D104" s="9"/>
      <c r="E104" s="217">
        <f>IFERROR(__xludf.DUMMYFUNCTION("""COMPUTED_VALUE"""),46281.64583333333)</f>
        <v>46281.64583</v>
      </c>
      <c r="F104" s="193">
        <f>IFERROR(__xludf.DUMMYFUNCTION("""COMPUTED_VALUE"""),1248.9)</f>
        <v>1248.9</v>
      </c>
      <c r="G104" s="191"/>
      <c r="H104" s="29">
        <f t="shared" si="3"/>
        <v>0.1465289455</v>
      </c>
      <c r="I104" s="1">
        <f t="shared" si="4"/>
        <v>-1065.9</v>
      </c>
      <c r="J104" s="113">
        <f t="shared" si="5"/>
        <v>0.526893244</v>
      </c>
      <c r="K104" s="199">
        <f t="shared" si="6"/>
        <v>0.1465289455</v>
      </c>
      <c r="L104" s="213">
        <f t="shared" si="7"/>
        <v>185.2625</v>
      </c>
      <c r="M104" s="210">
        <f t="shared" si="8"/>
        <v>-0.01236338798</v>
      </c>
      <c r="N104" s="213">
        <f t="shared" si="9"/>
        <v>1302.825</v>
      </c>
      <c r="O104" s="210">
        <f t="shared" si="10"/>
        <v>-0.04317799664</v>
      </c>
      <c r="P104" s="210">
        <f t="shared" si="11"/>
        <v>0.03081460866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217">
        <f>IFERROR(__xludf.DUMMYFUNCTION("""COMPUTED_VALUE"""),46282.64583333333)</f>
        <v>46282.64583</v>
      </c>
      <c r="C105" s="193">
        <f>IFERROR(__xludf.DUMMYFUNCTION("""COMPUTED_VALUE"""),187.29)</f>
        <v>187.29</v>
      </c>
      <c r="D105" s="9"/>
      <c r="E105" s="217">
        <f>IFERROR(__xludf.DUMMYFUNCTION("""COMPUTED_VALUE"""),46282.64583333333)</f>
        <v>46282.64583</v>
      </c>
      <c r="F105" s="193">
        <f>IFERROR(__xludf.DUMMYFUNCTION("""COMPUTED_VALUE"""),1253.4)</f>
        <v>1253.4</v>
      </c>
      <c r="G105" s="191"/>
      <c r="H105" s="29">
        <f t="shared" si="3"/>
        <v>0.1494255625</v>
      </c>
      <c r="I105" s="1">
        <f t="shared" si="4"/>
        <v>-1066.11</v>
      </c>
      <c r="J105" s="113">
        <f t="shared" si="5"/>
        <v>0.5196090056</v>
      </c>
      <c r="K105" s="199">
        <f t="shared" si="6"/>
        <v>0.1494255625</v>
      </c>
      <c r="L105" s="213">
        <f t="shared" si="7"/>
        <v>185.427</v>
      </c>
      <c r="M105" s="210">
        <f t="shared" si="8"/>
        <v>0.009947140798</v>
      </c>
      <c r="N105" s="213">
        <f t="shared" si="9"/>
        <v>1301.205</v>
      </c>
      <c r="O105" s="210">
        <f t="shared" si="10"/>
        <v>-0.0381402585</v>
      </c>
      <c r="P105" s="210">
        <f t="shared" si="11"/>
        <v>0.04808739929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217">
        <f>IFERROR(__xludf.DUMMYFUNCTION("""COMPUTED_VALUE"""),46283.64583333333)</f>
        <v>46283.64583</v>
      </c>
      <c r="C106" s="193">
        <f>IFERROR(__xludf.DUMMYFUNCTION("""COMPUTED_VALUE"""),185.54)</f>
        <v>185.54</v>
      </c>
      <c r="D106" s="9"/>
      <c r="E106" s="217">
        <f>IFERROR(__xludf.DUMMYFUNCTION("""COMPUTED_VALUE"""),46283.64583333333)</f>
        <v>46283.64583</v>
      </c>
      <c r="F106" s="193">
        <f>IFERROR(__xludf.DUMMYFUNCTION("""COMPUTED_VALUE"""),1275.6)</f>
        <v>1275.6</v>
      </c>
      <c r="G106" s="191"/>
      <c r="H106" s="29">
        <f t="shared" si="3"/>
        <v>0.1454531201</v>
      </c>
      <c r="I106" s="1">
        <f t="shared" si="4"/>
        <v>-1090.06</v>
      </c>
      <c r="J106" s="113">
        <f t="shared" si="5"/>
        <v>-0.31114104</v>
      </c>
      <c r="K106" s="199">
        <f t="shared" si="6"/>
        <v>0.1454531201</v>
      </c>
      <c r="L106" s="213">
        <f t="shared" si="7"/>
        <v>185.529</v>
      </c>
      <c r="M106" s="210">
        <f t="shared" si="8"/>
        <v>0.00005928640724</v>
      </c>
      <c r="N106" s="213">
        <f t="shared" si="9"/>
        <v>1300</v>
      </c>
      <c r="O106" s="210">
        <f t="shared" si="10"/>
        <v>-0.01912825337</v>
      </c>
      <c r="P106" s="210">
        <f t="shared" si="11"/>
        <v>0.01918753978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217">
        <f>IFERROR(__xludf.DUMMYFUNCTION("""COMPUTED_VALUE"""),46286.64583333333)</f>
        <v>46286.64583</v>
      </c>
      <c r="C107" s="193">
        <f>IFERROR(__xludf.DUMMYFUNCTION("""COMPUTED_VALUE"""),183.4)</f>
        <v>183.4</v>
      </c>
      <c r="D107" s="9"/>
      <c r="E107" s="217">
        <f>IFERROR(__xludf.DUMMYFUNCTION("""COMPUTED_VALUE"""),46286.64583333333)</f>
        <v>46286.64583</v>
      </c>
      <c r="F107" s="193">
        <f>IFERROR(__xludf.DUMMYFUNCTION("""COMPUTED_VALUE"""),1268.6)</f>
        <v>1268.6</v>
      </c>
      <c r="G107" s="191"/>
      <c r="H107" s="29">
        <f t="shared" si="3"/>
        <v>0.144568816</v>
      </c>
      <c r="I107" s="1">
        <f t="shared" si="4"/>
        <v>-1085.2</v>
      </c>
      <c r="J107" s="113">
        <f t="shared" si="5"/>
        <v>-0.1425629515</v>
      </c>
      <c r="K107" s="199">
        <f t="shared" si="6"/>
        <v>0.144568816</v>
      </c>
      <c r="L107" s="213">
        <f t="shared" si="7"/>
        <v>185.549</v>
      </c>
      <c r="M107" s="210">
        <f t="shared" si="8"/>
        <v>-0.01171755725</v>
      </c>
      <c r="N107" s="213">
        <f t="shared" si="9"/>
        <v>1298.745</v>
      </c>
      <c r="O107" s="210">
        <f t="shared" si="10"/>
        <v>-0.02376241526</v>
      </c>
      <c r="P107" s="210">
        <f t="shared" si="11"/>
        <v>0.01204485801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217">
        <f>IFERROR(__xludf.DUMMYFUNCTION("""COMPUTED_VALUE"""),46287.64583333333)</f>
        <v>46287.64583</v>
      </c>
      <c r="C108" s="193">
        <f>IFERROR(__xludf.DUMMYFUNCTION("""COMPUTED_VALUE"""),184.97)</f>
        <v>184.97</v>
      </c>
      <c r="D108" s="9"/>
      <c r="E108" s="217">
        <f>IFERROR(__xludf.DUMMYFUNCTION("""COMPUTED_VALUE"""),46287.64583333333)</f>
        <v>46287.64583</v>
      </c>
      <c r="F108" s="193">
        <f>IFERROR(__xludf.DUMMYFUNCTION("""COMPUTED_VALUE"""),1267.0)</f>
        <v>1267</v>
      </c>
      <c r="G108" s="191"/>
      <c r="H108" s="29">
        <f t="shared" si="3"/>
        <v>0.1459905288</v>
      </c>
      <c r="I108" s="1">
        <f t="shared" si="4"/>
        <v>-1082.03</v>
      </c>
      <c r="J108" s="113">
        <f t="shared" si="5"/>
        <v>-0.03260563853</v>
      </c>
      <c r="K108" s="199">
        <f t="shared" si="6"/>
        <v>0.1459905288</v>
      </c>
      <c r="L108" s="213">
        <f t="shared" si="7"/>
        <v>185.4825</v>
      </c>
      <c r="M108" s="210">
        <f t="shared" si="8"/>
        <v>-0.002770719576</v>
      </c>
      <c r="N108" s="213">
        <f t="shared" si="9"/>
        <v>1295.745</v>
      </c>
      <c r="O108" s="210">
        <f t="shared" si="10"/>
        <v>-0.02268745067</v>
      </c>
      <c r="P108" s="210">
        <f t="shared" si="11"/>
        <v>0.01991673109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217">
        <f>IFERROR(__xludf.DUMMYFUNCTION("""COMPUTED_VALUE"""),46288.64583333333)</f>
        <v>46288.64583</v>
      </c>
      <c r="C109" s="193">
        <f>IFERROR(__xludf.DUMMYFUNCTION("""COMPUTED_VALUE"""),190.82)</f>
        <v>190.82</v>
      </c>
      <c r="D109" s="9"/>
      <c r="E109" s="217">
        <f>IFERROR(__xludf.DUMMYFUNCTION("""COMPUTED_VALUE"""),46288.64583333333)</f>
        <v>46288.64583</v>
      </c>
      <c r="F109" s="193">
        <f>IFERROR(__xludf.DUMMYFUNCTION("""COMPUTED_VALUE"""),1297.8)</f>
        <v>1297.8</v>
      </c>
      <c r="G109" s="191"/>
      <c r="H109" s="29">
        <f t="shared" si="3"/>
        <v>0.1470334412</v>
      </c>
      <c r="I109" s="1">
        <f t="shared" si="4"/>
        <v>-1106.98</v>
      </c>
      <c r="J109" s="113">
        <f t="shared" si="5"/>
        <v>-0.8980425336</v>
      </c>
      <c r="K109" s="199">
        <f t="shared" si="6"/>
        <v>0.1470334412</v>
      </c>
      <c r="L109" s="213">
        <f t="shared" si="7"/>
        <v>185.6765</v>
      </c>
      <c r="M109" s="210">
        <f t="shared" si="8"/>
        <v>0.02695472173</v>
      </c>
      <c r="N109" s="213">
        <f t="shared" si="9"/>
        <v>1294.62</v>
      </c>
      <c r="O109" s="210">
        <f t="shared" si="10"/>
        <v>0.002450300509</v>
      </c>
      <c r="P109" s="210">
        <f t="shared" si="11"/>
        <v>0.02450442122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232">
        <f>IFERROR(__xludf.DUMMYFUNCTION("""COMPUTED_VALUE"""),46289.64583333333)</f>
        <v>46289.64583</v>
      </c>
      <c r="C110" s="193">
        <f>IFERROR(__xludf.DUMMYFUNCTION("""COMPUTED_VALUE"""),188.02)</f>
        <v>188.02</v>
      </c>
      <c r="D110" s="9"/>
      <c r="E110" s="217">
        <f>IFERROR(__xludf.DUMMYFUNCTION("""COMPUTED_VALUE"""),46289.64583333333)</f>
        <v>46289.64583</v>
      </c>
      <c r="F110" s="193">
        <f>IFERROR(__xludf.DUMMYFUNCTION("""COMPUTED_VALUE"""),1273.2)</f>
        <v>1273.2</v>
      </c>
      <c r="G110" s="191"/>
      <c r="H110" s="29">
        <f t="shared" si="3"/>
        <v>0.1476751492</v>
      </c>
      <c r="I110" s="1">
        <f t="shared" si="4"/>
        <v>-1085.18</v>
      </c>
      <c r="J110" s="113">
        <f t="shared" si="5"/>
        <v>-0.1418692145</v>
      </c>
      <c r="K110" s="199">
        <f t="shared" si="6"/>
        <v>0.1476751492</v>
      </c>
      <c r="L110" s="213">
        <f t="shared" si="7"/>
        <v>185.677</v>
      </c>
      <c r="M110" s="210">
        <f t="shared" si="8"/>
        <v>0.01246144027</v>
      </c>
      <c r="N110" s="213">
        <f t="shared" si="9"/>
        <v>1291.23</v>
      </c>
      <c r="O110" s="210">
        <f t="shared" si="10"/>
        <v>-0.01416116871</v>
      </c>
      <c r="P110" s="210">
        <f t="shared" si="11"/>
        <v>0.02662260898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217">
        <f>IFERROR(__xludf.DUMMYFUNCTION("""COMPUTED_VALUE"""),46290.64583333333)</f>
        <v>46290.64583</v>
      </c>
      <c r="C111" s="193">
        <f>IFERROR(__xludf.DUMMYFUNCTION("""COMPUTED_VALUE"""),187.97)</f>
        <v>187.97</v>
      </c>
      <c r="D111" s="9"/>
      <c r="E111" s="217">
        <f>IFERROR(__xludf.DUMMYFUNCTION("""COMPUTED_VALUE"""),46290.64583333333)</f>
        <v>46290.64583</v>
      </c>
      <c r="F111" s="193">
        <f>IFERROR(__xludf.DUMMYFUNCTION("""COMPUTED_VALUE"""),1277.0)</f>
        <v>1277</v>
      </c>
      <c r="G111" s="191"/>
      <c r="H111" s="29">
        <f t="shared" si="3"/>
        <v>0.1471965544</v>
      </c>
      <c r="I111" s="1">
        <f t="shared" si="4"/>
        <v>-1089.03</v>
      </c>
      <c r="J111" s="113">
        <f t="shared" si="5"/>
        <v>-0.2754135851</v>
      </c>
      <c r="K111" s="199">
        <f t="shared" si="6"/>
        <v>0.1471965544</v>
      </c>
      <c r="L111" s="213">
        <f t="shared" si="7"/>
        <v>185.7355</v>
      </c>
      <c r="M111" s="210">
        <f t="shared" si="8"/>
        <v>0.01188753524</v>
      </c>
      <c r="N111" s="213">
        <f t="shared" si="9"/>
        <v>1288.205</v>
      </c>
      <c r="O111" s="210">
        <f t="shared" si="10"/>
        <v>-0.008774471417</v>
      </c>
      <c r="P111" s="210">
        <f t="shared" si="11"/>
        <v>0.02066200666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217">
        <f>IFERROR(__xludf.DUMMYFUNCTION("""COMPUTED_VALUE"""),46293.64583333333)</f>
        <v>46293.64583</v>
      </c>
      <c r="C112" s="193">
        <f>IFERROR(__xludf.DUMMYFUNCTION("""COMPUTED_VALUE"""),186.3)</f>
        <v>186.3</v>
      </c>
      <c r="D112" s="9"/>
      <c r="E112" s="217">
        <f>IFERROR(__xludf.DUMMYFUNCTION("""COMPUTED_VALUE"""),46293.64583333333)</f>
        <v>46293.64583</v>
      </c>
      <c r="F112" s="193">
        <f>IFERROR(__xludf.DUMMYFUNCTION("""COMPUTED_VALUE"""),1264.1)</f>
        <v>1264.1</v>
      </c>
      <c r="G112" s="191"/>
      <c r="H112" s="29">
        <f t="shared" si="3"/>
        <v>0.1473775809</v>
      </c>
      <c r="I112" s="1">
        <f t="shared" si="4"/>
        <v>-1077.8</v>
      </c>
      <c r="J112" s="113">
        <f t="shared" si="5"/>
        <v>0.1141197349</v>
      </c>
      <c r="K112" s="199">
        <f t="shared" si="6"/>
        <v>0.1473775809</v>
      </c>
      <c r="L112" s="213">
        <f t="shared" si="7"/>
        <v>185.7255</v>
      </c>
      <c r="M112" s="210">
        <f t="shared" si="8"/>
        <v>0.00308373591</v>
      </c>
      <c r="N112" s="213">
        <f t="shared" si="9"/>
        <v>1284.665</v>
      </c>
      <c r="O112" s="210">
        <f t="shared" si="10"/>
        <v>-0.01626849142</v>
      </c>
      <c r="P112" s="210">
        <f t="shared" si="11"/>
        <v>0.01935222733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217">
        <f>IFERROR(__xludf.DUMMYFUNCTION("""COMPUTED_VALUE"""),46294.64583333333)</f>
        <v>46294.64583</v>
      </c>
      <c r="C113" s="193">
        <f>IFERROR(__xludf.DUMMYFUNCTION("""COMPUTED_VALUE"""),188.0)</f>
        <v>188</v>
      </c>
      <c r="D113" s="9"/>
      <c r="E113" s="217">
        <f>IFERROR(__xludf.DUMMYFUNCTION("""COMPUTED_VALUE"""),46294.64583333333)</f>
        <v>46294.64583</v>
      </c>
      <c r="F113" s="193">
        <f>IFERROR(__xludf.DUMMYFUNCTION("""COMPUTED_VALUE"""),1272.4)</f>
        <v>1272.4</v>
      </c>
      <c r="G113" s="191"/>
      <c r="H113" s="29">
        <f t="shared" si="3"/>
        <v>0.1477522792</v>
      </c>
      <c r="I113" s="1">
        <f t="shared" si="4"/>
        <v>-1084.4</v>
      </c>
      <c r="J113" s="113">
        <f t="shared" si="5"/>
        <v>-0.1148134719</v>
      </c>
      <c r="K113" s="199">
        <f t="shared" si="6"/>
        <v>0.1477522792</v>
      </c>
      <c r="L113" s="213">
        <f t="shared" si="7"/>
        <v>185.908</v>
      </c>
      <c r="M113" s="210">
        <f t="shared" si="8"/>
        <v>0.01112765957</v>
      </c>
      <c r="N113" s="213">
        <f t="shared" si="9"/>
        <v>1282.9</v>
      </c>
      <c r="O113" s="210">
        <f t="shared" si="10"/>
        <v>-0.008252121974</v>
      </c>
      <c r="P113" s="210">
        <f t="shared" si="11"/>
        <v>0.01937978155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217">
        <f>IFERROR(__xludf.DUMMYFUNCTION("""COMPUTED_VALUE"""),46295.64583333333)</f>
        <v>46295.64583</v>
      </c>
      <c r="C114" s="193">
        <f>IFERROR(__xludf.DUMMYFUNCTION("""COMPUTED_VALUE"""),184.3)</f>
        <v>184.3</v>
      </c>
      <c r="D114" s="9"/>
      <c r="E114" s="217">
        <f>IFERROR(__xludf.DUMMYFUNCTION("""COMPUTED_VALUE"""),46295.64583333333)</f>
        <v>46295.64583</v>
      </c>
      <c r="F114" s="193">
        <f>IFERROR(__xludf.DUMMYFUNCTION("""COMPUTED_VALUE"""),1253.4)</f>
        <v>1253.4</v>
      </c>
      <c r="G114" s="191"/>
      <c r="H114" s="29">
        <f t="shared" si="3"/>
        <v>0.1470400511</v>
      </c>
      <c r="I114" s="1">
        <f t="shared" si="4"/>
        <v>-1069.1</v>
      </c>
      <c r="J114" s="113">
        <f t="shared" si="5"/>
        <v>0.4158953255</v>
      </c>
      <c r="K114" s="199">
        <f t="shared" si="6"/>
        <v>0.1470400511</v>
      </c>
      <c r="L114" s="213">
        <f t="shared" si="7"/>
        <v>185.9195</v>
      </c>
      <c r="M114" s="210">
        <f t="shared" si="8"/>
        <v>-0.00878730331</v>
      </c>
      <c r="N114" s="213">
        <f t="shared" si="9"/>
        <v>1279.895</v>
      </c>
      <c r="O114" s="210">
        <f t="shared" si="10"/>
        <v>-0.02113850327</v>
      </c>
      <c r="P114" s="210">
        <f t="shared" si="11"/>
        <v>0.01235119996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217">
        <f>IFERROR(__xludf.DUMMYFUNCTION("""COMPUTED_VALUE"""),46296.64583333333)</f>
        <v>46296.64583</v>
      </c>
      <c r="C115" s="193">
        <f>IFERROR(__xludf.DUMMYFUNCTION("""COMPUTED_VALUE"""),178.0)</f>
        <v>178</v>
      </c>
      <c r="D115" s="9"/>
      <c r="E115" s="217">
        <f>IFERROR(__xludf.DUMMYFUNCTION("""COMPUTED_VALUE"""),46296.64583333333)</f>
        <v>46296.64583</v>
      </c>
      <c r="F115" s="193">
        <f>IFERROR(__xludf.DUMMYFUNCTION("""COMPUTED_VALUE"""),1233.0)</f>
        <v>1233</v>
      </c>
      <c r="G115" s="191"/>
      <c r="H115" s="29">
        <f t="shared" si="3"/>
        <v>0.1443633414</v>
      </c>
      <c r="I115" s="1">
        <f t="shared" si="4"/>
        <v>-1055</v>
      </c>
      <c r="J115" s="113">
        <f t="shared" si="5"/>
        <v>0.9049799035</v>
      </c>
      <c r="K115" s="199">
        <f t="shared" si="6"/>
        <v>0.1443633414</v>
      </c>
      <c r="L115" s="213">
        <f t="shared" si="7"/>
        <v>185.627</v>
      </c>
      <c r="M115" s="210">
        <f t="shared" si="8"/>
        <v>-0.04284831461</v>
      </c>
      <c r="N115" s="213">
        <f t="shared" si="9"/>
        <v>1276.245</v>
      </c>
      <c r="O115" s="210">
        <f t="shared" si="10"/>
        <v>-0.0350729927</v>
      </c>
      <c r="P115" s="210">
        <f t="shared" si="11"/>
        <v>-0.007775321906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217">
        <f>IFERROR(__xludf.DUMMYFUNCTION("""COMPUTED_VALUE"""),46300.64583333333)</f>
        <v>46300.64583</v>
      </c>
      <c r="C116" s="193">
        <f>IFERROR(__xludf.DUMMYFUNCTION("""COMPUTED_VALUE"""),178.14)</f>
        <v>178.14</v>
      </c>
      <c r="D116" s="9"/>
      <c r="E116" s="217">
        <f>IFERROR(__xludf.DUMMYFUNCTION("""COMPUTED_VALUE"""),46300.64583333333)</f>
        <v>46300.64583</v>
      </c>
      <c r="F116" s="193">
        <f>IFERROR(__xludf.DUMMYFUNCTION("""COMPUTED_VALUE"""),1235.3)</f>
        <v>1235.3</v>
      </c>
      <c r="G116" s="191"/>
      <c r="H116" s="29">
        <f t="shared" si="3"/>
        <v>0.1442078847</v>
      </c>
      <c r="I116" s="1">
        <f t="shared" si="4"/>
        <v>-1057.16</v>
      </c>
      <c r="J116" s="113">
        <f t="shared" si="5"/>
        <v>0.8300563086</v>
      </c>
      <c r="K116" s="199">
        <f t="shared" si="6"/>
        <v>0.1442078847</v>
      </c>
      <c r="L116" s="213">
        <f t="shared" si="7"/>
        <v>185.324</v>
      </c>
      <c r="M116" s="210">
        <f t="shared" si="8"/>
        <v>-0.04032783204</v>
      </c>
      <c r="N116" s="213">
        <f t="shared" si="9"/>
        <v>1272.61</v>
      </c>
      <c r="O116" s="210">
        <f t="shared" si="10"/>
        <v>-0.03020318951</v>
      </c>
      <c r="P116" s="210">
        <f t="shared" si="11"/>
        <v>-0.01012464253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217">
        <f>IFERROR(__xludf.DUMMYFUNCTION("""COMPUTED_VALUE"""),46301.64583333333)</f>
        <v>46301.64583</v>
      </c>
      <c r="C117" s="193">
        <f>IFERROR(__xludf.DUMMYFUNCTION("""COMPUTED_VALUE"""),178.69)</f>
        <v>178.69</v>
      </c>
      <c r="D117" s="9"/>
      <c r="E117" s="217">
        <f>IFERROR(__xludf.DUMMYFUNCTION("""COMPUTED_VALUE"""),46301.64583333333)</f>
        <v>46301.64583</v>
      </c>
      <c r="F117" s="193">
        <f>IFERROR(__xludf.DUMMYFUNCTION("""COMPUTED_VALUE"""),1259.6)</f>
        <v>1259.6</v>
      </c>
      <c r="G117" s="191"/>
      <c r="H117" s="29">
        <f t="shared" si="3"/>
        <v>0.141862496</v>
      </c>
      <c r="I117" s="1">
        <f t="shared" si="4"/>
        <v>-1080.91</v>
      </c>
      <c r="J117" s="113">
        <f t="shared" si="5"/>
        <v>0.006243632911</v>
      </c>
      <c r="K117" s="199">
        <f t="shared" si="6"/>
        <v>0.141862496</v>
      </c>
      <c r="L117" s="213">
        <f t="shared" si="7"/>
        <v>184.819</v>
      </c>
      <c r="M117" s="210">
        <f t="shared" si="8"/>
        <v>-0.03429962505</v>
      </c>
      <c r="N117" s="213">
        <f t="shared" si="9"/>
        <v>1269.34</v>
      </c>
      <c r="O117" s="210">
        <f t="shared" si="10"/>
        <v>-0.007732613528</v>
      </c>
      <c r="P117" s="210">
        <f t="shared" si="11"/>
        <v>-0.02656701152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217">
        <f>IFERROR(__xludf.DUMMYFUNCTION("""COMPUTED_VALUE"""),46302.64583333333)</f>
        <v>46302.64583</v>
      </c>
      <c r="C118" s="193">
        <f>IFERROR(__xludf.DUMMYFUNCTION("""COMPUTED_VALUE"""),175.64)</f>
        <v>175.64</v>
      </c>
      <c r="D118" s="9"/>
      <c r="E118" s="234">
        <f>IFERROR(__xludf.DUMMYFUNCTION("""COMPUTED_VALUE"""),46302.64583333333)</f>
        <v>46302.64583</v>
      </c>
      <c r="F118" s="9">
        <f>IFERROR(__xludf.DUMMYFUNCTION("""COMPUTED_VALUE"""),1230.0)</f>
        <v>1230</v>
      </c>
      <c r="G118" s="191"/>
      <c r="H118" s="29">
        <f t="shared" si="3"/>
        <v>0.142796748</v>
      </c>
      <c r="I118" s="1">
        <f t="shared" si="4"/>
        <v>-1054.36</v>
      </c>
      <c r="J118" s="113">
        <f t="shared" si="5"/>
        <v>0.9271794872</v>
      </c>
      <c r="K118" s="247">
        <f>C117/F118</f>
        <v>0.1452764228</v>
      </c>
      <c r="L118" s="213">
        <f t="shared" si="7"/>
        <v>184.3205</v>
      </c>
      <c r="M118" s="210">
        <f t="shared" si="8"/>
        <v>-0.04942211341</v>
      </c>
      <c r="N118" s="213">
        <f t="shared" si="9"/>
        <v>1265.74</v>
      </c>
      <c r="O118" s="210">
        <f t="shared" si="10"/>
        <v>-0.02905691057</v>
      </c>
      <c r="P118" s="210">
        <f t="shared" si="11"/>
        <v>-0.02036520284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217">
        <f>IFERROR(__xludf.DUMMYFUNCTION("""COMPUTED_VALUE"""),46303.64583333333)</f>
        <v>46303.64583</v>
      </c>
      <c r="C119" s="193">
        <f>IFERROR(__xludf.DUMMYFUNCTION("""COMPUTED_VALUE"""),171.96)</f>
        <v>171.96</v>
      </c>
      <c r="D119" s="9"/>
      <c r="E119" s="234">
        <f>IFERROR(__xludf.DUMMYFUNCTION("""COMPUTED_VALUE"""),46303.64583333333)</f>
        <v>46303.64583</v>
      </c>
      <c r="F119" s="9">
        <f>IFERROR(__xludf.DUMMYFUNCTION("""COMPUTED_VALUE"""),1175.2)</f>
        <v>1175.2</v>
      </c>
      <c r="G119" s="191"/>
      <c r="H119" s="1"/>
      <c r="I119" s="1"/>
      <c r="J119" s="1"/>
      <c r="K119" s="191"/>
      <c r="L119" s="191"/>
      <c r="M119" s="19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217">
        <f>IFERROR(__xludf.DUMMYFUNCTION("""COMPUTED_VALUE"""),46304.64583333333)</f>
        <v>46304.64583</v>
      </c>
      <c r="C120" s="193">
        <f>IFERROR(__xludf.DUMMYFUNCTION("""COMPUTED_VALUE"""),173.8)</f>
        <v>173.8</v>
      </c>
      <c r="D120" s="9"/>
      <c r="E120" s="234">
        <f>IFERROR(__xludf.DUMMYFUNCTION("""COMPUTED_VALUE"""),46304.64583333333)</f>
        <v>46304.64583</v>
      </c>
      <c r="F120" s="9">
        <f>IFERROR(__xludf.DUMMYFUNCTION("""COMPUTED_VALUE"""),1168.0)</f>
        <v>1168</v>
      </c>
      <c r="G120" s="191"/>
      <c r="H120" s="1"/>
      <c r="I120" s="1"/>
      <c r="J120" s="1"/>
      <c r="K120" s="191"/>
      <c r="L120" s="191"/>
      <c r="M120" s="19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48"/>
      <c r="B121" s="249">
        <f>IFERROR(__xludf.DUMMYFUNCTION("""COMPUTED_VALUE"""),46307.64583333333)</f>
        <v>46307.64583</v>
      </c>
      <c r="C121" s="248">
        <f>IFERROR(__xludf.DUMMYFUNCTION("""COMPUTED_VALUE"""),172.24)</f>
        <v>172.24</v>
      </c>
      <c r="D121" s="250"/>
      <c r="E121" s="249">
        <f>IFERROR(__xludf.DUMMYFUNCTION("""COMPUTED_VALUE"""),46307.64583333333)</f>
        <v>46307.64583</v>
      </c>
      <c r="F121" s="248">
        <f>IFERROR(__xludf.DUMMYFUNCTION("""COMPUTED_VALUE"""),1173.0)</f>
        <v>1173</v>
      </c>
      <c r="G121" s="251"/>
      <c r="H121" s="179"/>
      <c r="I121" s="175"/>
      <c r="J121" s="176"/>
      <c r="K121" s="252"/>
      <c r="L121" s="253"/>
      <c r="M121" s="254"/>
      <c r="N121" s="253"/>
      <c r="O121" s="254"/>
      <c r="P121" s="254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  <c r="AA121" s="250"/>
      <c r="AB121" s="250"/>
      <c r="AC121" s="250"/>
    </row>
    <row r="122">
      <c r="A122" s="248"/>
      <c r="B122" s="249">
        <f>IFERROR(__xludf.DUMMYFUNCTION("""COMPUTED_VALUE"""),46308.64583333333)</f>
        <v>46308.64583</v>
      </c>
      <c r="C122" s="248">
        <f>IFERROR(__xludf.DUMMYFUNCTION("""COMPUTED_VALUE"""),175.0)</f>
        <v>175</v>
      </c>
      <c r="D122" s="250"/>
      <c r="E122" s="249">
        <f>IFERROR(__xludf.DUMMYFUNCTION("""COMPUTED_VALUE"""),46308.64583333333)</f>
        <v>46308.64583</v>
      </c>
      <c r="F122" s="248">
        <f>IFERROR(__xludf.DUMMYFUNCTION("""COMPUTED_VALUE"""),1176.6)</f>
        <v>1176.6</v>
      </c>
      <c r="G122" s="251"/>
      <c r="H122" s="179"/>
      <c r="I122" s="175"/>
      <c r="J122" s="176"/>
      <c r="K122" s="252"/>
      <c r="L122" s="253"/>
      <c r="M122" s="254"/>
      <c r="N122" s="253"/>
      <c r="O122" s="254"/>
      <c r="P122" s="254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</row>
    <row r="123">
      <c r="A123" s="248"/>
      <c r="B123" s="249">
        <f>IFERROR(__xludf.DUMMYFUNCTION("""COMPUTED_VALUE"""),46309.64583333333)</f>
        <v>46309.64583</v>
      </c>
      <c r="C123" s="248">
        <f>IFERROR(__xludf.DUMMYFUNCTION("""COMPUTED_VALUE"""),174.49)</f>
        <v>174.49</v>
      </c>
      <c r="D123" s="250"/>
      <c r="E123" s="249">
        <f>IFERROR(__xludf.DUMMYFUNCTION("""COMPUTED_VALUE"""),46309.64583333333)</f>
        <v>46309.64583</v>
      </c>
      <c r="F123" s="248">
        <f>IFERROR(__xludf.DUMMYFUNCTION("""COMPUTED_VALUE"""),1176.2)</f>
        <v>1176.2</v>
      </c>
      <c r="G123" s="251"/>
      <c r="H123" s="179"/>
      <c r="I123" s="175"/>
      <c r="J123" s="176"/>
      <c r="K123" s="252"/>
      <c r="L123" s="253"/>
      <c r="M123" s="254"/>
      <c r="N123" s="253"/>
      <c r="O123" s="254"/>
      <c r="P123" s="254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</row>
    <row r="124">
      <c r="A124" s="248"/>
      <c r="B124" s="249">
        <f>IFERROR(__xludf.DUMMYFUNCTION("""COMPUTED_VALUE"""),46310.64583333333)</f>
        <v>46310.64583</v>
      </c>
      <c r="C124" s="248">
        <f>IFERROR(__xludf.DUMMYFUNCTION("""COMPUTED_VALUE"""),176.4)</f>
        <v>176.4</v>
      </c>
      <c r="D124" s="250"/>
      <c r="E124" s="249">
        <f>IFERROR(__xludf.DUMMYFUNCTION("""COMPUTED_VALUE"""),46310.64583333333)</f>
        <v>46310.64583</v>
      </c>
      <c r="F124" s="248">
        <f>IFERROR(__xludf.DUMMYFUNCTION("""COMPUTED_VALUE"""),1200.4)</f>
        <v>1200.4</v>
      </c>
      <c r="G124" s="251"/>
      <c r="H124" s="179"/>
      <c r="I124" s="175"/>
      <c r="J124" s="176"/>
      <c r="K124" s="252"/>
      <c r="L124" s="253"/>
      <c r="M124" s="254"/>
      <c r="N124" s="253"/>
      <c r="O124" s="254"/>
      <c r="P124" s="254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</row>
    <row r="125">
      <c r="B125" s="166">
        <f>IFERROR(__xludf.DUMMYFUNCTION("""COMPUTED_VALUE"""),46311.64583333333)</f>
        <v>46311.64583</v>
      </c>
      <c r="C125" s="230">
        <f>IFERROR(__xludf.DUMMYFUNCTION("""COMPUTED_VALUE"""),175.5)</f>
        <v>175.5</v>
      </c>
      <c r="E125" s="166">
        <f>IFERROR(__xludf.DUMMYFUNCTION("""COMPUTED_VALUE"""),46311.64583333333)</f>
        <v>46311.64583</v>
      </c>
      <c r="F125" s="230">
        <f>IFERROR(__xludf.DUMMYFUNCTION("""COMPUTED_VALUE"""),1216.3)</f>
        <v>1216.3</v>
      </c>
    </row>
    <row r="128">
      <c r="A128" s="248" t="s">
        <v>9</v>
      </c>
      <c r="B128" s="249">
        <f>IFERROR(__xludf.DUMMYFUNCTION("GOOGLEFINANCE(B9,""TRADETIME"")"),46311.64583333333)</f>
        <v>46311.64583</v>
      </c>
      <c r="C128" s="248">
        <f>IFERROR(__xludf.DUMMYFUNCTION("GOOGLEFINANCE(B9,""PRICE"")"),175.5)</f>
        <v>175.5</v>
      </c>
      <c r="D128" s="250"/>
      <c r="E128" s="249">
        <f>IFERROR(__xludf.DUMMYFUNCTION("GOOGLEFINANCE(E9,""TRADETIME"")"),46311.64583333333)</f>
        <v>46311.64583</v>
      </c>
      <c r="F128" s="248">
        <f>IFERROR(__xludf.DUMMYFUNCTION("GOOGLEFINANCE(E9,""PRICE"")"),1216.3)</f>
        <v>1216.3</v>
      </c>
      <c r="G128" s="251"/>
      <c r="H128" s="179">
        <f>C128/F128</f>
        <v>0.14429006</v>
      </c>
      <c r="I128" s="175">
        <f>C128-F128</f>
        <v>-1040.8</v>
      </c>
      <c r="J128" s="176">
        <f>((I128-$I$129)/$I$130)</f>
        <v>1.397533166</v>
      </c>
      <c r="K128" s="252">
        <f>C128/F128</f>
        <v>0.14429006</v>
      </c>
      <c r="L128" s="253">
        <f>AVERAGE(C73:C109)</f>
        <v>186.3135135</v>
      </c>
      <c r="M128" s="254">
        <f>(C128-L128)/C128</f>
        <v>-0.06161546162</v>
      </c>
      <c r="N128" s="253">
        <f>AVERAGE(F73:F109)</f>
        <v>1294.418919</v>
      </c>
      <c r="O128" s="254">
        <f>(F128-N128)/F128</f>
        <v>-0.06422668661</v>
      </c>
      <c r="P128" s="254">
        <f>M128-O128</f>
        <v>0.002611224991</v>
      </c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</row>
    <row r="129">
      <c r="A129" s="9"/>
      <c r="B129" s="9"/>
      <c r="C129" s="9"/>
      <c r="D129" s="9"/>
      <c r="E129" s="9"/>
      <c r="F129" s="9"/>
      <c r="G129" s="191"/>
      <c r="H129" s="96" t="s">
        <v>138</v>
      </c>
      <c r="I129" s="177">
        <f>AVERAGE(I11:I118)</f>
        <v>-1081.09</v>
      </c>
      <c r="J129" s="1"/>
      <c r="K129" s="191"/>
      <c r="L129" s="191"/>
      <c r="M129" s="19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9"/>
      <c r="F130" s="9"/>
      <c r="G130" s="191"/>
      <c r="H130" s="96" t="s">
        <v>139</v>
      </c>
      <c r="I130" s="189">
        <f>_xlfn.STDEV.P(I11:I117)</f>
        <v>28.82936947</v>
      </c>
      <c r="J130" s="191"/>
      <c r="K130" s="191"/>
      <c r="L130" s="191"/>
      <c r="M130" s="19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9"/>
      <c r="F131" s="9"/>
      <c r="G131" s="191"/>
      <c r="H131" s="191"/>
      <c r="I131" s="191"/>
      <c r="J131" s="191"/>
      <c r="K131" s="191"/>
      <c r="L131" s="191"/>
      <c r="M131" s="19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9"/>
      <c r="F132" s="9"/>
      <c r="G132" s="191"/>
      <c r="H132" s="191"/>
      <c r="I132" s="191"/>
      <c r="J132" s="191"/>
      <c r="K132" s="191"/>
      <c r="L132" s="191"/>
      <c r="M132" s="19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9"/>
      <c r="F133" s="9"/>
      <c r="G133" s="191"/>
      <c r="H133" s="191"/>
      <c r="I133" s="191"/>
      <c r="J133" s="191"/>
      <c r="K133" s="191"/>
      <c r="L133" s="191"/>
      <c r="M133" s="19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9"/>
      <c r="F134" s="9"/>
      <c r="G134" s="191"/>
      <c r="H134" s="191"/>
      <c r="I134" s="191"/>
      <c r="J134" s="191"/>
      <c r="K134" s="191"/>
      <c r="L134" s="191"/>
      <c r="M134" s="19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9"/>
      <c r="F135" s="9"/>
      <c r="G135" s="191"/>
      <c r="H135" s="191"/>
      <c r="I135" s="191"/>
      <c r="J135" s="191"/>
      <c r="K135" s="191"/>
      <c r="L135" s="191"/>
      <c r="M135" s="19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9"/>
      <c r="F136" s="9"/>
      <c r="G136" s="191"/>
      <c r="H136" s="191"/>
      <c r="I136" s="191"/>
      <c r="J136" s="191"/>
      <c r="K136" s="191"/>
      <c r="L136" s="191"/>
      <c r="M136" s="19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191"/>
      <c r="H137" s="191"/>
      <c r="I137" s="191"/>
      <c r="J137" s="191"/>
      <c r="K137" s="191"/>
      <c r="L137" s="191"/>
      <c r="M137" s="19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191"/>
      <c r="H138" s="191"/>
      <c r="I138" s="191"/>
      <c r="J138" s="191"/>
      <c r="K138" s="191"/>
      <c r="L138" s="191"/>
      <c r="M138" s="19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9"/>
      <c r="F139" s="9"/>
      <c r="G139" s="191"/>
      <c r="H139" s="191"/>
      <c r="I139" s="191"/>
      <c r="J139" s="191"/>
      <c r="K139" s="191"/>
      <c r="L139" s="191"/>
      <c r="M139" s="19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191"/>
      <c r="H140" s="191"/>
      <c r="I140" s="191"/>
      <c r="J140" s="191"/>
      <c r="K140" s="191"/>
      <c r="L140" s="191"/>
      <c r="M140" s="19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191"/>
      <c r="H141" s="191"/>
      <c r="I141" s="191"/>
      <c r="J141" s="191"/>
      <c r="K141" s="191"/>
      <c r="L141" s="191"/>
      <c r="M141" s="19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9"/>
      <c r="F142" s="9"/>
      <c r="G142" s="191"/>
      <c r="H142" s="191"/>
      <c r="I142" s="191"/>
      <c r="J142" s="191"/>
      <c r="K142" s="191"/>
      <c r="L142" s="191"/>
      <c r="M142" s="19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191"/>
      <c r="H143" s="191"/>
      <c r="I143" s="191"/>
      <c r="J143" s="191"/>
      <c r="K143" s="191"/>
      <c r="L143" s="191"/>
      <c r="M143" s="19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191"/>
      <c r="H144" s="191"/>
      <c r="I144" s="191"/>
      <c r="J144" s="191"/>
      <c r="K144" s="191"/>
      <c r="L144" s="191"/>
      <c r="M144" s="19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191"/>
      <c r="H145" s="191"/>
      <c r="I145" s="191"/>
      <c r="J145" s="191"/>
      <c r="K145" s="191"/>
      <c r="L145" s="191"/>
      <c r="M145" s="191"/>
      <c r="N145" s="191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191"/>
      <c r="H146" s="191"/>
      <c r="I146" s="191"/>
      <c r="J146" s="191"/>
      <c r="K146" s="191"/>
      <c r="L146" s="191"/>
      <c r="M146" s="191"/>
      <c r="N146" s="191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191"/>
      <c r="H147" s="191"/>
      <c r="I147" s="191"/>
      <c r="J147" s="191"/>
      <c r="K147" s="191"/>
      <c r="L147" s="191"/>
      <c r="M147" s="191"/>
      <c r="N147" s="191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191"/>
      <c r="H148" s="191"/>
      <c r="I148" s="191"/>
      <c r="J148" s="191"/>
      <c r="K148" s="191"/>
      <c r="L148" s="191"/>
      <c r="M148" s="191"/>
      <c r="N148" s="191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191"/>
      <c r="H149" s="191"/>
      <c r="I149" s="191"/>
      <c r="J149" s="191"/>
      <c r="K149" s="191"/>
      <c r="L149" s="191"/>
      <c r="M149" s="191"/>
      <c r="N149" s="191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191"/>
      <c r="H150" s="191"/>
      <c r="I150" s="191"/>
      <c r="J150" s="191"/>
      <c r="K150" s="191"/>
      <c r="L150" s="191"/>
      <c r="M150" s="191"/>
      <c r="N150" s="191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191"/>
      <c r="H151" s="191"/>
      <c r="I151" s="191"/>
      <c r="J151" s="191"/>
      <c r="K151" s="191"/>
      <c r="L151" s="191"/>
      <c r="M151" s="191"/>
      <c r="N151" s="19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191"/>
      <c r="H152" s="191"/>
      <c r="I152" s="191"/>
      <c r="J152" s="191"/>
      <c r="K152" s="191"/>
      <c r="L152" s="191"/>
      <c r="M152" s="191"/>
      <c r="N152" s="19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191"/>
      <c r="H153" s="191"/>
      <c r="I153" s="191"/>
      <c r="J153" s="191"/>
      <c r="K153" s="191"/>
      <c r="L153" s="191"/>
      <c r="M153" s="191"/>
      <c r="N153" s="19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191"/>
      <c r="H154" s="191"/>
      <c r="I154" s="191"/>
      <c r="J154" s="191"/>
      <c r="K154" s="191"/>
      <c r="L154" s="191"/>
      <c r="M154" s="191"/>
      <c r="N154" s="191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191"/>
      <c r="H155" s="191"/>
      <c r="I155" s="191"/>
      <c r="J155" s="191"/>
      <c r="K155" s="191"/>
      <c r="L155" s="191"/>
      <c r="M155" s="191"/>
      <c r="N155" s="19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191"/>
      <c r="H156" s="191"/>
      <c r="I156" s="191"/>
      <c r="J156" s="191"/>
      <c r="K156" s="191"/>
      <c r="L156" s="191"/>
      <c r="M156" s="191"/>
      <c r="N156" s="191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191"/>
      <c r="H157" s="191"/>
      <c r="I157" s="191"/>
      <c r="J157" s="191"/>
      <c r="K157" s="191"/>
      <c r="L157" s="191"/>
      <c r="M157" s="191"/>
      <c r="N157" s="19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191"/>
      <c r="H158" s="191"/>
      <c r="I158" s="191"/>
      <c r="J158" s="191"/>
      <c r="K158" s="191"/>
      <c r="L158" s="191"/>
      <c r="M158" s="191"/>
      <c r="N158" s="19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191"/>
      <c r="H159" s="191"/>
      <c r="I159" s="191"/>
      <c r="J159" s="191"/>
      <c r="K159" s="191"/>
      <c r="L159" s="191"/>
      <c r="M159" s="191"/>
      <c r="N159" s="19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191"/>
      <c r="H160" s="191"/>
      <c r="I160" s="191"/>
      <c r="J160" s="191"/>
      <c r="K160" s="191"/>
      <c r="L160" s="191"/>
      <c r="M160" s="191"/>
      <c r="N160" s="191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191"/>
      <c r="H161" s="191"/>
      <c r="I161" s="191"/>
      <c r="J161" s="191"/>
      <c r="K161" s="191"/>
      <c r="L161" s="191"/>
      <c r="M161" s="191"/>
      <c r="N161" s="191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191"/>
      <c r="H162" s="191"/>
      <c r="I162" s="191"/>
      <c r="J162" s="191"/>
      <c r="K162" s="191"/>
      <c r="L162" s="191"/>
      <c r="M162" s="191"/>
      <c r="N162" s="191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191"/>
      <c r="H163" s="191"/>
      <c r="I163" s="191"/>
      <c r="J163" s="191"/>
      <c r="K163" s="191"/>
      <c r="L163" s="191"/>
      <c r="M163" s="191"/>
      <c r="N163" s="19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191"/>
      <c r="H164" s="191"/>
      <c r="I164" s="191"/>
      <c r="J164" s="191"/>
      <c r="K164" s="191"/>
      <c r="L164" s="191"/>
      <c r="M164" s="191"/>
      <c r="N164" s="19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191"/>
      <c r="H165" s="191"/>
      <c r="I165" s="191"/>
      <c r="J165" s="191"/>
      <c r="K165" s="191"/>
      <c r="L165" s="191"/>
      <c r="M165" s="191"/>
      <c r="N165" s="19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191"/>
      <c r="H166" s="191"/>
      <c r="I166" s="191"/>
      <c r="J166" s="191"/>
      <c r="K166" s="191"/>
      <c r="L166" s="191"/>
      <c r="M166" s="191"/>
      <c r="N166" s="19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191"/>
      <c r="H167" s="191"/>
      <c r="I167" s="191"/>
      <c r="J167" s="191"/>
      <c r="K167" s="191"/>
      <c r="L167" s="191"/>
      <c r="M167" s="191"/>
      <c r="N167" s="19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191"/>
      <c r="H168" s="191"/>
      <c r="I168" s="191"/>
      <c r="J168" s="191"/>
      <c r="K168" s="191"/>
      <c r="L168" s="191"/>
      <c r="M168" s="191"/>
      <c r="N168" s="19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191"/>
      <c r="H169" s="191"/>
      <c r="I169" s="191"/>
      <c r="J169" s="191"/>
      <c r="K169" s="191"/>
      <c r="L169" s="191"/>
      <c r="M169" s="191"/>
      <c r="N169" s="19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191"/>
      <c r="H170" s="191"/>
      <c r="I170" s="191"/>
      <c r="J170" s="191"/>
      <c r="K170" s="191"/>
      <c r="L170" s="191"/>
      <c r="M170" s="191"/>
      <c r="N170" s="19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191"/>
      <c r="H171" s="191"/>
      <c r="I171" s="191"/>
      <c r="J171" s="191"/>
      <c r="K171" s="191"/>
      <c r="L171" s="191"/>
      <c r="M171" s="191"/>
      <c r="N171" s="19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191"/>
      <c r="H172" s="191"/>
      <c r="I172" s="191"/>
      <c r="J172" s="191"/>
      <c r="K172" s="191"/>
      <c r="L172" s="191"/>
      <c r="M172" s="191"/>
      <c r="N172" s="19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191"/>
      <c r="H173" s="191"/>
      <c r="I173" s="191"/>
      <c r="J173" s="191"/>
      <c r="K173" s="191"/>
      <c r="L173" s="191"/>
      <c r="M173" s="191"/>
      <c r="N173" s="19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191"/>
      <c r="H174" s="191"/>
      <c r="I174" s="191"/>
      <c r="J174" s="191"/>
      <c r="K174" s="191"/>
      <c r="L174" s="191"/>
      <c r="M174" s="191"/>
      <c r="N174" s="19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191"/>
      <c r="H175" s="191"/>
      <c r="I175" s="191"/>
      <c r="J175" s="191"/>
      <c r="K175" s="191"/>
      <c r="L175" s="191"/>
      <c r="M175" s="191"/>
      <c r="N175" s="19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191"/>
      <c r="H176" s="191"/>
      <c r="I176" s="191"/>
      <c r="J176" s="191"/>
      <c r="K176" s="191"/>
      <c r="L176" s="191"/>
      <c r="M176" s="191"/>
      <c r="N176" s="19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191"/>
      <c r="H177" s="191"/>
      <c r="I177" s="191"/>
      <c r="J177" s="191"/>
      <c r="K177" s="191"/>
      <c r="L177" s="191"/>
      <c r="M177" s="191"/>
      <c r="N177" s="19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191"/>
      <c r="H178" s="191"/>
      <c r="I178" s="191"/>
      <c r="J178" s="191"/>
      <c r="K178" s="191"/>
      <c r="L178" s="191"/>
      <c r="M178" s="191"/>
      <c r="N178" s="19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191"/>
      <c r="H179" s="191"/>
      <c r="I179" s="191"/>
      <c r="J179" s="191"/>
      <c r="K179" s="191"/>
      <c r="L179" s="191"/>
      <c r="M179" s="191"/>
      <c r="N179" s="19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191"/>
      <c r="H180" s="191"/>
      <c r="I180" s="191"/>
      <c r="J180" s="191"/>
      <c r="K180" s="191"/>
      <c r="L180" s="191"/>
      <c r="M180" s="191"/>
      <c r="N180" s="19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191"/>
      <c r="H181" s="191"/>
      <c r="I181" s="191"/>
      <c r="J181" s="191"/>
      <c r="K181" s="191"/>
      <c r="L181" s="191"/>
      <c r="M181" s="191"/>
      <c r="N181" s="19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191"/>
      <c r="H182" s="191"/>
      <c r="I182" s="191"/>
      <c r="J182" s="191"/>
      <c r="K182" s="191"/>
      <c r="L182" s="191"/>
      <c r="M182" s="191"/>
      <c r="N182" s="19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191"/>
      <c r="H183" s="191"/>
      <c r="I183" s="191"/>
      <c r="J183" s="191"/>
      <c r="K183" s="191"/>
      <c r="L183" s="191"/>
      <c r="M183" s="191"/>
      <c r="N183" s="19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191"/>
      <c r="H184" s="191"/>
      <c r="I184" s="191"/>
      <c r="J184" s="191"/>
      <c r="K184" s="191"/>
      <c r="L184" s="191"/>
      <c r="M184" s="191"/>
      <c r="N184" s="19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191"/>
      <c r="H185" s="191"/>
      <c r="I185" s="191"/>
      <c r="J185" s="191"/>
      <c r="K185" s="191"/>
      <c r="L185" s="191"/>
      <c r="M185" s="191"/>
      <c r="N185" s="19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191"/>
      <c r="H186" s="191"/>
      <c r="I186" s="191"/>
      <c r="J186" s="191"/>
      <c r="K186" s="191"/>
      <c r="L186" s="191"/>
      <c r="M186" s="191"/>
      <c r="N186" s="19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191"/>
      <c r="H187" s="191"/>
      <c r="I187" s="191"/>
      <c r="J187" s="191"/>
      <c r="K187" s="191"/>
      <c r="L187" s="191"/>
      <c r="M187" s="191"/>
      <c r="N187" s="19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191"/>
      <c r="H188" s="191"/>
      <c r="I188" s="191"/>
      <c r="J188" s="191"/>
      <c r="K188" s="191"/>
      <c r="L188" s="191"/>
      <c r="M188" s="191"/>
      <c r="N188" s="19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191"/>
      <c r="H189" s="191"/>
      <c r="I189" s="191"/>
      <c r="J189" s="191"/>
      <c r="K189" s="191"/>
      <c r="L189" s="191"/>
      <c r="M189" s="191"/>
      <c r="N189" s="19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191"/>
      <c r="H190" s="191"/>
      <c r="I190" s="191"/>
      <c r="J190" s="191"/>
      <c r="K190" s="191"/>
      <c r="L190" s="191"/>
      <c r="M190" s="191"/>
      <c r="N190" s="19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191"/>
      <c r="H191" s="191"/>
      <c r="I191" s="191"/>
      <c r="J191" s="191"/>
      <c r="K191" s="191"/>
      <c r="L191" s="191"/>
      <c r="M191" s="191"/>
      <c r="N191" s="19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191"/>
      <c r="H192" s="191"/>
      <c r="I192" s="191"/>
      <c r="J192" s="191"/>
      <c r="K192" s="191"/>
      <c r="L192" s="191"/>
      <c r="M192" s="191"/>
      <c r="N192" s="19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191"/>
      <c r="H193" s="191"/>
      <c r="I193" s="191"/>
      <c r="J193" s="191"/>
      <c r="K193" s="191"/>
      <c r="L193" s="191"/>
      <c r="M193" s="191"/>
      <c r="N193" s="19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191"/>
      <c r="H194" s="191"/>
      <c r="I194" s="191"/>
      <c r="J194" s="191"/>
      <c r="K194" s="191"/>
      <c r="L194" s="191"/>
      <c r="M194" s="191"/>
      <c r="N194" s="19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191"/>
      <c r="H195" s="191"/>
      <c r="I195" s="191"/>
      <c r="J195" s="191"/>
      <c r="K195" s="191"/>
      <c r="L195" s="191"/>
      <c r="M195" s="191"/>
      <c r="N195" s="19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191"/>
      <c r="H196" s="191"/>
      <c r="I196" s="191"/>
      <c r="J196" s="191"/>
      <c r="K196" s="191"/>
      <c r="L196" s="191"/>
      <c r="M196" s="191"/>
      <c r="N196" s="19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191"/>
      <c r="H197" s="191"/>
      <c r="I197" s="191"/>
      <c r="J197" s="191"/>
      <c r="K197" s="191"/>
      <c r="L197" s="191"/>
      <c r="M197" s="191"/>
      <c r="N197" s="19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191"/>
      <c r="H198" s="191"/>
      <c r="I198" s="191"/>
      <c r="J198" s="191"/>
      <c r="K198" s="191"/>
      <c r="L198" s="191"/>
      <c r="M198" s="191"/>
      <c r="N198" s="19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191"/>
      <c r="H199" s="191"/>
      <c r="I199" s="191"/>
      <c r="J199" s="191"/>
      <c r="K199" s="191"/>
      <c r="L199" s="191"/>
      <c r="M199" s="191"/>
      <c r="N199" s="19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191"/>
      <c r="H200" s="191"/>
      <c r="I200" s="191"/>
      <c r="J200" s="191"/>
      <c r="K200" s="191"/>
      <c r="L200" s="191"/>
      <c r="M200" s="191"/>
      <c r="N200" s="19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191"/>
      <c r="H201" s="191"/>
      <c r="I201" s="191"/>
      <c r="J201" s="191"/>
      <c r="K201" s="191"/>
      <c r="L201" s="191"/>
      <c r="M201" s="191"/>
      <c r="N201" s="19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191"/>
      <c r="H202" s="191"/>
      <c r="I202" s="191"/>
      <c r="J202" s="191"/>
      <c r="K202" s="191"/>
      <c r="L202" s="191"/>
      <c r="M202" s="191"/>
      <c r="N202" s="19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191"/>
      <c r="H203" s="191"/>
      <c r="I203" s="191"/>
      <c r="J203" s="191"/>
      <c r="K203" s="191"/>
      <c r="L203" s="191"/>
      <c r="M203" s="191"/>
      <c r="N203" s="19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191"/>
      <c r="H204" s="191"/>
      <c r="I204" s="191"/>
      <c r="J204" s="191"/>
      <c r="K204" s="191"/>
      <c r="L204" s="191"/>
      <c r="M204" s="191"/>
      <c r="N204" s="19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191"/>
      <c r="H205" s="191"/>
      <c r="I205" s="191"/>
      <c r="J205" s="191"/>
      <c r="K205" s="191"/>
      <c r="L205" s="191"/>
      <c r="M205" s="191"/>
      <c r="N205" s="19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191"/>
      <c r="H206" s="191"/>
      <c r="I206" s="191"/>
      <c r="J206" s="191"/>
      <c r="K206" s="191"/>
      <c r="L206" s="191"/>
      <c r="M206" s="191"/>
      <c r="N206" s="19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191"/>
      <c r="H207" s="191"/>
      <c r="I207" s="191"/>
      <c r="J207" s="191"/>
      <c r="K207" s="191"/>
      <c r="L207" s="191"/>
      <c r="M207" s="191"/>
      <c r="N207" s="19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191"/>
      <c r="H208" s="191"/>
      <c r="I208" s="191"/>
      <c r="J208" s="191"/>
      <c r="K208" s="191"/>
      <c r="L208" s="191"/>
      <c r="M208" s="191"/>
      <c r="N208" s="19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191"/>
      <c r="H209" s="191"/>
      <c r="I209" s="191"/>
      <c r="J209" s="191"/>
      <c r="K209" s="191"/>
      <c r="L209" s="191"/>
      <c r="M209" s="191"/>
      <c r="N209" s="19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191"/>
      <c r="H210" s="191"/>
      <c r="I210" s="191"/>
      <c r="J210" s="191"/>
      <c r="K210" s="191"/>
      <c r="L210" s="191"/>
      <c r="M210" s="191"/>
      <c r="N210" s="19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191"/>
      <c r="H211" s="191"/>
      <c r="I211" s="191"/>
      <c r="J211" s="191"/>
      <c r="K211" s="191"/>
      <c r="L211" s="191"/>
      <c r="M211" s="191"/>
      <c r="N211" s="19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191"/>
      <c r="H212" s="191"/>
      <c r="I212" s="191"/>
      <c r="J212" s="191"/>
      <c r="K212" s="191"/>
      <c r="L212" s="191"/>
      <c r="M212" s="191"/>
      <c r="N212" s="19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191"/>
      <c r="H213" s="191"/>
      <c r="I213" s="191"/>
      <c r="J213" s="191"/>
      <c r="K213" s="191"/>
      <c r="L213" s="191"/>
      <c r="M213" s="191"/>
      <c r="N213" s="19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191"/>
      <c r="H214" s="191"/>
      <c r="I214" s="191"/>
      <c r="J214" s="191"/>
      <c r="K214" s="191"/>
      <c r="L214" s="191"/>
      <c r="M214" s="191"/>
      <c r="N214" s="19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191"/>
      <c r="H215" s="191"/>
      <c r="I215" s="191"/>
      <c r="J215" s="191"/>
      <c r="K215" s="191"/>
      <c r="L215" s="191"/>
      <c r="M215" s="191"/>
      <c r="N215" s="19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191"/>
      <c r="H216" s="191"/>
      <c r="I216" s="191"/>
      <c r="J216" s="191"/>
      <c r="K216" s="191"/>
      <c r="L216" s="191"/>
      <c r="M216" s="191"/>
      <c r="N216" s="19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191"/>
      <c r="H217" s="191"/>
      <c r="I217" s="191"/>
      <c r="J217" s="191"/>
      <c r="K217" s="191"/>
      <c r="L217" s="191"/>
      <c r="M217" s="191"/>
      <c r="N217" s="19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191"/>
      <c r="H218" s="191"/>
      <c r="I218" s="191"/>
      <c r="J218" s="191"/>
      <c r="K218" s="191"/>
      <c r="L218" s="191"/>
      <c r="M218" s="191"/>
      <c r="N218" s="19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191"/>
      <c r="H219" s="191"/>
      <c r="I219" s="191"/>
      <c r="J219" s="191"/>
      <c r="K219" s="191"/>
      <c r="L219" s="191"/>
      <c r="M219" s="191"/>
      <c r="N219" s="19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191"/>
      <c r="H220" s="191"/>
      <c r="I220" s="191"/>
      <c r="J220" s="191"/>
      <c r="K220" s="191"/>
      <c r="L220" s="191"/>
      <c r="M220" s="191"/>
      <c r="N220" s="19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191"/>
      <c r="H221" s="191"/>
      <c r="I221" s="191"/>
      <c r="J221" s="191"/>
      <c r="K221" s="191"/>
      <c r="L221" s="191"/>
      <c r="M221" s="191"/>
      <c r="N221" s="19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191"/>
      <c r="H222" s="191"/>
      <c r="I222" s="191"/>
      <c r="J222" s="191"/>
      <c r="K222" s="191"/>
      <c r="L222" s="191"/>
      <c r="M222" s="191"/>
      <c r="N222" s="19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191"/>
      <c r="H223" s="191"/>
      <c r="I223" s="191"/>
      <c r="J223" s="191"/>
      <c r="K223" s="191"/>
      <c r="L223" s="191"/>
      <c r="M223" s="191"/>
      <c r="N223" s="19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191"/>
      <c r="H224" s="191"/>
      <c r="I224" s="191"/>
      <c r="J224" s="191"/>
      <c r="K224" s="191"/>
      <c r="L224" s="191"/>
      <c r="M224" s="191"/>
      <c r="N224" s="19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191"/>
      <c r="H225" s="191"/>
      <c r="I225" s="191"/>
      <c r="J225" s="191"/>
      <c r="K225" s="191"/>
      <c r="L225" s="191"/>
      <c r="M225" s="191"/>
      <c r="N225" s="19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191"/>
      <c r="H226" s="191"/>
      <c r="I226" s="191"/>
      <c r="J226" s="191"/>
      <c r="K226" s="191"/>
      <c r="L226" s="191"/>
      <c r="M226" s="191"/>
      <c r="N226" s="19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191"/>
      <c r="H227" s="191"/>
      <c r="I227" s="191"/>
      <c r="J227" s="191"/>
      <c r="K227" s="191"/>
      <c r="L227" s="191"/>
      <c r="M227" s="191"/>
      <c r="N227" s="19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191"/>
      <c r="H228" s="191"/>
      <c r="I228" s="191"/>
      <c r="J228" s="191"/>
      <c r="K228" s="191"/>
      <c r="L228" s="191"/>
      <c r="M228" s="191"/>
      <c r="N228" s="19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191"/>
      <c r="H229" s="191"/>
      <c r="I229" s="191"/>
      <c r="J229" s="191"/>
      <c r="K229" s="191"/>
      <c r="L229" s="191"/>
      <c r="M229" s="191"/>
      <c r="N229" s="19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191"/>
      <c r="H230" s="191"/>
      <c r="I230" s="191"/>
      <c r="J230" s="191"/>
      <c r="K230" s="191"/>
      <c r="L230" s="191"/>
      <c r="M230" s="191"/>
      <c r="N230" s="19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191"/>
      <c r="H231" s="191"/>
      <c r="I231" s="191"/>
      <c r="J231" s="191"/>
      <c r="K231" s="191"/>
      <c r="L231" s="191"/>
      <c r="M231" s="191"/>
      <c r="N231" s="19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191"/>
      <c r="H232" s="191"/>
      <c r="I232" s="191"/>
      <c r="J232" s="191"/>
      <c r="K232" s="191"/>
      <c r="L232" s="191"/>
      <c r="M232" s="191"/>
      <c r="N232" s="19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191"/>
      <c r="H233" s="191"/>
      <c r="I233" s="191"/>
      <c r="J233" s="191"/>
      <c r="K233" s="191"/>
      <c r="L233" s="191"/>
      <c r="M233" s="191"/>
      <c r="N233" s="19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191"/>
      <c r="H234" s="191"/>
      <c r="I234" s="191"/>
      <c r="J234" s="191"/>
      <c r="K234" s="191"/>
      <c r="L234" s="191"/>
      <c r="M234" s="191"/>
      <c r="N234" s="19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191"/>
      <c r="H235" s="191"/>
      <c r="I235" s="191"/>
      <c r="J235" s="191"/>
      <c r="K235" s="191"/>
      <c r="L235" s="191"/>
      <c r="M235" s="191"/>
      <c r="N235" s="19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191"/>
      <c r="H236" s="191"/>
      <c r="I236" s="191"/>
      <c r="J236" s="191"/>
      <c r="K236" s="191"/>
      <c r="L236" s="191"/>
      <c r="M236" s="191"/>
      <c r="N236" s="19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191"/>
      <c r="H237" s="191"/>
      <c r="I237" s="191"/>
      <c r="J237" s="191"/>
      <c r="K237" s="191"/>
      <c r="L237" s="191"/>
      <c r="M237" s="191"/>
      <c r="N237" s="19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191"/>
      <c r="H238" s="191"/>
      <c r="I238" s="191"/>
      <c r="J238" s="191"/>
      <c r="K238" s="191"/>
      <c r="L238" s="191"/>
      <c r="M238" s="191"/>
      <c r="N238" s="19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191"/>
      <c r="H239" s="191"/>
      <c r="I239" s="191"/>
      <c r="J239" s="191"/>
      <c r="K239" s="191"/>
      <c r="L239" s="191"/>
      <c r="M239" s="191"/>
      <c r="N239" s="19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191"/>
      <c r="H240" s="191"/>
      <c r="I240" s="191"/>
      <c r="J240" s="191"/>
      <c r="K240" s="191"/>
      <c r="L240" s="191"/>
      <c r="M240" s="191"/>
      <c r="N240" s="19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191"/>
      <c r="H241" s="191"/>
      <c r="I241" s="191"/>
      <c r="J241" s="191"/>
      <c r="K241" s="191"/>
      <c r="L241" s="191"/>
      <c r="M241" s="191"/>
      <c r="N241" s="19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191"/>
      <c r="H242" s="191"/>
      <c r="I242" s="191"/>
      <c r="J242" s="191"/>
      <c r="K242" s="191"/>
      <c r="L242" s="191"/>
      <c r="M242" s="191"/>
      <c r="N242" s="19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191"/>
      <c r="H243" s="191"/>
      <c r="I243" s="191"/>
      <c r="J243" s="191"/>
      <c r="K243" s="191"/>
      <c r="L243" s="191"/>
      <c r="M243" s="191"/>
      <c r="N243" s="19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191"/>
      <c r="H244" s="191"/>
      <c r="I244" s="191"/>
      <c r="J244" s="191"/>
      <c r="K244" s="191"/>
      <c r="L244" s="191"/>
      <c r="M244" s="191"/>
      <c r="N244" s="19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191"/>
      <c r="H245" s="191"/>
      <c r="I245" s="191"/>
      <c r="J245" s="191"/>
      <c r="K245" s="191"/>
      <c r="L245" s="191"/>
      <c r="M245" s="191"/>
      <c r="N245" s="19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191"/>
      <c r="H246" s="191"/>
      <c r="I246" s="191"/>
      <c r="J246" s="191"/>
      <c r="K246" s="191"/>
      <c r="L246" s="191"/>
      <c r="M246" s="191"/>
      <c r="N246" s="19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191"/>
      <c r="H247" s="191"/>
      <c r="I247" s="191"/>
      <c r="J247" s="191"/>
      <c r="K247" s="191"/>
      <c r="L247" s="191"/>
      <c r="M247" s="191"/>
      <c r="N247" s="19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191"/>
      <c r="H248" s="191"/>
      <c r="I248" s="191"/>
      <c r="J248" s="191"/>
      <c r="K248" s="191"/>
      <c r="L248" s="191"/>
      <c r="M248" s="191"/>
      <c r="N248" s="19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191"/>
      <c r="H249" s="191"/>
      <c r="I249" s="191"/>
      <c r="J249" s="191"/>
      <c r="K249" s="191"/>
      <c r="L249" s="191"/>
      <c r="M249" s="191"/>
      <c r="N249" s="19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191"/>
      <c r="H250" s="191"/>
      <c r="I250" s="191"/>
      <c r="J250" s="191"/>
      <c r="K250" s="191"/>
      <c r="L250" s="191"/>
      <c r="M250" s="191"/>
      <c r="N250" s="19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191"/>
      <c r="H251" s="191"/>
      <c r="I251" s="191"/>
      <c r="J251" s="191"/>
      <c r="K251" s="191"/>
      <c r="L251" s="191"/>
      <c r="M251" s="191"/>
      <c r="N251" s="19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191"/>
      <c r="H252" s="191"/>
      <c r="I252" s="191"/>
      <c r="J252" s="191"/>
      <c r="K252" s="191"/>
      <c r="L252" s="191"/>
      <c r="M252" s="191"/>
      <c r="N252" s="19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191"/>
      <c r="H253" s="191"/>
      <c r="I253" s="191"/>
      <c r="J253" s="191"/>
      <c r="K253" s="191"/>
      <c r="L253" s="191"/>
      <c r="M253" s="191"/>
      <c r="N253" s="19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191"/>
      <c r="H254" s="191"/>
      <c r="I254" s="191"/>
      <c r="J254" s="191"/>
      <c r="K254" s="191"/>
      <c r="L254" s="191"/>
      <c r="M254" s="191"/>
      <c r="N254" s="19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191"/>
      <c r="H255" s="191"/>
      <c r="I255" s="191"/>
      <c r="J255" s="191"/>
      <c r="K255" s="191"/>
      <c r="L255" s="191"/>
      <c r="M255" s="191"/>
      <c r="N255" s="19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191"/>
      <c r="H256" s="191"/>
      <c r="I256" s="191"/>
      <c r="J256" s="191"/>
      <c r="K256" s="191"/>
      <c r="L256" s="191"/>
      <c r="M256" s="191"/>
      <c r="N256" s="19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191"/>
      <c r="H257" s="191"/>
      <c r="I257" s="191"/>
      <c r="J257" s="191"/>
      <c r="K257" s="191"/>
      <c r="L257" s="191"/>
      <c r="M257" s="191"/>
      <c r="N257" s="19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191"/>
      <c r="H258" s="191"/>
      <c r="I258" s="191"/>
      <c r="J258" s="191"/>
      <c r="K258" s="191"/>
      <c r="L258" s="191"/>
      <c r="M258" s="191"/>
      <c r="N258" s="19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191"/>
      <c r="H259" s="191"/>
      <c r="I259" s="191"/>
      <c r="J259" s="191"/>
      <c r="K259" s="191"/>
      <c r="L259" s="191"/>
      <c r="M259" s="191"/>
      <c r="N259" s="19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191"/>
      <c r="H260" s="191"/>
      <c r="I260" s="191"/>
      <c r="J260" s="191"/>
      <c r="K260" s="191"/>
      <c r="L260" s="191"/>
      <c r="M260" s="191"/>
      <c r="N260" s="19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191"/>
      <c r="H261" s="191"/>
      <c r="I261" s="191"/>
      <c r="J261" s="191"/>
      <c r="K261" s="191"/>
      <c r="L261" s="191"/>
      <c r="M261" s="191"/>
      <c r="N261" s="19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191"/>
      <c r="H262" s="191"/>
      <c r="I262" s="191"/>
      <c r="J262" s="191"/>
      <c r="K262" s="191"/>
      <c r="L262" s="191"/>
      <c r="M262" s="191"/>
      <c r="N262" s="19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191"/>
      <c r="H263" s="191"/>
      <c r="I263" s="191"/>
      <c r="J263" s="191"/>
      <c r="K263" s="191"/>
      <c r="L263" s="191"/>
      <c r="M263" s="191"/>
      <c r="N263" s="19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191"/>
      <c r="H264" s="191"/>
      <c r="I264" s="191"/>
      <c r="J264" s="191"/>
      <c r="K264" s="191"/>
      <c r="L264" s="191"/>
      <c r="M264" s="191"/>
      <c r="N264" s="19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191"/>
      <c r="H265" s="191"/>
      <c r="I265" s="191"/>
      <c r="J265" s="191"/>
      <c r="K265" s="191"/>
      <c r="L265" s="191"/>
      <c r="M265" s="191"/>
      <c r="N265" s="19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191"/>
      <c r="H266" s="191"/>
      <c r="I266" s="191"/>
      <c r="J266" s="191"/>
      <c r="K266" s="191"/>
      <c r="L266" s="191"/>
      <c r="M266" s="191"/>
      <c r="N266" s="19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191"/>
      <c r="H267" s="191"/>
      <c r="I267" s="191"/>
      <c r="J267" s="191"/>
      <c r="K267" s="191"/>
      <c r="L267" s="191"/>
      <c r="M267" s="191"/>
      <c r="N267" s="191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191"/>
      <c r="H268" s="191"/>
      <c r="I268" s="191"/>
      <c r="J268" s="191"/>
      <c r="K268" s="191"/>
      <c r="L268" s="191"/>
      <c r="M268" s="191"/>
      <c r="N268" s="19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191"/>
      <c r="H269" s="191"/>
      <c r="I269" s="191"/>
      <c r="J269" s="191"/>
      <c r="K269" s="191"/>
      <c r="L269" s="191"/>
      <c r="M269" s="191"/>
      <c r="N269" s="19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191"/>
      <c r="H270" s="191"/>
      <c r="I270" s="191"/>
      <c r="J270" s="191"/>
      <c r="K270" s="191"/>
      <c r="L270" s="191"/>
      <c r="M270" s="191"/>
      <c r="N270" s="19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191"/>
      <c r="H271" s="191"/>
      <c r="I271" s="191"/>
      <c r="J271" s="191"/>
      <c r="K271" s="191"/>
      <c r="L271" s="191"/>
      <c r="M271" s="191"/>
      <c r="N271" s="19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191"/>
      <c r="H272" s="191"/>
      <c r="I272" s="191"/>
      <c r="J272" s="191"/>
      <c r="K272" s="191"/>
      <c r="L272" s="191"/>
      <c r="M272" s="191"/>
      <c r="N272" s="19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191"/>
      <c r="H273" s="191"/>
      <c r="I273" s="191"/>
      <c r="J273" s="191"/>
      <c r="K273" s="191"/>
      <c r="L273" s="191"/>
      <c r="M273" s="191"/>
      <c r="N273" s="19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191"/>
      <c r="H274" s="191"/>
      <c r="I274" s="191"/>
      <c r="J274" s="191"/>
      <c r="K274" s="191"/>
      <c r="L274" s="191"/>
      <c r="M274" s="191"/>
      <c r="N274" s="19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191"/>
      <c r="H275" s="191"/>
      <c r="I275" s="191"/>
      <c r="J275" s="191"/>
      <c r="K275" s="191"/>
      <c r="L275" s="191"/>
      <c r="M275" s="191"/>
      <c r="N275" s="19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191"/>
      <c r="H276" s="191"/>
      <c r="I276" s="191"/>
      <c r="J276" s="191"/>
      <c r="K276" s="191"/>
      <c r="L276" s="191"/>
      <c r="M276" s="191"/>
      <c r="N276" s="19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191"/>
      <c r="H277" s="191"/>
      <c r="I277" s="191"/>
      <c r="J277" s="191"/>
      <c r="K277" s="191"/>
      <c r="L277" s="191"/>
      <c r="M277" s="191"/>
      <c r="N277" s="19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191"/>
      <c r="H278" s="191"/>
      <c r="I278" s="191"/>
      <c r="J278" s="191"/>
      <c r="K278" s="191"/>
      <c r="L278" s="191"/>
      <c r="M278" s="191"/>
      <c r="N278" s="19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191"/>
      <c r="H279" s="191"/>
      <c r="I279" s="191"/>
      <c r="J279" s="191"/>
      <c r="K279" s="191"/>
      <c r="L279" s="191"/>
      <c r="M279" s="191"/>
      <c r="N279" s="19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191"/>
      <c r="H280" s="191"/>
      <c r="I280" s="191"/>
      <c r="J280" s="191"/>
      <c r="K280" s="191"/>
      <c r="L280" s="191"/>
      <c r="M280" s="191"/>
      <c r="N280" s="19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191"/>
      <c r="H281" s="191"/>
      <c r="I281" s="191"/>
      <c r="J281" s="191"/>
      <c r="K281" s="191"/>
      <c r="L281" s="191"/>
      <c r="M281" s="191"/>
      <c r="N281" s="19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191"/>
      <c r="H282" s="191"/>
      <c r="I282" s="191"/>
      <c r="J282" s="191"/>
      <c r="K282" s="191"/>
      <c r="L282" s="191"/>
      <c r="M282" s="191"/>
      <c r="N282" s="19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191"/>
      <c r="H283" s="191"/>
      <c r="I283" s="191"/>
      <c r="J283" s="191"/>
      <c r="K283" s="191"/>
      <c r="L283" s="191"/>
      <c r="M283" s="191"/>
      <c r="N283" s="19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191"/>
      <c r="H284" s="191"/>
      <c r="I284" s="191"/>
      <c r="J284" s="191"/>
      <c r="K284" s="191"/>
      <c r="L284" s="191"/>
      <c r="M284" s="191"/>
      <c r="N284" s="19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191"/>
      <c r="H285" s="191"/>
      <c r="I285" s="191"/>
      <c r="J285" s="191"/>
      <c r="K285" s="191"/>
      <c r="L285" s="191"/>
      <c r="M285" s="191"/>
      <c r="N285" s="19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191"/>
      <c r="H286" s="191"/>
      <c r="I286" s="191"/>
      <c r="J286" s="191"/>
      <c r="K286" s="191"/>
      <c r="L286" s="191"/>
      <c r="M286" s="191"/>
      <c r="N286" s="19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191"/>
      <c r="H287" s="191"/>
      <c r="I287" s="191"/>
      <c r="J287" s="191"/>
      <c r="K287" s="191"/>
      <c r="L287" s="191"/>
      <c r="M287" s="191"/>
      <c r="N287" s="19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191"/>
      <c r="H288" s="191"/>
      <c r="I288" s="191"/>
      <c r="J288" s="191"/>
      <c r="K288" s="191"/>
      <c r="L288" s="191"/>
      <c r="M288" s="191"/>
      <c r="N288" s="19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191"/>
      <c r="H289" s="191"/>
      <c r="I289" s="191"/>
      <c r="J289" s="191"/>
      <c r="K289" s="191"/>
      <c r="L289" s="191"/>
      <c r="M289" s="191"/>
      <c r="N289" s="19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191"/>
      <c r="H290" s="191"/>
      <c r="I290" s="191"/>
      <c r="J290" s="191"/>
      <c r="K290" s="191"/>
      <c r="L290" s="191"/>
      <c r="M290" s="191"/>
      <c r="N290" s="19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191"/>
      <c r="H291" s="191"/>
      <c r="I291" s="191"/>
      <c r="J291" s="191"/>
      <c r="K291" s="191"/>
      <c r="L291" s="191"/>
      <c r="M291" s="191"/>
      <c r="N291" s="19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191"/>
      <c r="H292" s="191"/>
      <c r="I292" s="191"/>
      <c r="J292" s="191"/>
      <c r="K292" s="191"/>
      <c r="L292" s="191"/>
      <c r="M292" s="191"/>
      <c r="N292" s="19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191"/>
      <c r="H293" s="191"/>
      <c r="I293" s="191"/>
      <c r="J293" s="191"/>
      <c r="K293" s="191"/>
      <c r="L293" s="191"/>
      <c r="M293" s="191"/>
      <c r="N293" s="19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191"/>
      <c r="H294" s="191"/>
      <c r="I294" s="191"/>
      <c r="J294" s="191"/>
      <c r="K294" s="191"/>
      <c r="L294" s="191"/>
      <c r="M294" s="191"/>
      <c r="N294" s="19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191"/>
      <c r="H295" s="191"/>
      <c r="I295" s="191"/>
      <c r="J295" s="191"/>
      <c r="K295" s="191"/>
      <c r="L295" s="191"/>
      <c r="M295" s="191"/>
      <c r="N295" s="19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191"/>
      <c r="H296" s="191"/>
      <c r="I296" s="191"/>
      <c r="J296" s="191"/>
      <c r="K296" s="191"/>
      <c r="L296" s="191"/>
      <c r="M296" s="191"/>
      <c r="N296" s="19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191"/>
      <c r="H297" s="191"/>
      <c r="I297" s="191"/>
      <c r="J297" s="191"/>
      <c r="K297" s="191"/>
      <c r="L297" s="191"/>
      <c r="M297" s="191"/>
      <c r="N297" s="19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191"/>
      <c r="H298" s="191"/>
      <c r="I298" s="191"/>
      <c r="J298" s="191"/>
      <c r="K298" s="191"/>
      <c r="L298" s="191"/>
      <c r="M298" s="191"/>
      <c r="N298" s="19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191"/>
      <c r="H299" s="191"/>
      <c r="I299" s="191"/>
      <c r="J299" s="191"/>
      <c r="K299" s="191"/>
      <c r="L299" s="191"/>
      <c r="M299" s="191"/>
      <c r="N299" s="19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191"/>
      <c r="H300" s="191"/>
      <c r="I300" s="191"/>
      <c r="J300" s="191"/>
      <c r="K300" s="191"/>
      <c r="L300" s="191"/>
      <c r="M300" s="191"/>
      <c r="N300" s="19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191"/>
      <c r="H301" s="191"/>
      <c r="I301" s="191"/>
      <c r="J301" s="191"/>
      <c r="K301" s="191"/>
      <c r="L301" s="191"/>
      <c r="M301" s="191"/>
      <c r="N301" s="19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191"/>
      <c r="H302" s="191"/>
      <c r="I302" s="191"/>
      <c r="J302" s="191"/>
      <c r="K302" s="191"/>
      <c r="L302" s="191"/>
      <c r="M302" s="191"/>
      <c r="N302" s="19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191"/>
      <c r="H303" s="191"/>
      <c r="I303" s="191"/>
      <c r="J303" s="191"/>
      <c r="K303" s="191"/>
      <c r="L303" s="191"/>
      <c r="M303" s="191"/>
      <c r="N303" s="19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191"/>
      <c r="H304" s="191"/>
      <c r="I304" s="191"/>
      <c r="J304" s="191"/>
      <c r="K304" s="191"/>
      <c r="L304" s="191"/>
      <c r="M304" s="191"/>
      <c r="N304" s="191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191"/>
      <c r="H305" s="191"/>
      <c r="I305" s="191"/>
      <c r="J305" s="191"/>
      <c r="K305" s="191"/>
      <c r="L305" s="191"/>
      <c r="M305" s="191"/>
      <c r="N305" s="19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191"/>
      <c r="H306" s="191"/>
      <c r="I306" s="191"/>
      <c r="J306" s="191"/>
      <c r="K306" s="191"/>
      <c r="L306" s="191"/>
      <c r="M306" s="191"/>
      <c r="N306" s="19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191"/>
      <c r="H307" s="191"/>
      <c r="I307" s="191"/>
      <c r="J307" s="191"/>
      <c r="K307" s="191"/>
      <c r="L307" s="191"/>
      <c r="M307" s="191"/>
      <c r="N307" s="19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191"/>
      <c r="H308" s="191"/>
      <c r="I308" s="191"/>
      <c r="J308" s="191"/>
      <c r="K308" s="191"/>
      <c r="L308" s="191"/>
      <c r="M308" s="191"/>
      <c r="N308" s="19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191"/>
      <c r="H309" s="191"/>
      <c r="I309" s="191"/>
      <c r="J309" s="191"/>
      <c r="K309" s="191"/>
      <c r="L309" s="191"/>
      <c r="M309" s="191"/>
      <c r="N309" s="19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191"/>
      <c r="H310" s="191"/>
      <c r="I310" s="191"/>
      <c r="J310" s="191"/>
      <c r="K310" s="191"/>
      <c r="L310" s="191"/>
      <c r="M310" s="191"/>
      <c r="N310" s="19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191"/>
      <c r="H311" s="191"/>
      <c r="I311" s="191"/>
      <c r="J311" s="191"/>
      <c r="K311" s="191"/>
      <c r="L311" s="191"/>
      <c r="M311" s="191"/>
      <c r="N311" s="19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191"/>
      <c r="H312" s="191"/>
      <c r="I312" s="191"/>
      <c r="J312" s="191"/>
      <c r="K312" s="191"/>
      <c r="L312" s="191"/>
      <c r="M312" s="191"/>
      <c r="N312" s="19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191"/>
      <c r="H313" s="191"/>
      <c r="I313" s="191"/>
      <c r="J313" s="191"/>
      <c r="K313" s="191"/>
      <c r="L313" s="191"/>
      <c r="M313" s="191"/>
      <c r="N313" s="19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191"/>
      <c r="H314" s="191"/>
      <c r="I314" s="191"/>
      <c r="J314" s="191"/>
      <c r="K314" s="191"/>
      <c r="L314" s="191"/>
      <c r="M314" s="191"/>
      <c r="N314" s="19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191"/>
      <c r="H315" s="191"/>
      <c r="I315" s="191"/>
      <c r="J315" s="191"/>
      <c r="K315" s="191"/>
      <c r="L315" s="191"/>
      <c r="M315" s="191"/>
      <c r="N315" s="19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191"/>
      <c r="H316" s="191"/>
      <c r="I316" s="191"/>
      <c r="J316" s="191"/>
      <c r="K316" s="191"/>
      <c r="L316" s="191"/>
      <c r="M316" s="191"/>
      <c r="N316" s="19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191"/>
      <c r="H317" s="191"/>
      <c r="I317" s="191"/>
      <c r="J317" s="191"/>
      <c r="K317" s="191"/>
      <c r="L317" s="191"/>
      <c r="M317" s="191"/>
      <c r="N317" s="19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191"/>
      <c r="H318" s="191"/>
      <c r="I318" s="191"/>
      <c r="J318" s="191"/>
      <c r="K318" s="191"/>
      <c r="L318" s="191"/>
      <c r="M318" s="191"/>
      <c r="N318" s="19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191"/>
      <c r="H319" s="191"/>
      <c r="I319" s="191"/>
      <c r="J319" s="191"/>
      <c r="K319" s="191"/>
      <c r="L319" s="191"/>
      <c r="M319" s="191"/>
      <c r="N319" s="19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191"/>
      <c r="H320" s="191"/>
      <c r="I320" s="191"/>
      <c r="J320" s="191"/>
      <c r="K320" s="191"/>
      <c r="L320" s="191"/>
      <c r="M320" s="191"/>
      <c r="N320" s="19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191"/>
      <c r="H321" s="191"/>
      <c r="I321" s="191"/>
      <c r="J321" s="191"/>
      <c r="K321" s="191"/>
      <c r="L321" s="191"/>
      <c r="M321" s="191"/>
      <c r="N321" s="19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191"/>
      <c r="H322" s="191"/>
      <c r="I322" s="191"/>
      <c r="J322" s="191"/>
      <c r="K322" s="191"/>
      <c r="L322" s="191"/>
      <c r="M322" s="191"/>
      <c r="N322" s="19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191"/>
      <c r="H323" s="191"/>
      <c r="I323" s="191"/>
      <c r="J323" s="191"/>
      <c r="K323" s="191"/>
      <c r="L323" s="191"/>
      <c r="M323" s="191"/>
      <c r="N323" s="19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191"/>
      <c r="H324" s="191"/>
      <c r="I324" s="191"/>
      <c r="J324" s="191"/>
      <c r="K324" s="191"/>
      <c r="L324" s="191"/>
      <c r="M324" s="191"/>
      <c r="N324" s="19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191"/>
      <c r="H325" s="191"/>
      <c r="I325" s="191"/>
      <c r="J325" s="191"/>
      <c r="K325" s="191"/>
      <c r="L325" s="191"/>
      <c r="M325" s="191"/>
      <c r="N325" s="19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191"/>
      <c r="H326" s="191"/>
      <c r="I326" s="191"/>
      <c r="J326" s="191"/>
      <c r="K326" s="191"/>
      <c r="L326" s="191"/>
      <c r="M326" s="191"/>
      <c r="N326" s="19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191"/>
      <c r="H327" s="191"/>
      <c r="I327" s="191"/>
      <c r="J327" s="191"/>
      <c r="K327" s="191"/>
      <c r="L327" s="191"/>
      <c r="M327" s="191"/>
      <c r="N327" s="19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191"/>
      <c r="H328" s="191"/>
      <c r="I328" s="191"/>
      <c r="J328" s="191"/>
      <c r="K328" s="191"/>
      <c r="L328" s="191"/>
      <c r="M328" s="191"/>
      <c r="N328" s="19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191"/>
      <c r="H329" s="191"/>
      <c r="I329" s="191"/>
      <c r="J329" s="191"/>
      <c r="K329" s="191"/>
      <c r="L329" s="191"/>
      <c r="M329" s="191"/>
      <c r="N329" s="19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191"/>
      <c r="H330" s="191"/>
      <c r="I330" s="191"/>
      <c r="J330" s="191"/>
      <c r="K330" s="191"/>
      <c r="L330" s="191"/>
      <c r="M330" s="191"/>
      <c r="N330" s="19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191"/>
      <c r="H331" s="191"/>
      <c r="I331" s="191"/>
      <c r="J331" s="191"/>
      <c r="K331" s="191"/>
      <c r="L331" s="191"/>
      <c r="M331" s="191"/>
      <c r="N331" s="19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191"/>
      <c r="H332" s="191"/>
      <c r="I332" s="191"/>
      <c r="J332" s="191"/>
      <c r="K332" s="191"/>
      <c r="L332" s="191"/>
      <c r="M332" s="191"/>
      <c r="N332" s="19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191"/>
      <c r="H333" s="191"/>
      <c r="I333" s="191"/>
      <c r="J333" s="191"/>
      <c r="K333" s="191"/>
      <c r="L333" s="191"/>
      <c r="M333" s="191"/>
      <c r="N333" s="19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191"/>
      <c r="H334" s="191"/>
      <c r="I334" s="191"/>
      <c r="J334" s="191"/>
      <c r="K334" s="191"/>
      <c r="L334" s="191"/>
      <c r="M334" s="191"/>
      <c r="N334" s="19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191"/>
      <c r="H335" s="191"/>
      <c r="I335" s="191"/>
      <c r="J335" s="191"/>
      <c r="K335" s="191"/>
      <c r="L335" s="191"/>
      <c r="M335" s="191"/>
      <c r="N335" s="19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191"/>
      <c r="H336" s="191"/>
      <c r="I336" s="191"/>
      <c r="J336" s="191"/>
      <c r="K336" s="191"/>
      <c r="L336" s="191"/>
      <c r="M336" s="191"/>
      <c r="N336" s="19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191"/>
      <c r="H337" s="191"/>
      <c r="I337" s="191"/>
      <c r="J337" s="191"/>
      <c r="K337" s="191"/>
      <c r="L337" s="191"/>
      <c r="M337" s="191"/>
      <c r="N337" s="19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191"/>
      <c r="H338" s="191"/>
      <c r="I338" s="191"/>
      <c r="J338" s="191"/>
      <c r="K338" s="191"/>
      <c r="L338" s="191"/>
      <c r="M338" s="191"/>
      <c r="N338" s="19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191"/>
      <c r="H339" s="191"/>
      <c r="I339" s="191"/>
      <c r="J339" s="191"/>
      <c r="K339" s="191"/>
      <c r="L339" s="191"/>
      <c r="M339" s="191"/>
      <c r="N339" s="19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191"/>
      <c r="H340" s="191"/>
      <c r="I340" s="191"/>
      <c r="J340" s="191"/>
      <c r="K340" s="191"/>
      <c r="L340" s="191"/>
      <c r="M340" s="191"/>
      <c r="N340" s="19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191"/>
      <c r="H341" s="191"/>
      <c r="I341" s="191"/>
      <c r="J341" s="191"/>
      <c r="K341" s="191"/>
      <c r="L341" s="191"/>
      <c r="M341" s="191"/>
      <c r="N341" s="19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191"/>
      <c r="H342" s="191"/>
      <c r="I342" s="191"/>
      <c r="J342" s="191"/>
      <c r="K342" s="191"/>
      <c r="L342" s="191"/>
      <c r="M342" s="191"/>
      <c r="N342" s="19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191"/>
      <c r="H343" s="191"/>
      <c r="I343" s="191"/>
      <c r="J343" s="191"/>
      <c r="K343" s="191"/>
      <c r="L343" s="191"/>
      <c r="M343" s="191"/>
      <c r="N343" s="19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191"/>
      <c r="H344" s="191"/>
      <c r="I344" s="191"/>
      <c r="J344" s="191"/>
      <c r="K344" s="191"/>
      <c r="L344" s="191"/>
      <c r="M344" s="191"/>
      <c r="N344" s="19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191"/>
      <c r="H345" s="191"/>
      <c r="I345" s="191"/>
      <c r="J345" s="191"/>
      <c r="K345" s="191"/>
      <c r="L345" s="191"/>
      <c r="M345" s="191"/>
      <c r="N345" s="19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191"/>
      <c r="H346" s="191"/>
      <c r="I346" s="191"/>
      <c r="J346" s="191"/>
      <c r="K346" s="191"/>
      <c r="L346" s="191"/>
      <c r="M346" s="191"/>
      <c r="N346" s="19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191"/>
      <c r="H347" s="191"/>
      <c r="I347" s="191"/>
      <c r="J347" s="191"/>
      <c r="K347" s="191"/>
      <c r="L347" s="191"/>
      <c r="M347" s="191"/>
      <c r="N347" s="19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191"/>
      <c r="H348" s="191"/>
      <c r="I348" s="191"/>
      <c r="J348" s="191"/>
      <c r="K348" s="191"/>
      <c r="L348" s="191"/>
      <c r="M348" s="191"/>
      <c r="N348" s="19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191"/>
      <c r="H349" s="191"/>
      <c r="I349" s="191"/>
      <c r="J349" s="191"/>
      <c r="K349" s="191"/>
      <c r="L349" s="191"/>
      <c r="M349" s="191"/>
      <c r="N349" s="19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191"/>
      <c r="H350" s="191"/>
      <c r="I350" s="191"/>
      <c r="J350" s="191"/>
      <c r="K350" s="191"/>
      <c r="L350" s="191"/>
      <c r="M350" s="191"/>
      <c r="N350" s="19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191"/>
      <c r="H351" s="191"/>
      <c r="I351" s="191"/>
      <c r="J351" s="191"/>
      <c r="K351" s="191"/>
      <c r="L351" s="191"/>
      <c r="M351" s="191"/>
      <c r="N351" s="19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191"/>
      <c r="H352" s="191"/>
      <c r="I352" s="191"/>
      <c r="J352" s="191"/>
      <c r="K352" s="191"/>
      <c r="L352" s="191"/>
      <c r="M352" s="191"/>
      <c r="N352" s="19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191"/>
      <c r="H353" s="191"/>
      <c r="I353" s="191"/>
      <c r="J353" s="191"/>
      <c r="K353" s="191"/>
      <c r="L353" s="191"/>
      <c r="M353" s="191"/>
      <c r="N353" s="19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191"/>
      <c r="H354" s="191"/>
      <c r="I354" s="191"/>
      <c r="J354" s="191"/>
      <c r="K354" s="191"/>
      <c r="L354" s="191"/>
      <c r="M354" s="191"/>
      <c r="N354" s="19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191"/>
      <c r="H355" s="191"/>
      <c r="I355" s="191"/>
      <c r="J355" s="191"/>
      <c r="K355" s="191"/>
      <c r="L355" s="191"/>
      <c r="M355" s="191"/>
      <c r="N355" s="19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191"/>
      <c r="H356" s="191"/>
      <c r="I356" s="191"/>
      <c r="J356" s="191"/>
      <c r="K356" s="191"/>
      <c r="L356" s="191"/>
      <c r="M356" s="191"/>
      <c r="N356" s="19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191"/>
      <c r="H357" s="191"/>
      <c r="I357" s="191"/>
      <c r="J357" s="191"/>
      <c r="K357" s="191"/>
      <c r="L357" s="191"/>
      <c r="M357" s="191"/>
      <c r="N357" s="19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191"/>
      <c r="H358" s="191"/>
      <c r="I358" s="191"/>
      <c r="J358" s="191"/>
      <c r="K358" s="191"/>
      <c r="L358" s="191"/>
      <c r="M358" s="191"/>
      <c r="N358" s="19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191"/>
      <c r="H359" s="191"/>
      <c r="I359" s="191"/>
      <c r="J359" s="191"/>
      <c r="K359" s="191"/>
      <c r="L359" s="191"/>
      <c r="M359" s="191"/>
      <c r="N359" s="19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191"/>
      <c r="H360" s="191"/>
      <c r="I360" s="191"/>
      <c r="J360" s="191"/>
      <c r="K360" s="191"/>
      <c r="L360" s="191"/>
      <c r="M360" s="191"/>
      <c r="N360" s="19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191"/>
      <c r="H361" s="191"/>
      <c r="I361" s="191"/>
      <c r="J361" s="191"/>
      <c r="K361" s="191"/>
      <c r="L361" s="191"/>
      <c r="M361" s="191"/>
      <c r="N361" s="19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191"/>
      <c r="H362" s="191"/>
      <c r="I362" s="191"/>
      <c r="J362" s="191"/>
      <c r="K362" s="191"/>
      <c r="L362" s="191"/>
      <c r="M362" s="191"/>
      <c r="N362" s="19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191"/>
      <c r="H363" s="191"/>
      <c r="I363" s="191"/>
      <c r="J363" s="191"/>
      <c r="K363" s="191"/>
      <c r="L363" s="191"/>
      <c r="M363" s="191"/>
      <c r="N363" s="19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191"/>
      <c r="H364" s="191"/>
      <c r="I364" s="191"/>
      <c r="J364" s="191"/>
      <c r="K364" s="191"/>
      <c r="L364" s="191"/>
      <c r="M364" s="191"/>
      <c r="N364" s="19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191"/>
      <c r="H365" s="191"/>
      <c r="I365" s="191"/>
      <c r="J365" s="191"/>
      <c r="K365" s="191"/>
      <c r="L365" s="191"/>
      <c r="M365" s="191"/>
      <c r="N365" s="19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191"/>
      <c r="H366" s="191"/>
      <c r="I366" s="191"/>
      <c r="J366" s="191"/>
      <c r="K366" s="191"/>
      <c r="L366" s="191"/>
      <c r="M366" s="191"/>
      <c r="N366" s="19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191"/>
      <c r="H367" s="191"/>
      <c r="I367" s="191"/>
      <c r="J367" s="191"/>
      <c r="K367" s="191"/>
      <c r="L367" s="191"/>
      <c r="M367" s="191"/>
      <c r="N367" s="19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191"/>
      <c r="H368" s="191"/>
      <c r="I368" s="191"/>
      <c r="J368" s="191"/>
      <c r="K368" s="191"/>
      <c r="L368" s="191"/>
      <c r="M368" s="191"/>
      <c r="N368" s="19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191"/>
      <c r="H369" s="191"/>
      <c r="I369" s="191"/>
      <c r="J369" s="191"/>
      <c r="K369" s="191"/>
      <c r="L369" s="191"/>
      <c r="M369" s="191"/>
      <c r="N369" s="19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191"/>
      <c r="H370" s="191"/>
      <c r="I370" s="191"/>
      <c r="J370" s="191"/>
      <c r="K370" s="191"/>
      <c r="L370" s="191"/>
      <c r="M370" s="191"/>
      <c r="N370" s="19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191"/>
      <c r="H371" s="191"/>
      <c r="I371" s="191"/>
      <c r="J371" s="191"/>
      <c r="K371" s="191"/>
      <c r="L371" s="191"/>
      <c r="M371" s="191"/>
      <c r="N371" s="19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191"/>
      <c r="H372" s="191"/>
      <c r="I372" s="191"/>
      <c r="J372" s="191"/>
      <c r="K372" s="191"/>
      <c r="L372" s="191"/>
      <c r="M372" s="191"/>
      <c r="N372" s="19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191"/>
      <c r="H373" s="191"/>
      <c r="I373" s="191"/>
      <c r="J373" s="191"/>
      <c r="K373" s="191"/>
      <c r="L373" s="191"/>
      <c r="M373" s="191"/>
      <c r="N373" s="19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191"/>
      <c r="H374" s="191"/>
      <c r="I374" s="191"/>
      <c r="J374" s="191"/>
      <c r="K374" s="191"/>
      <c r="L374" s="191"/>
      <c r="M374" s="191"/>
      <c r="N374" s="19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191"/>
      <c r="H375" s="191"/>
      <c r="I375" s="191"/>
      <c r="J375" s="191"/>
      <c r="K375" s="191"/>
      <c r="L375" s="191"/>
      <c r="M375" s="191"/>
      <c r="N375" s="19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191"/>
      <c r="H376" s="191"/>
      <c r="I376" s="191"/>
      <c r="J376" s="191"/>
      <c r="K376" s="191"/>
      <c r="L376" s="191"/>
      <c r="M376" s="191"/>
      <c r="N376" s="19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191"/>
      <c r="H377" s="191"/>
      <c r="I377" s="191"/>
      <c r="J377" s="191"/>
      <c r="K377" s="191"/>
      <c r="L377" s="191"/>
      <c r="M377" s="191"/>
      <c r="N377" s="19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191"/>
      <c r="H378" s="191"/>
      <c r="I378" s="191"/>
      <c r="J378" s="191"/>
      <c r="K378" s="191"/>
      <c r="L378" s="191"/>
      <c r="M378" s="191"/>
      <c r="N378" s="19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191"/>
      <c r="H379" s="191"/>
      <c r="I379" s="191"/>
      <c r="J379" s="191"/>
      <c r="K379" s="191"/>
      <c r="L379" s="191"/>
      <c r="M379" s="191"/>
      <c r="N379" s="19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191"/>
      <c r="H380" s="191"/>
      <c r="I380" s="191"/>
      <c r="J380" s="191"/>
      <c r="K380" s="191"/>
      <c r="L380" s="191"/>
      <c r="M380" s="191"/>
      <c r="N380" s="19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191"/>
      <c r="H381" s="191"/>
      <c r="I381" s="191"/>
      <c r="J381" s="191"/>
      <c r="K381" s="191"/>
      <c r="L381" s="191"/>
      <c r="M381" s="191"/>
      <c r="N381" s="19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191"/>
      <c r="H382" s="191"/>
      <c r="I382" s="191"/>
      <c r="J382" s="191"/>
      <c r="K382" s="191"/>
      <c r="L382" s="191"/>
      <c r="M382" s="191"/>
      <c r="N382" s="19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191"/>
      <c r="H383" s="191"/>
      <c r="I383" s="191"/>
      <c r="J383" s="191"/>
      <c r="K383" s="191"/>
      <c r="L383" s="191"/>
      <c r="M383" s="191"/>
      <c r="N383" s="19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191"/>
      <c r="H384" s="191"/>
      <c r="I384" s="191"/>
      <c r="J384" s="191"/>
      <c r="K384" s="191"/>
      <c r="L384" s="191"/>
      <c r="M384" s="191"/>
      <c r="N384" s="19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191"/>
      <c r="H385" s="191"/>
      <c r="I385" s="191"/>
      <c r="J385" s="191"/>
      <c r="K385" s="191"/>
      <c r="L385" s="191"/>
      <c r="M385" s="191"/>
      <c r="N385" s="19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191"/>
      <c r="H386" s="191"/>
      <c r="I386" s="191"/>
      <c r="J386" s="191"/>
      <c r="K386" s="191"/>
      <c r="L386" s="191"/>
      <c r="M386" s="191"/>
      <c r="N386" s="19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191"/>
      <c r="H387" s="191"/>
      <c r="I387" s="191"/>
      <c r="J387" s="191"/>
      <c r="K387" s="191"/>
      <c r="L387" s="191"/>
      <c r="M387" s="191"/>
      <c r="N387" s="19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191"/>
      <c r="H388" s="191"/>
      <c r="I388" s="191"/>
      <c r="J388" s="191"/>
      <c r="K388" s="191"/>
      <c r="L388" s="191"/>
      <c r="M388" s="191"/>
      <c r="N388" s="19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191"/>
      <c r="H389" s="191"/>
      <c r="I389" s="191"/>
      <c r="J389" s="191"/>
      <c r="K389" s="191"/>
      <c r="L389" s="191"/>
      <c r="M389" s="191"/>
      <c r="N389" s="19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191"/>
      <c r="H390" s="191"/>
      <c r="I390" s="191"/>
      <c r="J390" s="191"/>
      <c r="K390" s="191"/>
      <c r="L390" s="191"/>
      <c r="M390" s="191"/>
      <c r="N390" s="19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191"/>
      <c r="H391" s="191"/>
      <c r="I391" s="191"/>
      <c r="J391" s="191"/>
      <c r="K391" s="191"/>
      <c r="L391" s="191"/>
      <c r="M391" s="191"/>
      <c r="N391" s="19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191"/>
      <c r="H392" s="191"/>
      <c r="I392" s="191"/>
      <c r="J392" s="191"/>
      <c r="K392" s="191"/>
      <c r="L392" s="191"/>
      <c r="M392" s="191"/>
      <c r="N392" s="19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191"/>
      <c r="H393" s="191"/>
      <c r="I393" s="191"/>
      <c r="J393" s="191"/>
      <c r="K393" s="191"/>
      <c r="L393" s="191"/>
      <c r="M393" s="191"/>
      <c r="N393" s="19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191"/>
      <c r="H394" s="191"/>
      <c r="I394" s="191"/>
      <c r="J394" s="191"/>
      <c r="K394" s="191"/>
      <c r="L394" s="191"/>
      <c r="M394" s="191"/>
      <c r="N394" s="19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191"/>
      <c r="H395" s="191"/>
      <c r="I395" s="191"/>
      <c r="J395" s="191"/>
      <c r="K395" s="191"/>
      <c r="L395" s="191"/>
      <c r="M395" s="191"/>
      <c r="N395" s="19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191"/>
      <c r="H396" s="191"/>
      <c r="I396" s="191"/>
      <c r="J396" s="191"/>
      <c r="K396" s="191"/>
      <c r="L396" s="191"/>
      <c r="M396" s="191"/>
      <c r="N396" s="19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191"/>
      <c r="H397" s="191"/>
      <c r="I397" s="191"/>
      <c r="J397" s="191"/>
      <c r="K397" s="191"/>
      <c r="L397" s="191"/>
      <c r="M397" s="191"/>
      <c r="N397" s="19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191"/>
      <c r="H398" s="191"/>
      <c r="I398" s="191"/>
      <c r="J398" s="191"/>
      <c r="K398" s="191"/>
      <c r="L398" s="191"/>
      <c r="M398" s="191"/>
      <c r="N398" s="19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191"/>
      <c r="H399" s="191"/>
      <c r="I399" s="191"/>
      <c r="J399" s="191"/>
      <c r="K399" s="191"/>
      <c r="L399" s="191"/>
      <c r="M399" s="191"/>
      <c r="N399" s="19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191"/>
      <c r="H400" s="191"/>
      <c r="I400" s="191"/>
      <c r="J400" s="191"/>
      <c r="K400" s="191"/>
      <c r="L400" s="191"/>
      <c r="M400" s="191"/>
      <c r="N400" s="19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191"/>
      <c r="H401" s="191"/>
      <c r="I401" s="191"/>
      <c r="J401" s="191"/>
      <c r="K401" s="191"/>
      <c r="L401" s="191"/>
      <c r="M401" s="191"/>
      <c r="N401" s="19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191"/>
      <c r="H402" s="191"/>
      <c r="I402" s="191"/>
      <c r="J402" s="191"/>
      <c r="K402" s="191"/>
      <c r="L402" s="191"/>
      <c r="M402" s="191"/>
      <c r="N402" s="19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191"/>
      <c r="H403" s="191"/>
      <c r="I403" s="191"/>
      <c r="J403" s="191"/>
      <c r="K403" s="191"/>
      <c r="L403" s="191"/>
      <c r="M403" s="191"/>
      <c r="N403" s="19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191"/>
      <c r="H404" s="191"/>
      <c r="I404" s="191"/>
      <c r="J404" s="191"/>
      <c r="K404" s="191"/>
      <c r="L404" s="191"/>
      <c r="M404" s="191"/>
      <c r="N404" s="19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191"/>
      <c r="H405" s="191"/>
      <c r="I405" s="191"/>
      <c r="J405" s="191"/>
      <c r="K405" s="191"/>
      <c r="L405" s="191"/>
      <c r="M405" s="191"/>
      <c r="N405" s="19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191"/>
      <c r="H406" s="191"/>
      <c r="I406" s="191"/>
      <c r="J406" s="191"/>
      <c r="K406" s="191"/>
      <c r="L406" s="191"/>
      <c r="M406" s="191"/>
      <c r="N406" s="19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191"/>
      <c r="H407" s="191"/>
      <c r="I407" s="191"/>
      <c r="J407" s="191"/>
      <c r="K407" s="191"/>
      <c r="L407" s="191"/>
      <c r="M407" s="191"/>
      <c r="N407" s="19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191"/>
      <c r="H408" s="191"/>
      <c r="I408" s="191"/>
      <c r="J408" s="191"/>
      <c r="K408" s="191"/>
      <c r="L408" s="191"/>
      <c r="M408" s="191"/>
      <c r="N408" s="19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191"/>
      <c r="H409" s="191"/>
      <c r="I409" s="191"/>
      <c r="J409" s="191"/>
      <c r="K409" s="191"/>
      <c r="L409" s="191"/>
      <c r="M409" s="191"/>
      <c r="N409" s="19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191"/>
      <c r="H410" s="191"/>
      <c r="I410" s="191"/>
      <c r="J410" s="191"/>
      <c r="K410" s="191"/>
      <c r="L410" s="191"/>
      <c r="M410" s="191"/>
      <c r="N410" s="19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191"/>
      <c r="H411" s="191"/>
      <c r="I411" s="191"/>
      <c r="J411" s="191"/>
      <c r="K411" s="191"/>
      <c r="L411" s="191"/>
      <c r="M411" s="191"/>
      <c r="N411" s="19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191"/>
      <c r="H412" s="191"/>
      <c r="I412" s="191"/>
      <c r="J412" s="191"/>
      <c r="K412" s="191"/>
      <c r="L412" s="191"/>
      <c r="M412" s="191"/>
      <c r="N412" s="19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191"/>
      <c r="H413" s="191"/>
      <c r="I413" s="191"/>
      <c r="J413" s="191"/>
      <c r="K413" s="191"/>
      <c r="L413" s="191"/>
      <c r="M413" s="191"/>
      <c r="N413" s="19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191"/>
      <c r="H414" s="191"/>
      <c r="I414" s="191"/>
      <c r="J414" s="191"/>
      <c r="K414" s="191"/>
      <c r="L414" s="191"/>
      <c r="M414" s="191"/>
      <c r="N414" s="19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191"/>
      <c r="H415" s="191"/>
      <c r="I415" s="191"/>
      <c r="J415" s="191"/>
      <c r="K415" s="191"/>
      <c r="L415" s="191"/>
      <c r="M415" s="191"/>
      <c r="N415" s="19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191"/>
      <c r="H416" s="191"/>
      <c r="I416" s="191"/>
      <c r="J416" s="191"/>
      <c r="K416" s="191"/>
      <c r="L416" s="191"/>
      <c r="M416" s="191"/>
      <c r="N416" s="19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191"/>
      <c r="H417" s="191"/>
      <c r="I417" s="191"/>
      <c r="J417" s="191"/>
      <c r="K417" s="191"/>
      <c r="L417" s="191"/>
      <c r="M417" s="191"/>
      <c r="N417" s="19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191"/>
      <c r="H418" s="191"/>
      <c r="I418" s="191"/>
      <c r="J418" s="191"/>
      <c r="K418" s="191"/>
      <c r="L418" s="191"/>
      <c r="M418" s="191"/>
      <c r="N418" s="19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191"/>
      <c r="H419" s="191"/>
      <c r="I419" s="191"/>
      <c r="J419" s="191"/>
      <c r="K419" s="191"/>
      <c r="L419" s="191"/>
      <c r="M419" s="191"/>
      <c r="N419" s="19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191"/>
      <c r="H420" s="191"/>
      <c r="I420" s="191"/>
      <c r="J420" s="191"/>
      <c r="K420" s="191"/>
      <c r="L420" s="191"/>
      <c r="M420" s="191"/>
      <c r="N420" s="19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191"/>
      <c r="H421" s="191"/>
      <c r="I421" s="191"/>
      <c r="J421" s="191"/>
      <c r="K421" s="191"/>
      <c r="L421" s="191"/>
      <c r="M421" s="191"/>
      <c r="N421" s="19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191"/>
      <c r="H422" s="191"/>
      <c r="I422" s="191"/>
      <c r="J422" s="191"/>
      <c r="K422" s="191"/>
      <c r="L422" s="191"/>
      <c r="M422" s="191"/>
      <c r="N422" s="19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191"/>
      <c r="H423" s="191"/>
      <c r="I423" s="191"/>
      <c r="J423" s="191"/>
      <c r="K423" s="191"/>
      <c r="L423" s="191"/>
      <c r="M423" s="191"/>
      <c r="N423" s="19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191"/>
      <c r="H424" s="191"/>
      <c r="I424" s="191"/>
      <c r="J424" s="191"/>
      <c r="K424" s="191"/>
      <c r="L424" s="191"/>
      <c r="M424" s="191"/>
      <c r="N424" s="19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191"/>
      <c r="H425" s="191"/>
      <c r="I425" s="191"/>
      <c r="J425" s="191"/>
      <c r="K425" s="191"/>
      <c r="L425" s="191"/>
      <c r="M425" s="191"/>
      <c r="N425" s="19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191"/>
      <c r="H426" s="191"/>
      <c r="I426" s="191"/>
      <c r="J426" s="191"/>
      <c r="K426" s="191"/>
      <c r="L426" s="191"/>
      <c r="M426" s="191"/>
      <c r="N426" s="19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191"/>
      <c r="H427" s="191"/>
      <c r="I427" s="191"/>
      <c r="J427" s="191"/>
      <c r="K427" s="191"/>
      <c r="L427" s="191"/>
      <c r="M427" s="191"/>
      <c r="N427" s="19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191"/>
      <c r="H428" s="191"/>
      <c r="I428" s="191"/>
      <c r="J428" s="191"/>
      <c r="K428" s="191"/>
      <c r="L428" s="191"/>
      <c r="M428" s="191"/>
      <c r="N428" s="19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191"/>
      <c r="H429" s="191"/>
      <c r="I429" s="191"/>
      <c r="J429" s="191"/>
      <c r="K429" s="191"/>
      <c r="L429" s="191"/>
      <c r="M429" s="191"/>
      <c r="N429" s="19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191"/>
      <c r="H430" s="191"/>
      <c r="I430" s="191"/>
      <c r="J430" s="191"/>
      <c r="K430" s="191"/>
      <c r="L430" s="191"/>
      <c r="M430" s="191"/>
      <c r="N430" s="19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191"/>
      <c r="H431" s="191"/>
      <c r="I431" s="191"/>
      <c r="J431" s="191"/>
      <c r="K431" s="191"/>
      <c r="L431" s="191"/>
      <c r="M431" s="191"/>
      <c r="N431" s="19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191"/>
      <c r="H432" s="191"/>
      <c r="I432" s="191"/>
      <c r="J432" s="191"/>
      <c r="K432" s="191"/>
      <c r="L432" s="191"/>
      <c r="M432" s="191"/>
      <c r="N432" s="19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191"/>
      <c r="H433" s="191"/>
      <c r="I433" s="191"/>
      <c r="J433" s="191"/>
      <c r="K433" s="191"/>
      <c r="L433" s="191"/>
      <c r="M433" s="191"/>
      <c r="N433" s="19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191"/>
      <c r="H434" s="191"/>
      <c r="I434" s="191"/>
      <c r="J434" s="191"/>
      <c r="K434" s="191"/>
      <c r="L434" s="191"/>
      <c r="M434" s="191"/>
      <c r="N434" s="19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191"/>
      <c r="H435" s="191"/>
      <c r="I435" s="191"/>
      <c r="J435" s="191"/>
      <c r="K435" s="191"/>
      <c r="L435" s="191"/>
      <c r="M435" s="191"/>
      <c r="N435" s="19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191"/>
      <c r="H436" s="191"/>
      <c r="I436" s="191"/>
      <c r="J436" s="191"/>
      <c r="K436" s="191"/>
      <c r="L436" s="191"/>
      <c r="M436" s="191"/>
      <c r="N436" s="19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191"/>
      <c r="H437" s="191"/>
      <c r="I437" s="191"/>
      <c r="J437" s="191"/>
      <c r="K437" s="191"/>
      <c r="L437" s="191"/>
      <c r="M437" s="191"/>
      <c r="N437" s="19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191"/>
      <c r="H438" s="191"/>
      <c r="I438" s="191"/>
      <c r="J438" s="191"/>
      <c r="K438" s="191"/>
      <c r="L438" s="191"/>
      <c r="M438" s="191"/>
      <c r="N438" s="19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191"/>
      <c r="H439" s="191"/>
      <c r="I439" s="191"/>
      <c r="J439" s="191"/>
      <c r="K439" s="191"/>
      <c r="L439" s="191"/>
      <c r="M439" s="191"/>
      <c r="N439" s="19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191"/>
      <c r="H440" s="191"/>
      <c r="I440" s="191"/>
      <c r="J440" s="191"/>
      <c r="K440" s="191"/>
      <c r="L440" s="191"/>
      <c r="M440" s="191"/>
      <c r="N440" s="19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191"/>
      <c r="H441" s="191"/>
      <c r="I441" s="191"/>
      <c r="J441" s="191"/>
      <c r="K441" s="191"/>
      <c r="L441" s="191"/>
      <c r="M441" s="191"/>
      <c r="N441" s="19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191"/>
      <c r="H442" s="191"/>
      <c r="I442" s="191"/>
      <c r="J442" s="191"/>
      <c r="K442" s="191"/>
      <c r="L442" s="191"/>
      <c r="M442" s="191"/>
      <c r="N442" s="19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191"/>
      <c r="H443" s="191"/>
      <c r="I443" s="191"/>
      <c r="J443" s="191"/>
      <c r="K443" s="191"/>
      <c r="L443" s="191"/>
      <c r="M443" s="191"/>
      <c r="N443" s="19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191"/>
      <c r="H444" s="191"/>
      <c r="I444" s="191"/>
      <c r="J444" s="191"/>
      <c r="K444" s="191"/>
      <c r="L444" s="191"/>
      <c r="M444" s="191"/>
      <c r="N444" s="19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191"/>
      <c r="H445" s="191"/>
      <c r="I445" s="191"/>
      <c r="J445" s="191"/>
      <c r="K445" s="191"/>
      <c r="L445" s="191"/>
      <c r="M445" s="191"/>
      <c r="N445" s="19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191"/>
      <c r="H446" s="191"/>
      <c r="I446" s="191"/>
      <c r="J446" s="191"/>
      <c r="K446" s="191"/>
      <c r="L446" s="191"/>
      <c r="M446" s="191"/>
      <c r="N446" s="19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191"/>
      <c r="H447" s="191"/>
      <c r="I447" s="191"/>
      <c r="J447" s="191"/>
      <c r="K447" s="191"/>
      <c r="L447" s="191"/>
      <c r="M447" s="191"/>
      <c r="N447" s="19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191"/>
      <c r="H448" s="191"/>
      <c r="I448" s="191"/>
      <c r="J448" s="191"/>
      <c r="K448" s="191"/>
      <c r="L448" s="191"/>
      <c r="M448" s="191"/>
      <c r="N448" s="19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191"/>
      <c r="H449" s="191"/>
      <c r="I449" s="191"/>
      <c r="J449" s="191"/>
      <c r="K449" s="191"/>
      <c r="L449" s="191"/>
      <c r="M449" s="191"/>
      <c r="N449" s="19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191"/>
      <c r="H450" s="191"/>
      <c r="I450" s="191"/>
      <c r="J450" s="191"/>
      <c r="K450" s="191"/>
      <c r="L450" s="191"/>
      <c r="M450" s="191"/>
      <c r="N450" s="19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191"/>
      <c r="H451" s="191"/>
      <c r="I451" s="191"/>
      <c r="J451" s="191"/>
      <c r="K451" s="191"/>
      <c r="L451" s="191"/>
      <c r="M451" s="191"/>
      <c r="N451" s="19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191"/>
      <c r="H452" s="191"/>
      <c r="I452" s="191"/>
      <c r="J452" s="191"/>
      <c r="K452" s="191"/>
      <c r="L452" s="191"/>
      <c r="M452" s="191"/>
      <c r="N452" s="19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191"/>
      <c r="H453" s="191"/>
      <c r="I453" s="191"/>
      <c r="J453" s="191"/>
      <c r="K453" s="191"/>
      <c r="L453" s="191"/>
      <c r="M453" s="191"/>
      <c r="N453" s="19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191"/>
      <c r="H454" s="191"/>
      <c r="I454" s="191"/>
      <c r="J454" s="191"/>
      <c r="K454" s="191"/>
      <c r="L454" s="191"/>
      <c r="M454" s="191"/>
      <c r="N454" s="19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191"/>
      <c r="H455" s="191"/>
      <c r="I455" s="191"/>
      <c r="J455" s="191"/>
      <c r="K455" s="191"/>
      <c r="L455" s="191"/>
      <c r="M455" s="191"/>
      <c r="N455" s="19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191"/>
      <c r="H456" s="191"/>
      <c r="I456" s="191"/>
      <c r="J456" s="191"/>
      <c r="K456" s="191"/>
      <c r="L456" s="191"/>
      <c r="M456" s="191"/>
      <c r="N456" s="19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191"/>
      <c r="H457" s="191"/>
      <c r="I457" s="191"/>
      <c r="J457" s="191"/>
      <c r="K457" s="191"/>
      <c r="L457" s="191"/>
      <c r="M457" s="191"/>
      <c r="N457" s="19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191"/>
      <c r="H458" s="191"/>
      <c r="I458" s="191"/>
      <c r="J458" s="191"/>
      <c r="K458" s="191"/>
      <c r="L458" s="191"/>
      <c r="M458" s="191"/>
      <c r="N458" s="19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191"/>
      <c r="H459" s="191"/>
      <c r="I459" s="191"/>
      <c r="J459" s="191"/>
      <c r="K459" s="191"/>
      <c r="L459" s="191"/>
      <c r="M459" s="191"/>
      <c r="N459" s="19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191"/>
      <c r="H460" s="191"/>
      <c r="I460" s="191"/>
      <c r="J460" s="191"/>
      <c r="K460" s="191"/>
      <c r="L460" s="191"/>
      <c r="M460" s="191"/>
      <c r="N460" s="19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191"/>
      <c r="H461" s="191"/>
      <c r="I461" s="191"/>
      <c r="J461" s="191"/>
      <c r="K461" s="191"/>
      <c r="L461" s="191"/>
      <c r="M461" s="191"/>
      <c r="N461" s="19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191"/>
      <c r="H462" s="191"/>
      <c r="I462" s="191"/>
      <c r="J462" s="191"/>
      <c r="K462" s="191"/>
      <c r="L462" s="191"/>
      <c r="M462" s="191"/>
      <c r="N462" s="19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191"/>
      <c r="H463" s="191"/>
      <c r="I463" s="191"/>
      <c r="J463" s="191"/>
      <c r="K463" s="191"/>
      <c r="L463" s="191"/>
      <c r="M463" s="191"/>
      <c r="N463" s="19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191"/>
      <c r="H464" s="191"/>
      <c r="I464" s="191"/>
      <c r="J464" s="191"/>
      <c r="K464" s="191"/>
      <c r="L464" s="191"/>
      <c r="M464" s="191"/>
      <c r="N464" s="19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191"/>
      <c r="H465" s="191"/>
      <c r="I465" s="191"/>
      <c r="J465" s="191"/>
      <c r="K465" s="191"/>
      <c r="L465" s="191"/>
      <c r="M465" s="191"/>
      <c r="N465" s="19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191"/>
      <c r="H466" s="191"/>
      <c r="I466" s="191"/>
      <c r="J466" s="191"/>
      <c r="K466" s="191"/>
      <c r="L466" s="191"/>
      <c r="M466" s="191"/>
      <c r="N466" s="19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191"/>
      <c r="H467" s="191"/>
      <c r="I467" s="191"/>
      <c r="J467" s="191"/>
      <c r="K467" s="191"/>
      <c r="L467" s="191"/>
      <c r="M467" s="191"/>
      <c r="N467" s="19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191"/>
      <c r="H468" s="191"/>
      <c r="I468" s="191"/>
      <c r="J468" s="191"/>
      <c r="K468" s="191"/>
      <c r="L468" s="191"/>
      <c r="M468" s="191"/>
      <c r="N468" s="19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191"/>
      <c r="H469" s="191"/>
      <c r="I469" s="191"/>
      <c r="J469" s="191"/>
      <c r="K469" s="191"/>
      <c r="L469" s="191"/>
      <c r="M469" s="191"/>
      <c r="N469" s="19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191"/>
      <c r="H470" s="191"/>
      <c r="I470" s="191"/>
      <c r="J470" s="191"/>
      <c r="K470" s="191"/>
      <c r="L470" s="191"/>
      <c r="M470" s="191"/>
      <c r="N470" s="19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191"/>
      <c r="H471" s="191"/>
      <c r="I471" s="191"/>
      <c r="J471" s="191"/>
      <c r="K471" s="191"/>
      <c r="L471" s="191"/>
      <c r="M471" s="191"/>
      <c r="N471" s="19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191"/>
      <c r="H472" s="191"/>
      <c r="I472" s="191"/>
      <c r="J472" s="191"/>
      <c r="K472" s="191"/>
      <c r="L472" s="191"/>
      <c r="M472" s="191"/>
      <c r="N472" s="19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191"/>
      <c r="H473" s="191"/>
      <c r="I473" s="191"/>
      <c r="J473" s="191"/>
      <c r="K473" s="191"/>
      <c r="L473" s="191"/>
      <c r="M473" s="191"/>
      <c r="N473" s="19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191"/>
      <c r="H474" s="191"/>
      <c r="I474" s="191"/>
      <c r="J474" s="191"/>
      <c r="K474" s="191"/>
      <c r="L474" s="191"/>
      <c r="M474" s="191"/>
      <c r="N474" s="19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191"/>
      <c r="H475" s="191"/>
      <c r="I475" s="191"/>
      <c r="J475" s="191"/>
      <c r="K475" s="191"/>
      <c r="L475" s="191"/>
      <c r="M475" s="191"/>
      <c r="N475" s="19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191"/>
      <c r="H476" s="191"/>
      <c r="I476" s="191"/>
      <c r="J476" s="191"/>
      <c r="K476" s="191"/>
      <c r="L476" s="191"/>
      <c r="M476" s="191"/>
      <c r="N476" s="19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191"/>
      <c r="H477" s="191"/>
      <c r="I477" s="191"/>
      <c r="J477" s="191"/>
      <c r="K477" s="191"/>
      <c r="L477" s="191"/>
      <c r="M477" s="191"/>
      <c r="N477" s="19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191"/>
      <c r="H478" s="191"/>
      <c r="I478" s="191"/>
      <c r="J478" s="191"/>
      <c r="K478" s="191"/>
      <c r="L478" s="191"/>
      <c r="M478" s="191"/>
      <c r="N478" s="19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191"/>
      <c r="H479" s="191"/>
      <c r="I479" s="191"/>
      <c r="J479" s="191"/>
      <c r="K479" s="191"/>
      <c r="L479" s="191"/>
      <c r="M479" s="191"/>
      <c r="N479" s="19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191"/>
      <c r="H480" s="191"/>
      <c r="I480" s="191"/>
      <c r="J480" s="191"/>
      <c r="K480" s="191"/>
      <c r="L480" s="191"/>
      <c r="M480" s="191"/>
      <c r="N480" s="19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191"/>
      <c r="H481" s="191"/>
      <c r="I481" s="191"/>
      <c r="J481" s="191"/>
      <c r="K481" s="191"/>
      <c r="L481" s="191"/>
      <c r="M481" s="191"/>
      <c r="N481" s="19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191"/>
      <c r="H482" s="191"/>
      <c r="I482" s="191"/>
      <c r="J482" s="191"/>
      <c r="K482" s="191"/>
      <c r="L482" s="191"/>
      <c r="M482" s="191"/>
      <c r="N482" s="19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191"/>
      <c r="H483" s="191"/>
      <c r="I483" s="191"/>
      <c r="J483" s="191"/>
      <c r="K483" s="191"/>
      <c r="L483" s="191"/>
      <c r="M483" s="191"/>
      <c r="N483" s="19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191"/>
      <c r="H484" s="191"/>
      <c r="I484" s="191"/>
      <c r="J484" s="191"/>
      <c r="K484" s="191"/>
      <c r="L484" s="191"/>
      <c r="M484" s="191"/>
      <c r="N484" s="19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191"/>
      <c r="H485" s="191"/>
      <c r="I485" s="191"/>
      <c r="J485" s="191"/>
      <c r="K485" s="191"/>
      <c r="L485" s="191"/>
      <c r="M485" s="191"/>
      <c r="N485" s="19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191"/>
      <c r="H486" s="191"/>
      <c r="I486" s="191"/>
      <c r="J486" s="191"/>
      <c r="K486" s="191"/>
      <c r="L486" s="191"/>
      <c r="M486" s="191"/>
      <c r="N486" s="19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191"/>
      <c r="H487" s="191"/>
      <c r="I487" s="191"/>
      <c r="J487" s="191"/>
      <c r="K487" s="191"/>
      <c r="L487" s="191"/>
      <c r="M487" s="191"/>
      <c r="N487" s="19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191"/>
      <c r="H488" s="191"/>
      <c r="I488" s="191"/>
      <c r="J488" s="191"/>
      <c r="K488" s="191"/>
      <c r="L488" s="191"/>
      <c r="M488" s="191"/>
      <c r="N488" s="19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191"/>
      <c r="H489" s="191"/>
      <c r="I489" s="191"/>
      <c r="J489" s="191"/>
      <c r="K489" s="191"/>
      <c r="L489" s="191"/>
      <c r="M489" s="191"/>
      <c r="N489" s="19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191"/>
      <c r="H490" s="191"/>
      <c r="I490" s="191"/>
      <c r="J490" s="191"/>
      <c r="K490" s="191"/>
      <c r="L490" s="191"/>
      <c r="M490" s="191"/>
      <c r="N490" s="19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191"/>
      <c r="H491" s="191"/>
      <c r="I491" s="191"/>
      <c r="J491" s="191"/>
      <c r="K491" s="191"/>
      <c r="L491" s="191"/>
      <c r="M491" s="191"/>
      <c r="N491" s="19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191"/>
      <c r="H492" s="191"/>
      <c r="I492" s="191"/>
      <c r="J492" s="191"/>
      <c r="K492" s="191"/>
      <c r="L492" s="191"/>
      <c r="M492" s="191"/>
      <c r="N492" s="19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191"/>
      <c r="H493" s="191"/>
      <c r="I493" s="191"/>
      <c r="J493" s="191"/>
      <c r="K493" s="191"/>
      <c r="L493" s="191"/>
      <c r="M493" s="191"/>
      <c r="N493" s="19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191"/>
      <c r="H494" s="191"/>
      <c r="I494" s="191"/>
      <c r="J494" s="191"/>
      <c r="K494" s="191"/>
      <c r="L494" s="191"/>
      <c r="M494" s="191"/>
      <c r="N494" s="19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191"/>
      <c r="H495" s="191"/>
      <c r="I495" s="191"/>
      <c r="J495" s="191"/>
      <c r="K495" s="191"/>
      <c r="L495" s="191"/>
      <c r="M495" s="191"/>
      <c r="N495" s="19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191"/>
      <c r="H496" s="191"/>
      <c r="I496" s="191"/>
      <c r="J496" s="191"/>
      <c r="K496" s="191"/>
      <c r="L496" s="191"/>
      <c r="M496" s="191"/>
      <c r="N496" s="19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191"/>
      <c r="H497" s="191"/>
      <c r="I497" s="191"/>
      <c r="J497" s="191"/>
      <c r="K497" s="191"/>
      <c r="L497" s="191"/>
      <c r="M497" s="191"/>
      <c r="N497" s="19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191"/>
      <c r="H498" s="191"/>
      <c r="I498" s="191"/>
      <c r="J498" s="191"/>
      <c r="K498" s="191"/>
      <c r="L498" s="191"/>
      <c r="M498" s="191"/>
      <c r="N498" s="19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191"/>
      <c r="H499" s="191"/>
      <c r="I499" s="191"/>
      <c r="J499" s="191"/>
      <c r="K499" s="191"/>
      <c r="L499" s="191"/>
      <c r="M499" s="191"/>
      <c r="N499" s="19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191"/>
      <c r="H500" s="191"/>
      <c r="I500" s="191"/>
      <c r="J500" s="191"/>
      <c r="K500" s="191"/>
      <c r="L500" s="191"/>
      <c r="M500" s="191"/>
      <c r="N500" s="19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191"/>
      <c r="H501" s="191"/>
      <c r="I501" s="191"/>
      <c r="J501" s="191"/>
      <c r="K501" s="191"/>
      <c r="L501" s="191"/>
      <c r="M501" s="191"/>
      <c r="N501" s="19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191"/>
      <c r="H502" s="191"/>
      <c r="I502" s="191"/>
      <c r="J502" s="191"/>
      <c r="K502" s="191"/>
      <c r="L502" s="191"/>
      <c r="M502" s="191"/>
      <c r="N502" s="19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191"/>
      <c r="H503" s="191"/>
      <c r="I503" s="191"/>
      <c r="J503" s="191"/>
      <c r="K503" s="191"/>
      <c r="L503" s="191"/>
      <c r="M503" s="191"/>
      <c r="N503" s="19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191"/>
      <c r="H504" s="191"/>
      <c r="I504" s="191"/>
      <c r="J504" s="191"/>
      <c r="K504" s="191"/>
      <c r="L504" s="191"/>
      <c r="M504" s="191"/>
      <c r="N504" s="19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191"/>
      <c r="H505" s="191"/>
      <c r="I505" s="191"/>
      <c r="J505" s="191"/>
      <c r="K505" s="191"/>
      <c r="L505" s="191"/>
      <c r="M505" s="191"/>
      <c r="N505" s="19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191"/>
      <c r="H506" s="191"/>
      <c r="I506" s="191"/>
      <c r="J506" s="191"/>
      <c r="K506" s="191"/>
      <c r="L506" s="191"/>
      <c r="M506" s="191"/>
      <c r="N506" s="19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191"/>
      <c r="H507" s="191"/>
      <c r="I507" s="191"/>
      <c r="J507" s="191"/>
      <c r="K507" s="191"/>
      <c r="L507" s="191"/>
      <c r="M507" s="191"/>
      <c r="N507" s="19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191"/>
      <c r="H508" s="191"/>
      <c r="I508" s="191"/>
      <c r="J508" s="191"/>
      <c r="K508" s="191"/>
      <c r="L508" s="191"/>
      <c r="M508" s="191"/>
      <c r="N508" s="19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191"/>
      <c r="H509" s="191"/>
      <c r="I509" s="191"/>
      <c r="J509" s="191"/>
      <c r="K509" s="191"/>
      <c r="L509" s="191"/>
      <c r="M509" s="191"/>
      <c r="N509" s="19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191"/>
      <c r="H510" s="191"/>
      <c r="I510" s="191"/>
      <c r="J510" s="191"/>
      <c r="K510" s="191"/>
      <c r="L510" s="191"/>
      <c r="M510" s="191"/>
      <c r="N510" s="19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191"/>
      <c r="H511" s="191"/>
      <c r="I511" s="191"/>
      <c r="J511" s="191"/>
      <c r="K511" s="191"/>
      <c r="L511" s="191"/>
      <c r="M511" s="191"/>
      <c r="N511" s="19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191"/>
      <c r="H512" s="191"/>
      <c r="I512" s="191"/>
      <c r="J512" s="191"/>
      <c r="K512" s="191"/>
      <c r="L512" s="191"/>
      <c r="M512" s="191"/>
      <c r="N512" s="19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191"/>
      <c r="H513" s="191"/>
      <c r="I513" s="191"/>
      <c r="J513" s="191"/>
      <c r="K513" s="191"/>
      <c r="L513" s="191"/>
      <c r="M513" s="191"/>
      <c r="N513" s="19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191"/>
      <c r="H514" s="191"/>
      <c r="I514" s="191"/>
      <c r="J514" s="191"/>
      <c r="K514" s="191"/>
      <c r="L514" s="191"/>
      <c r="M514" s="191"/>
      <c r="N514" s="19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191"/>
      <c r="H515" s="191"/>
      <c r="I515" s="191"/>
      <c r="J515" s="191"/>
      <c r="K515" s="191"/>
      <c r="L515" s="191"/>
      <c r="M515" s="191"/>
      <c r="N515" s="19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191"/>
      <c r="H516" s="191"/>
      <c r="I516" s="191"/>
      <c r="J516" s="191"/>
      <c r="K516" s="191"/>
      <c r="L516" s="191"/>
      <c r="M516" s="191"/>
      <c r="N516" s="19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191"/>
      <c r="H517" s="191"/>
      <c r="I517" s="191"/>
      <c r="J517" s="191"/>
      <c r="K517" s="191"/>
      <c r="L517" s="191"/>
      <c r="M517" s="191"/>
      <c r="N517" s="19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191"/>
      <c r="H518" s="191"/>
      <c r="I518" s="191"/>
      <c r="J518" s="191"/>
      <c r="K518" s="191"/>
      <c r="L518" s="191"/>
      <c r="M518" s="191"/>
      <c r="N518" s="19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191"/>
      <c r="H519" s="191"/>
      <c r="I519" s="191"/>
      <c r="J519" s="191"/>
      <c r="K519" s="191"/>
      <c r="L519" s="191"/>
      <c r="M519" s="191"/>
      <c r="N519" s="19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191"/>
      <c r="H520" s="191"/>
      <c r="I520" s="191"/>
      <c r="J520" s="191"/>
      <c r="K520" s="191"/>
      <c r="L520" s="191"/>
      <c r="M520" s="191"/>
      <c r="N520" s="19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191"/>
      <c r="H521" s="191"/>
      <c r="I521" s="191"/>
      <c r="J521" s="191"/>
      <c r="K521" s="191"/>
      <c r="L521" s="191"/>
      <c r="M521" s="191"/>
      <c r="N521" s="19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191"/>
      <c r="H522" s="191"/>
      <c r="I522" s="191"/>
      <c r="J522" s="191"/>
      <c r="K522" s="191"/>
      <c r="L522" s="191"/>
      <c r="M522" s="191"/>
      <c r="N522" s="19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191"/>
      <c r="H523" s="191"/>
      <c r="I523" s="191"/>
      <c r="J523" s="191"/>
      <c r="K523" s="191"/>
      <c r="L523" s="191"/>
      <c r="M523" s="191"/>
      <c r="N523" s="19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191"/>
      <c r="H524" s="191"/>
      <c r="I524" s="191"/>
      <c r="J524" s="191"/>
      <c r="K524" s="191"/>
      <c r="L524" s="191"/>
      <c r="M524" s="191"/>
      <c r="N524" s="19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191"/>
      <c r="H525" s="191"/>
      <c r="I525" s="191"/>
      <c r="J525" s="191"/>
      <c r="K525" s="191"/>
      <c r="L525" s="191"/>
      <c r="M525" s="191"/>
      <c r="N525" s="19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191"/>
      <c r="H526" s="191"/>
      <c r="I526" s="191"/>
      <c r="J526" s="191"/>
      <c r="K526" s="191"/>
      <c r="L526" s="191"/>
      <c r="M526" s="191"/>
      <c r="N526" s="19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191"/>
      <c r="H527" s="191"/>
      <c r="I527" s="191"/>
      <c r="J527" s="191"/>
      <c r="K527" s="191"/>
      <c r="L527" s="191"/>
      <c r="M527" s="191"/>
      <c r="N527" s="19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191"/>
      <c r="H528" s="191"/>
      <c r="I528" s="191"/>
      <c r="J528" s="191"/>
      <c r="K528" s="191"/>
      <c r="L528" s="191"/>
      <c r="M528" s="191"/>
      <c r="N528" s="19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191"/>
      <c r="H529" s="191"/>
      <c r="I529" s="191"/>
      <c r="J529" s="191"/>
      <c r="K529" s="191"/>
      <c r="L529" s="191"/>
      <c r="M529" s="191"/>
      <c r="N529" s="19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191"/>
      <c r="H530" s="191"/>
      <c r="I530" s="191"/>
      <c r="J530" s="191"/>
      <c r="K530" s="191"/>
      <c r="L530" s="191"/>
      <c r="M530" s="191"/>
      <c r="N530" s="19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191"/>
      <c r="H531" s="191"/>
      <c r="I531" s="191"/>
      <c r="J531" s="191"/>
      <c r="K531" s="191"/>
      <c r="L531" s="191"/>
      <c r="M531" s="191"/>
      <c r="N531" s="19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191"/>
      <c r="H532" s="191"/>
      <c r="I532" s="191"/>
      <c r="J532" s="191"/>
      <c r="K532" s="191"/>
      <c r="L532" s="191"/>
      <c r="M532" s="191"/>
      <c r="N532" s="19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191"/>
      <c r="H533" s="191"/>
      <c r="I533" s="191"/>
      <c r="J533" s="191"/>
      <c r="K533" s="191"/>
      <c r="L533" s="191"/>
      <c r="M533" s="191"/>
      <c r="N533" s="19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191"/>
      <c r="H534" s="191"/>
      <c r="I534" s="191"/>
      <c r="J534" s="191"/>
      <c r="K534" s="191"/>
      <c r="L534" s="191"/>
      <c r="M534" s="191"/>
      <c r="N534" s="19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191"/>
      <c r="H535" s="191"/>
      <c r="I535" s="191"/>
      <c r="J535" s="191"/>
      <c r="K535" s="191"/>
      <c r="L535" s="191"/>
      <c r="M535" s="191"/>
      <c r="N535" s="19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191"/>
      <c r="H536" s="191"/>
      <c r="I536" s="191"/>
      <c r="J536" s="191"/>
      <c r="K536" s="191"/>
      <c r="L536" s="191"/>
      <c r="M536" s="191"/>
      <c r="N536" s="19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191"/>
      <c r="H537" s="191"/>
      <c r="I537" s="191"/>
      <c r="J537" s="191"/>
      <c r="K537" s="191"/>
      <c r="L537" s="191"/>
      <c r="M537" s="191"/>
      <c r="N537" s="19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191"/>
      <c r="H538" s="191"/>
      <c r="I538" s="191"/>
      <c r="J538" s="191"/>
      <c r="K538" s="191"/>
      <c r="L538" s="191"/>
      <c r="M538" s="191"/>
      <c r="N538" s="19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191"/>
      <c r="H539" s="191"/>
      <c r="I539" s="191"/>
      <c r="J539" s="191"/>
      <c r="K539" s="191"/>
      <c r="L539" s="191"/>
      <c r="M539" s="191"/>
      <c r="N539" s="19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191"/>
      <c r="H540" s="191"/>
      <c r="I540" s="191"/>
      <c r="J540" s="191"/>
      <c r="K540" s="191"/>
      <c r="L540" s="191"/>
      <c r="M540" s="191"/>
      <c r="N540" s="19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191"/>
      <c r="H541" s="191"/>
      <c r="I541" s="191"/>
      <c r="J541" s="191"/>
      <c r="K541" s="191"/>
      <c r="L541" s="191"/>
      <c r="M541" s="191"/>
      <c r="N541" s="19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191"/>
      <c r="H542" s="191"/>
      <c r="I542" s="191"/>
      <c r="J542" s="191"/>
      <c r="K542" s="191"/>
      <c r="L542" s="191"/>
      <c r="M542" s="191"/>
      <c r="N542" s="19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191"/>
      <c r="H543" s="191"/>
      <c r="I543" s="191"/>
      <c r="J543" s="191"/>
      <c r="K543" s="191"/>
      <c r="L543" s="191"/>
      <c r="M543" s="191"/>
      <c r="N543" s="19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191"/>
      <c r="H544" s="191"/>
      <c r="I544" s="191"/>
      <c r="J544" s="191"/>
      <c r="K544" s="191"/>
      <c r="L544" s="191"/>
      <c r="M544" s="191"/>
      <c r="N544" s="19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191"/>
      <c r="H545" s="191"/>
      <c r="I545" s="191"/>
      <c r="J545" s="191"/>
      <c r="K545" s="191"/>
      <c r="L545" s="191"/>
      <c r="M545" s="191"/>
      <c r="N545" s="19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191"/>
      <c r="H546" s="191"/>
      <c r="I546" s="191"/>
      <c r="J546" s="191"/>
      <c r="K546" s="191"/>
      <c r="L546" s="191"/>
      <c r="M546" s="191"/>
      <c r="N546" s="19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191"/>
      <c r="H547" s="191"/>
      <c r="I547" s="191"/>
      <c r="J547" s="191"/>
      <c r="K547" s="191"/>
      <c r="L547" s="191"/>
      <c r="M547" s="191"/>
      <c r="N547" s="19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191"/>
      <c r="H548" s="191"/>
      <c r="I548" s="191"/>
      <c r="J548" s="191"/>
      <c r="K548" s="191"/>
      <c r="L548" s="191"/>
      <c r="M548" s="191"/>
      <c r="N548" s="19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191"/>
      <c r="H549" s="191"/>
      <c r="I549" s="191"/>
      <c r="J549" s="191"/>
      <c r="K549" s="191"/>
      <c r="L549" s="191"/>
      <c r="M549" s="191"/>
      <c r="N549" s="19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191"/>
      <c r="H550" s="191"/>
      <c r="I550" s="191"/>
      <c r="J550" s="191"/>
      <c r="K550" s="191"/>
      <c r="L550" s="191"/>
      <c r="M550" s="191"/>
      <c r="N550" s="19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191"/>
      <c r="H551" s="191"/>
      <c r="I551" s="191"/>
      <c r="J551" s="191"/>
      <c r="K551" s="191"/>
      <c r="L551" s="191"/>
      <c r="M551" s="191"/>
      <c r="N551" s="19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191"/>
      <c r="H552" s="191"/>
      <c r="I552" s="191"/>
      <c r="J552" s="191"/>
      <c r="K552" s="191"/>
      <c r="L552" s="191"/>
      <c r="M552" s="191"/>
      <c r="N552" s="19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191"/>
      <c r="H553" s="191"/>
      <c r="I553" s="191"/>
      <c r="J553" s="191"/>
      <c r="K553" s="191"/>
      <c r="L553" s="191"/>
      <c r="M553" s="191"/>
      <c r="N553" s="19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191"/>
      <c r="H554" s="191"/>
      <c r="I554" s="191"/>
      <c r="J554" s="191"/>
      <c r="K554" s="191"/>
      <c r="L554" s="191"/>
      <c r="M554" s="191"/>
      <c r="N554" s="19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191"/>
      <c r="H555" s="191"/>
      <c r="I555" s="191"/>
      <c r="J555" s="191"/>
      <c r="K555" s="191"/>
      <c r="L555" s="191"/>
      <c r="M555" s="191"/>
      <c r="N555" s="19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191"/>
      <c r="H556" s="191"/>
      <c r="I556" s="191"/>
      <c r="J556" s="191"/>
      <c r="K556" s="191"/>
      <c r="L556" s="191"/>
      <c r="M556" s="191"/>
      <c r="N556" s="19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191"/>
      <c r="H557" s="191"/>
      <c r="I557" s="191"/>
      <c r="J557" s="191"/>
      <c r="K557" s="191"/>
      <c r="L557" s="191"/>
      <c r="M557" s="191"/>
      <c r="N557" s="19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191"/>
      <c r="H558" s="191"/>
      <c r="I558" s="191"/>
      <c r="J558" s="191"/>
      <c r="K558" s="191"/>
      <c r="L558" s="191"/>
      <c r="M558" s="191"/>
      <c r="N558" s="19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191"/>
      <c r="H559" s="191"/>
      <c r="I559" s="191"/>
      <c r="J559" s="191"/>
      <c r="K559" s="191"/>
      <c r="L559" s="191"/>
      <c r="M559" s="191"/>
      <c r="N559" s="19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191"/>
      <c r="H560" s="191"/>
      <c r="I560" s="191"/>
      <c r="J560" s="191"/>
      <c r="K560" s="191"/>
      <c r="L560" s="191"/>
      <c r="M560" s="191"/>
      <c r="N560" s="19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191"/>
      <c r="H561" s="191"/>
      <c r="I561" s="191"/>
      <c r="J561" s="191"/>
      <c r="K561" s="191"/>
      <c r="L561" s="191"/>
      <c r="M561" s="191"/>
      <c r="N561" s="19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191"/>
      <c r="H562" s="191"/>
      <c r="I562" s="191"/>
      <c r="J562" s="191"/>
      <c r="K562" s="191"/>
      <c r="L562" s="191"/>
      <c r="M562" s="191"/>
      <c r="N562" s="19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191"/>
      <c r="H563" s="191"/>
      <c r="I563" s="191"/>
      <c r="J563" s="191"/>
      <c r="K563" s="191"/>
      <c r="L563" s="191"/>
      <c r="M563" s="191"/>
      <c r="N563" s="19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191"/>
      <c r="H564" s="191"/>
      <c r="I564" s="191"/>
      <c r="J564" s="191"/>
      <c r="K564" s="191"/>
      <c r="L564" s="191"/>
      <c r="M564" s="191"/>
      <c r="N564" s="19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9.5"/>
    <col customWidth="1" min="5" max="5" width="16.25"/>
    <col customWidth="1" min="6" max="6" width="7.63"/>
    <col customWidth="1" min="7" max="7" width="15.38"/>
    <col customWidth="1" min="8" max="8" width="10.75"/>
    <col customWidth="1" min="9" max="9" width="12.5"/>
    <col customWidth="1" min="10" max="11" width="10.75"/>
    <col customWidth="1" min="12" max="12" width="16.88"/>
    <col customWidth="1" min="13" max="13" width="19.38"/>
    <col customWidth="1" min="14" max="14" width="15.13"/>
    <col customWidth="1" min="15" max="15" width="20.88"/>
    <col customWidth="1" min="16" max="16" width="16.0"/>
    <col customWidth="1" min="24" max="24" width="16.63"/>
  </cols>
  <sheetData>
    <row r="1">
      <c r="A1" s="9"/>
      <c r="B1" s="204" t="s">
        <v>0</v>
      </c>
      <c r="C1" s="205">
        <f>AVERAGE(C98:C118)</f>
        <v>1364.695238</v>
      </c>
      <c r="D1" s="9"/>
      <c r="E1" s="204" t="s">
        <v>0</v>
      </c>
      <c r="F1" s="205">
        <f>AVERAGE(F98:F118)</f>
        <v>1924.652381</v>
      </c>
      <c r="G1" s="193">
        <f>STDEV(F74:F93)</f>
        <v>36.68096129</v>
      </c>
      <c r="H1" s="9"/>
      <c r="I1" s="9"/>
      <c r="J1" s="9"/>
      <c r="K1" s="9"/>
      <c r="L1" s="9"/>
      <c r="M1" s="206"/>
      <c r="N1" s="9"/>
      <c r="O1" s="9"/>
      <c r="P1" s="193" t="s">
        <v>1</v>
      </c>
      <c r="Q1" s="193" t="s">
        <v>2</v>
      </c>
      <c r="R1" s="193" t="s">
        <v>3</v>
      </c>
      <c r="S1" s="9"/>
      <c r="T1" s="7" t="s">
        <v>5</v>
      </c>
      <c r="U1" s="7" t="s">
        <v>189</v>
      </c>
      <c r="V1" s="7" t="s">
        <v>14</v>
      </c>
      <c r="W1" s="7" t="s">
        <v>11</v>
      </c>
      <c r="X1" s="13" t="s">
        <v>12</v>
      </c>
      <c r="Y1" s="14" t="s">
        <v>14</v>
      </c>
      <c r="Z1" s="9"/>
      <c r="AA1" s="9"/>
      <c r="AB1" s="9"/>
      <c r="AC1" s="9"/>
    </row>
    <row r="2">
      <c r="A2" s="9"/>
      <c r="B2" s="207" t="s">
        <v>20</v>
      </c>
      <c r="C2" s="208">
        <f>AVERAGE(C88:C118)</f>
        <v>1394.122581</v>
      </c>
      <c r="D2" s="9"/>
      <c r="E2" s="207" t="s">
        <v>20</v>
      </c>
      <c r="F2" s="208">
        <f>AVERAGE(F88:F118)</f>
        <v>1949.241935</v>
      </c>
      <c r="G2" s="206"/>
      <c r="H2" s="209"/>
      <c r="I2" s="209"/>
      <c r="J2" s="209"/>
      <c r="K2" s="209"/>
      <c r="L2" s="206"/>
      <c r="M2" s="193" t="s">
        <v>23</v>
      </c>
      <c r="N2" s="210">
        <f>CORREL(C88:C118,F88:F118)</f>
        <v>0.9122198035</v>
      </c>
      <c r="O2" s="193" t="s">
        <v>25</v>
      </c>
      <c r="P2" s="199">
        <f>AVERAGE(K88:K117)</f>
        <v>0.7155040717</v>
      </c>
      <c r="Q2" s="199">
        <f>MAX(K88:K117)</f>
        <v>0.7606485717</v>
      </c>
      <c r="R2" s="199">
        <f>MIN(K88:K116)</f>
        <v>0.6971422489</v>
      </c>
      <c r="S2" s="40">
        <f t="shared" ref="S2:S5" si="1">Q2-R2</f>
        <v>0.06350632277</v>
      </c>
      <c r="T2" s="1">
        <f>MATCH(MAX(K11:K116), K11:K116, 0)</f>
        <v>84</v>
      </c>
      <c r="U2" s="1">
        <f t="array" ref="U2">INDEX(C11:C116, MATCH(MAX(K11:K116), K11:K116, 0))</f>
        <v>1496.5</v>
      </c>
      <c r="V2" s="1">
        <f t="array" ref="V2">INDEX(F11:F116, MATCH(MAX(K11:K116), K11:K116, 0))</f>
        <v>1967.4</v>
      </c>
      <c r="W2" s="54">
        <f t="shared" ref="W2:W3" si="2">U2/V2</f>
        <v>0.7606485717</v>
      </c>
      <c r="X2" s="7" t="s">
        <v>2</v>
      </c>
      <c r="Y2" s="14">
        <v>2711.0</v>
      </c>
      <c r="Z2" s="9"/>
      <c r="AA2" s="9"/>
      <c r="AB2" s="9"/>
      <c r="AC2" s="9"/>
    </row>
    <row r="3">
      <c r="A3" s="193">
        <f>STDEV(C75:C93)</f>
        <v>30.03398562</v>
      </c>
      <c r="B3" s="211" t="s">
        <v>61</v>
      </c>
      <c r="C3" s="212">
        <f>max(C98:C118)</f>
        <v>1410.5</v>
      </c>
      <c r="D3" s="213">
        <f>C1+A3*2</f>
        <v>1424.763209</v>
      </c>
      <c r="E3" s="211" t="s">
        <v>61</v>
      </c>
      <c r="F3" s="212">
        <f>max(F98:F118)</f>
        <v>1980</v>
      </c>
      <c r="G3" s="213">
        <f>F1+G1*2</f>
        <v>1998.014304</v>
      </c>
      <c r="H3" s="209"/>
      <c r="I3" s="209"/>
      <c r="J3" s="209"/>
      <c r="K3" s="209"/>
      <c r="L3" s="206"/>
      <c r="M3" s="193" t="s">
        <v>64</v>
      </c>
      <c r="N3" s="210">
        <f>CORREL(C58:C118,F58:F118)</f>
        <v>0.7644792153</v>
      </c>
      <c r="O3" s="193" t="s">
        <v>67</v>
      </c>
      <c r="P3" s="199">
        <f>AVERAGE((K58:K117))</f>
        <v>0.7099397024</v>
      </c>
      <c r="Q3" s="199">
        <f>MAX(K58:K117)</f>
        <v>0.7606485717</v>
      </c>
      <c r="R3" s="199">
        <f>MIN(K58:K116)</f>
        <v>0.6649958613</v>
      </c>
      <c r="S3" s="40">
        <f t="shared" si="1"/>
        <v>0.09565271041</v>
      </c>
      <c r="T3" s="1">
        <f>MATCH(Min(K11:K116), K11:K116, 0)</f>
        <v>10</v>
      </c>
      <c r="U3" s="1">
        <f t="array" ref="U3">INDEX(C11:C116, MATCH(Min(K11:K116), K11:K116, 0))</f>
        <v>1430.5</v>
      </c>
      <c r="V3" s="1">
        <f t="array" ref="V3">INDEX(F11:F116, MATCH(MIN(K11:K116), K11:K116, 0))</f>
        <v>2272.2</v>
      </c>
      <c r="W3" s="54">
        <f t="shared" si="2"/>
        <v>0.6295660593</v>
      </c>
      <c r="X3" s="7" t="s">
        <v>3</v>
      </c>
      <c r="Y3" s="9"/>
      <c r="Z3" s="9"/>
      <c r="AA3" s="9"/>
      <c r="AB3" s="9"/>
      <c r="AC3" s="9"/>
    </row>
    <row r="4">
      <c r="A4" s="9"/>
      <c r="B4" s="211" t="s">
        <v>73</v>
      </c>
      <c r="C4" s="212">
        <f>MIN(C98:C118)</f>
        <v>1297.1</v>
      </c>
      <c r="D4" s="213">
        <f>C1-A3*2</f>
        <v>1304.627267</v>
      </c>
      <c r="E4" s="211" t="s">
        <v>73</v>
      </c>
      <c r="F4" s="212">
        <f>MIN(F98:F118)</f>
        <v>1836</v>
      </c>
      <c r="G4" s="213">
        <f>F1-G1*2</f>
        <v>1851.290458</v>
      </c>
      <c r="H4" s="209"/>
      <c r="I4" s="209"/>
      <c r="J4" s="209"/>
      <c r="K4" s="209"/>
      <c r="L4" s="206"/>
      <c r="M4" s="193" t="s">
        <v>77</v>
      </c>
      <c r="N4" s="210">
        <f>CORREL(C28:C118,F28:F118)</f>
        <v>0.4360402606</v>
      </c>
      <c r="O4" s="193" t="s">
        <v>79</v>
      </c>
      <c r="P4" s="199">
        <f>AVERAGE(K28:K117)</f>
        <v>0.6917712625</v>
      </c>
      <c r="Q4" s="199">
        <f>MAX(K28:K117)</f>
        <v>0.7606485717</v>
      </c>
      <c r="R4" s="199">
        <f>MIN(K28:K116)</f>
        <v>0.6312373225</v>
      </c>
      <c r="S4" s="40">
        <f t="shared" si="1"/>
        <v>0.1294112492</v>
      </c>
      <c r="T4" s="1"/>
      <c r="U4" s="1"/>
      <c r="V4" s="1"/>
      <c r="W4" s="54"/>
      <c r="X4" s="1"/>
      <c r="Y4" s="9"/>
      <c r="Z4" s="9"/>
      <c r="AA4" s="9"/>
      <c r="AB4" s="9"/>
      <c r="AC4" s="9"/>
    </row>
    <row r="5">
      <c r="A5" s="9"/>
      <c r="B5" s="211" t="s">
        <v>81</v>
      </c>
      <c r="C5" s="212">
        <f>max(C108:C118)</f>
        <v>1387.2</v>
      </c>
      <c r="D5" s="213">
        <f>C1+A3</f>
        <v>1394.729224</v>
      </c>
      <c r="E5" s="211" t="s">
        <v>81</v>
      </c>
      <c r="F5" s="212">
        <f>max(F108:F118)</f>
        <v>1950</v>
      </c>
      <c r="G5" s="213">
        <f>F1+G1</f>
        <v>1961.333342</v>
      </c>
      <c r="H5" s="9"/>
      <c r="I5" s="9"/>
      <c r="J5" s="9"/>
      <c r="K5" s="9"/>
      <c r="L5" s="9"/>
      <c r="M5" s="193" t="s">
        <v>82</v>
      </c>
      <c r="N5" s="210">
        <f>CORREL(C11:C118,F11:F118)</f>
        <v>0.4477847838</v>
      </c>
      <c r="O5" s="193" t="s">
        <v>83</v>
      </c>
      <c r="P5" s="199">
        <f>AVERAGE(K11:K117)</f>
        <v>0.6839509671</v>
      </c>
      <c r="Q5" s="199">
        <f>MAX(K11:K117)</f>
        <v>0.7606485717</v>
      </c>
      <c r="R5" s="199">
        <f>MIN(K11:K116)</f>
        <v>0.6295660593</v>
      </c>
      <c r="S5" s="40">
        <f t="shared" si="1"/>
        <v>0.1310825124</v>
      </c>
      <c r="T5" s="96" t="s">
        <v>189</v>
      </c>
      <c r="U5" s="96">
        <v>2.0</v>
      </c>
      <c r="V5" s="99">
        <f>U2*U7*U5</f>
        <v>598600</v>
      </c>
      <c r="W5" s="109">
        <f>V2*U6*U8</f>
        <v>590220</v>
      </c>
      <c r="X5" s="99"/>
      <c r="Y5" s="9"/>
      <c r="Z5" s="9"/>
      <c r="AA5" s="9"/>
      <c r="AB5" s="9"/>
      <c r="AC5" s="9"/>
    </row>
    <row r="6">
      <c r="A6" s="9"/>
      <c r="B6" s="211" t="s">
        <v>87</v>
      </c>
      <c r="C6" s="212">
        <f>MIN(C108:C118)</f>
        <v>1297.1</v>
      </c>
      <c r="D6" s="213">
        <f>C1-A3</f>
        <v>1334.661252</v>
      </c>
      <c r="E6" s="211" t="s">
        <v>87</v>
      </c>
      <c r="F6" s="212">
        <f>MIN(F108:F118)</f>
        <v>1836</v>
      </c>
      <c r="G6" s="213">
        <f>F1-G1</f>
        <v>1887.97142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6" t="s">
        <v>14</v>
      </c>
      <c r="U6" s="96">
        <v>1.0</v>
      </c>
      <c r="V6" s="99">
        <f>U3*U5*U7</f>
        <v>572200</v>
      </c>
      <c r="W6" s="99">
        <f>V3*U6*U8</f>
        <v>681660</v>
      </c>
      <c r="X6" s="99"/>
      <c r="Y6" s="9"/>
      <c r="Z6" s="9"/>
      <c r="AA6" s="9"/>
      <c r="AB6" s="9"/>
      <c r="AC6" s="9"/>
    </row>
    <row r="7">
      <c r="A7" s="9"/>
      <c r="B7" s="214" t="s">
        <v>88</v>
      </c>
      <c r="C7" s="193">
        <f>max(C88:C118)</f>
        <v>1496.5</v>
      </c>
      <c r="D7" s="9"/>
      <c r="E7" s="214" t="s">
        <v>88</v>
      </c>
      <c r="F7" s="193">
        <f>max(F88:F118)</f>
        <v>2030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7" t="s">
        <v>189</v>
      </c>
      <c r="U7" s="7">
        <v>200.0</v>
      </c>
      <c r="V7" s="1"/>
      <c r="W7" s="1"/>
      <c r="X7" s="1"/>
      <c r="Y7" s="9"/>
      <c r="Z7" s="9"/>
      <c r="AA7" s="9"/>
      <c r="AB7" s="9"/>
      <c r="AC7" s="9"/>
    </row>
    <row r="8">
      <c r="A8" s="9"/>
      <c r="B8" s="211" t="s">
        <v>90</v>
      </c>
      <c r="C8" s="215">
        <f>AVERAGE(C98:C118)</f>
        <v>1364.695238</v>
      </c>
      <c r="D8" s="9"/>
      <c r="E8" s="211" t="s">
        <v>90</v>
      </c>
      <c r="F8" s="215">
        <f>AVERAGE(F98:F118)</f>
        <v>1924.652381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7" t="s">
        <v>14</v>
      </c>
      <c r="U8" s="7">
        <v>300.0</v>
      </c>
      <c r="V8" s="1"/>
      <c r="W8" s="1"/>
      <c r="X8" s="1"/>
      <c r="Y8" s="9"/>
      <c r="Z8" s="9"/>
      <c r="AA8" s="9"/>
      <c r="AB8" s="9"/>
      <c r="AC8" s="9"/>
    </row>
    <row r="9">
      <c r="A9" s="9"/>
      <c r="B9" s="216" t="s">
        <v>190</v>
      </c>
      <c r="C9" s="9"/>
      <c r="D9" s="9"/>
      <c r="E9" s="216" t="s">
        <v>127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"/>
      <c r="U9" s="1"/>
      <c r="V9" s="1"/>
      <c r="W9" s="1"/>
      <c r="X9" s="1"/>
      <c r="Y9" s="9"/>
      <c r="Z9" s="9"/>
      <c r="AA9" s="9"/>
      <c r="AB9" s="9"/>
      <c r="AC9" s="9"/>
    </row>
    <row r="10">
      <c r="A10" s="9"/>
      <c r="B10" s="193" t="str">
        <f>IFERROR(__xludf.DUMMYFUNCTION("GOOGLEFINANCE(B9,""price"",TODAY()-166,TODAY())"),"Date")</f>
        <v>Date</v>
      </c>
      <c r="C10" s="193" t="str">
        <f>IFERROR(__xludf.DUMMYFUNCTION("""COMPUTED_VALUE"""),"Close")</f>
        <v>Close</v>
      </c>
      <c r="D10" s="9"/>
      <c r="E10" s="193" t="str">
        <f>IFERROR(__xludf.DUMMYFUNCTION("GOOGLEFINANCE(E9,""price"",TODAY()-166,TODAY())"),"Date")</f>
        <v>Date</v>
      </c>
      <c r="F10" s="193" t="str">
        <f>IFERROR(__xludf.DUMMYFUNCTION("""COMPUTED_VALUE"""),"Close")</f>
        <v>Close</v>
      </c>
      <c r="G10" s="9"/>
      <c r="H10" s="7" t="s">
        <v>92</v>
      </c>
      <c r="I10" s="7" t="s">
        <v>93</v>
      </c>
      <c r="J10" s="7" t="s">
        <v>94</v>
      </c>
      <c r="K10" s="193" t="s">
        <v>92</v>
      </c>
      <c r="L10" s="110" t="s">
        <v>191</v>
      </c>
      <c r="M10" s="110" t="s">
        <v>192</v>
      </c>
      <c r="N10" s="110" t="s">
        <v>193</v>
      </c>
      <c r="O10" s="110" t="s">
        <v>194</v>
      </c>
      <c r="P10" s="214" t="s">
        <v>99</v>
      </c>
      <c r="Q10" s="9"/>
      <c r="R10" s="9"/>
      <c r="S10" s="9"/>
      <c r="T10" s="1"/>
      <c r="U10" s="1"/>
      <c r="V10" s="1"/>
      <c r="W10" s="1"/>
      <c r="X10" s="1"/>
      <c r="Y10" s="110" t="s">
        <v>1</v>
      </c>
      <c r="Z10" s="111" t="s">
        <v>195</v>
      </c>
      <c r="AA10" s="111" t="s">
        <v>196</v>
      </c>
      <c r="AB10" s="9"/>
      <c r="AC10" s="9"/>
    </row>
    <row r="11">
      <c r="A11" s="9"/>
      <c r="B11" s="217">
        <f>IFERROR(__xludf.DUMMYFUNCTION("""COMPUTED_VALUE"""),46146.64583333333)</f>
        <v>46146.64583</v>
      </c>
      <c r="C11" s="193">
        <f>IFERROR(__xludf.DUMMYFUNCTION("""COMPUTED_VALUE"""),1457.1)</f>
        <v>1457.1</v>
      </c>
      <c r="D11" s="9"/>
      <c r="E11" s="217">
        <f>IFERROR(__xludf.DUMMYFUNCTION("""COMPUTED_VALUE"""),46146.64583333333)</f>
        <v>46146.64583</v>
      </c>
      <c r="F11" s="193">
        <f>IFERROR(__xludf.DUMMYFUNCTION("""COMPUTED_VALUE"""),2309.3)</f>
        <v>2309.3</v>
      </c>
      <c r="G11" s="9"/>
      <c r="H11" s="29">
        <f t="shared" ref="H11:H123" si="3">C11/F11</f>
        <v>0.6309704239</v>
      </c>
      <c r="I11" s="1">
        <f t="shared" ref="I11:I122" si="4">C11-F11</f>
        <v>-852.2</v>
      </c>
      <c r="J11" s="113">
        <f t="shared" ref="J11:J122" si="5">((I11-$I$129)/$I$130)</f>
        <v>-1.812576826</v>
      </c>
      <c r="K11" s="199">
        <f t="shared" ref="K11:K116" si="6">C11/F11</f>
        <v>0.6309704239</v>
      </c>
      <c r="L11" s="9"/>
      <c r="M11" s="9"/>
      <c r="N11" s="9"/>
      <c r="O11" s="9"/>
      <c r="P11" s="9"/>
      <c r="Q11" s="9"/>
      <c r="R11" s="9"/>
      <c r="S11" s="9"/>
      <c r="T11" s="1"/>
      <c r="U11" s="1"/>
      <c r="V11" s="1">
        <f>V5-V6</f>
        <v>26400</v>
      </c>
      <c r="W11" s="120">
        <f>W6-W5</f>
        <v>91440</v>
      </c>
      <c r="X11" s="109">
        <f>V11+W11</f>
        <v>117840</v>
      </c>
      <c r="Y11" s="110" t="s">
        <v>101</v>
      </c>
      <c r="Z11" s="115">
        <f>AVERAGE(C88,C118)</f>
        <v>1409.25</v>
      </c>
      <c r="AA11" s="115">
        <f>AVERAGE(F88,F118)</f>
        <v>1955.1</v>
      </c>
      <c r="AB11" s="9"/>
      <c r="AC11" s="9"/>
    </row>
    <row r="12">
      <c r="A12" s="9"/>
      <c r="B12" s="217">
        <f>IFERROR(__xludf.DUMMYFUNCTION("""COMPUTED_VALUE"""),46147.64583333333)</f>
        <v>46147.64583</v>
      </c>
      <c r="C12" s="193">
        <f>IFERROR(__xludf.DUMMYFUNCTION("""COMPUTED_VALUE"""),1477.8)</f>
        <v>1477.8</v>
      </c>
      <c r="D12" s="9"/>
      <c r="E12" s="217">
        <f>IFERROR(__xludf.DUMMYFUNCTION("""COMPUTED_VALUE"""),46147.64583333333)</f>
        <v>46147.64583</v>
      </c>
      <c r="F12" s="193">
        <f>IFERROR(__xludf.DUMMYFUNCTION("""COMPUTED_VALUE"""),2327.4)</f>
        <v>2327.4</v>
      </c>
      <c r="G12" s="9"/>
      <c r="H12" s="29">
        <f t="shared" si="3"/>
        <v>0.6349574633</v>
      </c>
      <c r="I12" s="1">
        <f t="shared" si="4"/>
        <v>-849.6</v>
      </c>
      <c r="J12" s="113">
        <f t="shared" si="5"/>
        <v>-1.787310292</v>
      </c>
      <c r="K12" s="199">
        <f t="shared" si="6"/>
        <v>0.6349574633</v>
      </c>
      <c r="L12" s="9"/>
      <c r="M12" s="9"/>
      <c r="N12" s="9"/>
      <c r="O12" s="9"/>
      <c r="P12" s="9"/>
      <c r="Q12" s="9"/>
      <c r="R12" s="9"/>
      <c r="S12" s="9"/>
      <c r="T12" s="7" t="s">
        <v>103</v>
      </c>
      <c r="U12" s="116">
        <f>S2/3</f>
        <v>0.02116877426</v>
      </c>
      <c r="V12" s="1"/>
      <c r="W12" s="1"/>
      <c r="X12" s="1"/>
      <c r="Y12" s="110" t="s">
        <v>104</v>
      </c>
      <c r="Z12" s="115">
        <f>AVERAGE(C58,C118)</f>
        <v>1398.3</v>
      </c>
      <c r="AA12" s="115">
        <f>AVERAGE(F58,F118)</f>
        <v>2022.9</v>
      </c>
      <c r="AB12" s="9"/>
      <c r="AC12" s="9"/>
    </row>
    <row r="13">
      <c r="A13" s="9"/>
      <c r="B13" s="217">
        <f>IFERROR(__xludf.DUMMYFUNCTION("""COMPUTED_VALUE"""),46148.64583333333)</f>
        <v>46148.64583</v>
      </c>
      <c r="C13" s="193">
        <f>IFERROR(__xludf.DUMMYFUNCTION("""COMPUTED_VALUE"""),1486.1)</f>
        <v>1486.1</v>
      </c>
      <c r="D13" s="9"/>
      <c r="E13" s="217">
        <f>IFERROR(__xludf.DUMMYFUNCTION("""COMPUTED_VALUE"""),46148.64583333333)</f>
        <v>46148.64583</v>
      </c>
      <c r="F13" s="193">
        <f>IFERROR(__xludf.DUMMYFUNCTION("""COMPUTED_VALUE"""),2317.1)</f>
        <v>2317.1</v>
      </c>
      <c r="G13" s="9"/>
      <c r="H13" s="29">
        <f t="shared" si="3"/>
        <v>0.6413620474</v>
      </c>
      <c r="I13" s="1">
        <f t="shared" si="4"/>
        <v>-831</v>
      </c>
      <c r="J13" s="113">
        <f t="shared" si="5"/>
        <v>-1.606557401</v>
      </c>
      <c r="K13" s="199">
        <f t="shared" si="6"/>
        <v>0.6413620474</v>
      </c>
      <c r="L13" s="9"/>
      <c r="M13" s="9"/>
      <c r="N13" s="9"/>
      <c r="O13" s="209"/>
      <c r="P13" s="9"/>
      <c r="Q13" s="9"/>
      <c r="R13" s="9"/>
      <c r="S13" s="9"/>
      <c r="T13" s="117"/>
      <c r="U13" s="118">
        <f>(X11*U12)/S2</f>
        <v>39280</v>
      </c>
      <c r="V13" s="117"/>
      <c r="W13" s="117"/>
      <c r="X13" s="119">
        <f>X11/(R2/U12)</f>
        <v>3578.220029</v>
      </c>
      <c r="Y13" s="110" t="s">
        <v>105</v>
      </c>
      <c r="Z13" s="115">
        <f>AVERAGE(C28,C118)</f>
        <v>1384.45</v>
      </c>
      <c r="AA13" s="115">
        <f>AVERAGE(F28,F118)</f>
        <v>2046.8</v>
      </c>
      <c r="AB13" s="9"/>
      <c r="AC13" s="9"/>
    </row>
    <row r="14">
      <c r="A14" s="9"/>
      <c r="B14" s="217">
        <f>IFERROR(__xludf.DUMMYFUNCTION("""COMPUTED_VALUE"""),46149.64583333333)</f>
        <v>46149.64583</v>
      </c>
      <c r="C14" s="193">
        <f>IFERROR(__xludf.DUMMYFUNCTION("""COMPUTED_VALUE"""),1476.0)</f>
        <v>1476</v>
      </c>
      <c r="D14" s="9"/>
      <c r="E14" s="217">
        <f>IFERROR(__xludf.DUMMYFUNCTION("""COMPUTED_VALUE"""),46149.64583333333)</f>
        <v>46149.64583</v>
      </c>
      <c r="F14" s="193">
        <f>IFERROR(__xludf.DUMMYFUNCTION("""COMPUTED_VALUE"""),2272.2)</f>
        <v>2272.2</v>
      </c>
      <c r="G14" s="9"/>
      <c r="H14" s="29">
        <f t="shared" si="3"/>
        <v>0.649590705</v>
      </c>
      <c r="I14" s="1">
        <f t="shared" si="4"/>
        <v>-796.2</v>
      </c>
      <c r="J14" s="113">
        <f t="shared" si="5"/>
        <v>-1.268374571</v>
      </c>
      <c r="K14" s="199">
        <f t="shared" si="6"/>
        <v>0.649590705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9"/>
      <c r="B15" s="217">
        <f>IFERROR(__xludf.DUMMYFUNCTION("""COMPUTED_VALUE"""),46150.64583333333)</f>
        <v>46150.64583</v>
      </c>
      <c r="C15" s="193">
        <f>IFERROR(__xludf.DUMMYFUNCTION("""COMPUTED_VALUE"""),1482.4)</f>
        <v>1482.4</v>
      </c>
      <c r="D15" s="9"/>
      <c r="E15" s="217">
        <f>IFERROR(__xludf.DUMMYFUNCTION("""COMPUTED_VALUE"""),46150.64583333333)</f>
        <v>46150.64583</v>
      </c>
      <c r="F15" s="193">
        <f>IFERROR(__xludf.DUMMYFUNCTION("""COMPUTED_VALUE"""),2287.7)</f>
        <v>2287.7</v>
      </c>
      <c r="G15" s="9"/>
      <c r="H15" s="29">
        <f t="shared" si="3"/>
        <v>0.6479870612</v>
      </c>
      <c r="I15" s="1">
        <f t="shared" si="4"/>
        <v>-805.3</v>
      </c>
      <c r="J15" s="113">
        <f t="shared" si="5"/>
        <v>-1.356807437</v>
      </c>
      <c r="K15" s="199">
        <f t="shared" si="6"/>
        <v>0.6479870612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217">
        <f>IFERROR(__xludf.DUMMYFUNCTION("""COMPUTED_VALUE"""),46153.64583333333)</f>
        <v>46153.64583</v>
      </c>
      <c r="C16" s="193">
        <f>IFERROR(__xludf.DUMMYFUNCTION("""COMPUTED_VALUE"""),1481.9)</f>
        <v>1481.9</v>
      </c>
      <c r="D16" s="9"/>
      <c r="E16" s="217">
        <f>IFERROR(__xludf.DUMMYFUNCTION("""COMPUTED_VALUE"""),46153.64583333333)</f>
        <v>46153.64583</v>
      </c>
      <c r="F16" s="193">
        <f>IFERROR(__xludf.DUMMYFUNCTION("""COMPUTED_VALUE"""),2307.2)</f>
        <v>2307.2</v>
      </c>
      <c r="G16" s="9"/>
      <c r="H16" s="29">
        <f t="shared" si="3"/>
        <v>0.6422936893</v>
      </c>
      <c r="I16" s="1">
        <f t="shared" si="4"/>
        <v>-825.3</v>
      </c>
      <c r="J16" s="113">
        <f t="shared" si="5"/>
        <v>-1.551165385</v>
      </c>
      <c r="K16" s="199">
        <f t="shared" si="6"/>
        <v>0.6422936893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217">
        <f>IFERROR(__xludf.DUMMYFUNCTION("""COMPUTED_VALUE"""),46154.64583333333)</f>
        <v>46154.64583</v>
      </c>
      <c r="C17" s="193">
        <f>IFERROR(__xludf.DUMMYFUNCTION("""COMPUTED_VALUE"""),1468.6)</f>
        <v>1468.6</v>
      </c>
      <c r="D17" s="9"/>
      <c r="E17" s="217">
        <f>IFERROR(__xludf.DUMMYFUNCTION("""COMPUTED_VALUE"""),46154.64583333333)</f>
        <v>46154.64583</v>
      </c>
      <c r="F17" s="193">
        <f>IFERROR(__xludf.DUMMYFUNCTION("""COMPUTED_VALUE"""),2262.0)</f>
        <v>2262</v>
      </c>
      <c r="G17" s="9"/>
      <c r="H17" s="29">
        <f t="shared" si="3"/>
        <v>0.6492484527</v>
      </c>
      <c r="I17" s="1">
        <f t="shared" si="4"/>
        <v>-793.4</v>
      </c>
      <c r="J17" s="113">
        <f t="shared" si="5"/>
        <v>-1.241164458</v>
      </c>
      <c r="K17" s="199">
        <f t="shared" si="6"/>
        <v>0.6492484527</v>
      </c>
      <c r="L17" s="9"/>
      <c r="M17" s="9"/>
      <c r="N17" s="9"/>
      <c r="O17" s="9"/>
      <c r="P17" s="9"/>
      <c r="Q17" s="9"/>
      <c r="R17" s="9"/>
      <c r="S17" s="9"/>
      <c r="T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217">
        <f>IFERROR(__xludf.DUMMYFUNCTION("""COMPUTED_VALUE"""),46155.64583333333)</f>
        <v>46155.64583</v>
      </c>
      <c r="C18" s="193">
        <f>IFERROR(__xludf.DUMMYFUNCTION("""COMPUTED_VALUE"""),1468.9)</f>
        <v>1468.9</v>
      </c>
      <c r="D18" s="9"/>
      <c r="E18" s="217">
        <f>IFERROR(__xludf.DUMMYFUNCTION("""COMPUTED_VALUE"""),46155.64583333333)</f>
        <v>46155.64583</v>
      </c>
      <c r="F18" s="193">
        <f>IFERROR(__xludf.DUMMYFUNCTION("""COMPUTED_VALUE"""),2267.3)</f>
        <v>2267.3</v>
      </c>
      <c r="G18" s="9"/>
      <c r="H18" s="29">
        <f t="shared" si="3"/>
        <v>0.6478630971</v>
      </c>
      <c r="I18" s="1">
        <f t="shared" si="4"/>
        <v>-798.4</v>
      </c>
      <c r="J18" s="113">
        <f t="shared" si="5"/>
        <v>-1.289753945</v>
      </c>
      <c r="K18" s="199">
        <f t="shared" si="6"/>
        <v>0.6478630971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217">
        <f>IFERROR(__xludf.DUMMYFUNCTION("""COMPUTED_VALUE"""),46156.64583333333)</f>
        <v>46156.64583</v>
      </c>
      <c r="C19" s="193">
        <f>IFERROR(__xludf.DUMMYFUNCTION("""COMPUTED_VALUE"""),1459.6)</f>
        <v>1459.6</v>
      </c>
      <c r="D19" s="9"/>
      <c r="E19" s="217">
        <f>IFERROR(__xludf.DUMMYFUNCTION("""COMPUTED_VALUE"""),46156.64583333333)</f>
        <v>46156.64583</v>
      </c>
      <c r="F19" s="193">
        <f>IFERROR(__xludf.DUMMYFUNCTION("""COMPUTED_VALUE"""),2248.7)</f>
        <v>2248.7</v>
      </c>
      <c r="G19" s="9"/>
      <c r="H19" s="29">
        <f t="shared" si="3"/>
        <v>0.6490861387</v>
      </c>
      <c r="I19" s="1">
        <f t="shared" si="4"/>
        <v>-789.1</v>
      </c>
      <c r="J19" s="113">
        <f t="shared" si="5"/>
        <v>-1.199377499</v>
      </c>
      <c r="K19" s="199">
        <f t="shared" si="6"/>
        <v>0.6490861387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217">
        <f>IFERROR(__xludf.DUMMYFUNCTION("""COMPUTED_VALUE"""),46157.64583333333)</f>
        <v>46157.64583</v>
      </c>
      <c r="C20" s="193">
        <f>IFERROR(__xludf.DUMMYFUNCTION("""COMPUTED_VALUE"""),1430.5)</f>
        <v>1430.5</v>
      </c>
      <c r="D20" s="9"/>
      <c r="E20" s="217">
        <f>IFERROR(__xludf.DUMMYFUNCTION("""COMPUTED_VALUE"""),46157.64583333333)</f>
        <v>46157.64583</v>
      </c>
      <c r="F20" s="193">
        <f>IFERROR(__xludf.DUMMYFUNCTION("""COMPUTED_VALUE"""),2272.2)</f>
        <v>2272.2</v>
      </c>
      <c r="G20" s="9"/>
      <c r="H20" s="29">
        <f t="shared" si="3"/>
        <v>0.6295660593</v>
      </c>
      <c r="I20" s="1">
        <f t="shared" si="4"/>
        <v>-841.7</v>
      </c>
      <c r="J20" s="113">
        <f t="shared" si="5"/>
        <v>-1.710538903</v>
      </c>
      <c r="K20" s="199">
        <f t="shared" si="6"/>
        <v>0.6295660593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217">
        <f>IFERROR(__xludf.DUMMYFUNCTION("""COMPUTED_VALUE"""),46160.64583333333)</f>
        <v>46160.64583</v>
      </c>
      <c r="C21" s="193">
        <f>IFERROR(__xludf.DUMMYFUNCTION("""COMPUTED_VALUE"""),1431.7)</f>
        <v>1431.7</v>
      </c>
      <c r="D21" s="9"/>
      <c r="E21" s="217">
        <f>IFERROR(__xludf.DUMMYFUNCTION("""COMPUTED_VALUE"""),46160.64583333333)</f>
        <v>46160.64583</v>
      </c>
      <c r="F21" s="193">
        <f>IFERROR(__xludf.DUMMYFUNCTION("""COMPUTED_VALUE"""),2254.2)</f>
        <v>2254.2</v>
      </c>
      <c r="G21" s="9"/>
      <c r="H21" s="29">
        <f t="shared" si="3"/>
        <v>0.6351255434</v>
      </c>
      <c r="I21" s="1">
        <f t="shared" si="4"/>
        <v>-822.5</v>
      </c>
      <c r="J21" s="113">
        <f t="shared" si="5"/>
        <v>-1.523955273</v>
      </c>
      <c r="K21" s="199">
        <f t="shared" si="6"/>
        <v>0.6351255434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217">
        <f>IFERROR(__xludf.DUMMYFUNCTION("""COMPUTED_VALUE"""),46161.64583333333)</f>
        <v>46161.64583</v>
      </c>
      <c r="C22" s="193">
        <f>IFERROR(__xludf.DUMMYFUNCTION("""COMPUTED_VALUE"""),1431.4)</f>
        <v>1431.4</v>
      </c>
      <c r="D22" s="9"/>
      <c r="E22" s="217">
        <f>IFERROR(__xludf.DUMMYFUNCTION("""COMPUTED_VALUE"""),46161.64583333333)</f>
        <v>46161.64583</v>
      </c>
      <c r="F22" s="193">
        <f>IFERROR(__xludf.DUMMYFUNCTION("""COMPUTED_VALUE"""),2232.9)</f>
        <v>2232.9</v>
      </c>
      <c r="G22" s="9"/>
      <c r="H22" s="29">
        <f t="shared" si="3"/>
        <v>0.6410497559</v>
      </c>
      <c r="I22" s="1">
        <f t="shared" si="4"/>
        <v>-801.5</v>
      </c>
      <c r="J22" s="113">
        <f t="shared" si="5"/>
        <v>-1.319879427</v>
      </c>
      <c r="K22" s="199">
        <f t="shared" si="6"/>
        <v>0.6410497559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217">
        <f>IFERROR(__xludf.DUMMYFUNCTION("""COMPUTED_VALUE"""),46162.64583333333)</f>
        <v>46162.64583</v>
      </c>
      <c r="C23" s="193">
        <f>IFERROR(__xludf.DUMMYFUNCTION("""COMPUTED_VALUE"""),1420.1)</f>
        <v>1420.1</v>
      </c>
      <c r="D23" s="9"/>
      <c r="E23" s="217">
        <f>IFERROR(__xludf.DUMMYFUNCTION("""COMPUTED_VALUE"""),46162.64583333333)</f>
        <v>46162.64583</v>
      </c>
      <c r="F23" s="193">
        <f>IFERROR(__xludf.DUMMYFUNCTION("""COMPUTED_VALUE"""),2209.3)</f>
        <v>2209.3</v>
      </c>
      <c r="G23" s="9"/>
      <c r="H23" s="29">
        <f t="shared" si="3"/>
        <v>0.6427827819</v>
      </c>
      <c r="I23" s="1">
        <f t="shared" si="4"/>
        <v>-789.2</v>
      </c>
      <c r="J23" s="113">
        <f t="shared" si="5"/>
        <v>-1.200349289</v>
      </c>
      <c r="K23" s="199">
        <f t="shared" si="6"/>
        <v>0.6427827819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217">
        <f>IFERROR(__xludf.DUMMYFUNCTION("""COMPUTED_VALUE"""),46163.64583333333)</f>
        <v>46163.64583</v>
      </c>
      <c r="C24" s="193">
        <f>IFERROR(__xludf.DUMMYFUNCTION("""COMPUTED_VALUE"""),1406.5)</f>
        <v>1406.5</v>
      </c>
      <c r="D24" s="9"/>
      <c r="E24" s="217">
        <f>IFERROR(__xludf.DUMMYFUNCTION("""COMPUTED_VALUE"""),46163.64583333333)</f>
        <v>46163.64583</v>
      </c>
      <c r="F24" s="193">
        <f>IFERROR(__xludf.DUMMYFUNCTION("""COMPUTED_VALUE"""),2179.0)</f>
        <v>2179</v>
      </c>
      <c r="G24" s="9"/>
      <c r="H24" s="29">
        <f t="shared" si="3"/>
        <v>0.6454795778</v>
      </c>
      <c r="I24" s="1">
        <f t="shared" si="4"/>
        <v>-772.5</v>
      </c>
      <c r="J24" s="113">
        <f t="shared" si="5"/>
        <v>-1.038060402</v>
      </c>
      <c r="K24" s="199">
        <f t="shared" si="6"/>
        <v>0.6454795778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217">
        <f>IFERROR(__xludf.DUMMYFUNCTION("""COMPUTED_VALUE"""),46164.64583333333)</f>
        <v>46164.64583</v>
      </c>
      <c r="C25" s="193">
        <f>IFERROR(__xludf.DUMMYFUNCTION("""COMPUTED_VALUE"""),1423.1)</f>
        <v>1423.1</v>
      </c>
      <c r="D25" s="9"/>
      <c r="E25" s="217">
        <f>IFERROR(__xludf.DUMMYFUNCTION("""COMPUTED_VALUE"""),46164.64583333333)</f>
        <v>46164.64583</v>
      </c>
      <c r="F25" s="193">
        <f>IFERROR(__xludf.DUMMYFUNCTION("""COMPUTED_VALUE"""),2203.6)</f>
        <v>2203.6</v>
      </c>
      <c r="G25" s="9"/>
      <c r="H25" s="29">
        <f t="shared" si="3"/>
        <v>0.6458068615</v>
      </c>
      <c r="I25" s="1">
        <f t="shared" si="4"/>
        <v>-780.5</v>
      </c>
      <c r="J25" s="113">
        <f t="shared" si="5"/>
        <v>-1.115803582</v>
      </c>
      <c r="K25" s="199">
        <f t="shared" si="6"/>
        <v>0.6458068615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217">
        <f>IFERROR(__xludf.DUMMYFUNCTION("""COMPUTED_VALUE"""),46167.64583333333)</f>
        <v>46167.64583</v>
      </c>
      <c r="C26" s="193">
        <f>IFERROR(__xludf.DUMMYFUNCTION("""COMPUTED_VALUE"""),1413.6)</f>
        <v>1413.6</v>
      </c>
      <c r="D26" s="9"/>
      <c r="E26" s="217">
        <f>IFERROR(__xludf.DUMMYFUNCTION("""COMPUTED_VALUE"""),46167.64583333333)</f>
        <v>46167.64583</v>
      </c>
      <c r="F26" s="193">
        <f>IFERROR(__xludf.DUMMYFUNCTION("""COMPUTED_VALUE"""),2196.5)</f>
        <v>2196.5</v>
      </c>
      <c r="G26" s="9"/>
      <c r="H26" s="29">
        <f t="shared" si="3"/>
        <v>0.6435693148</v>
      </c>
      <c r="I26" s="1">
        <f t="shared" si="4"/>
        <v>-782.9</v>
      </c>
      <c r="J26" s="113">
        <f t="shared" si="5"/>
        <v>-1.139126535</v>
      </c>
      <c r="K26" s="199">
        <f t="shared" si="6"/>
        <v>0.6435693148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217">
        <f>IFERROR(__xludf.DUMMYFUNCTION("""COMPUTED_VALUE"""),46168.64583333333)</f>
        <v>46168.64583</v>
      </c>
      <c r="C27" s="193">
        <f>IFERROR(__xludf.DUMMYFUNCTION("""COMPUTED_VALUE"""),1428.6)</f>
        <v>1428.6</v>
      </c>
      <c r="D27" s="9"/>
      <c r="E27" s="217">
        <f>IFERROR(__xludf.DUMMYFUNCTION("""COMPUTED_VALUE"""),46168.64583333333)</f>
        <v>46168.64583</v>
      </c>
      <c r="F27" s="193">
        <f>IFERROR(__xludf.DUMMYFUNCTION("""COMPUTED_VALUE"""),2209.4)</f>
        <v>2209.4</v>
      </c>
      <c r="G27" s="9"/>
      <c r="H27" s="29">
        <f t="shared" si="3"/>
        <v>0.6466008871</v>
      </c>
      <c r="I27" s="1">
        <f t="shared" si="4"/>
        <v>-780.8</v>
      </c>
      <c r="J27" s="113">
        <f t="shared" si="5"/>
        <v>-1.118718951</v>
      </c>
      <c r="K27" s="199">
        <f t="shared" si="6"/>
        <v>0.6466008871</v>
      </c>
      <c r="L27" s="9"/>
      <c r="M27" s="9"/>
      <c r="N27" s="9"/>
      <c r="O27" s="9"/>
      <c r="P27" s="9"/>
      <c r="Q27" s="9"/>
      <c r="R27" s="212" t="s">
        <v>112</v>
      </c>
      <c r="S27" s="229">
        <f>AVERAGE(K88:K118)</f>
        <v>0.7145011421</v>
      </c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217">
        <f>IFERROR(__xludf.DUMMYFUNCTION("""COMPUTED_VALUE"""),46169.64583333333)</f>
        <v>46169.64583</v>
      </c>
      <c r="C28" s="193">
        <f>IFERROR(__xludf.DUMMYFUNCTION("""COMPUTED_VALUE"""),1427.5)</f>
        <v>1427.5</v>
      </c>
      <c r="D28" s="9"/>
      <c r="E28" s="217">
        <f>IFERROR(__xludf.DUMMYFUNCTION("""COMPUTED_VALUE"""),46169.64583333333)</f>
        <v>46169.64583</v>
      </c>
      <c r="F28" s="193">
        <f>IFERROR(__xludf.DUMMYFUNCTION("""COMPUTED_VALUE"""),2198.4)</f>
        <v>2198.4</v>
      </c>
      <c r="G28" s="9"/>
      <c r="H28" s="29">
        <f t="shared" si="3"/>
        <v>0.6493358806</v>
      </c>
      <c r="I28" s="1">
        <f t="shared" si="4"/>
        <v>-770.9</v>
      </c>
      <c r="J28" s="113">
        <f t="shared" si="5"/>
        <v>-1.022511766</v>
      </c>
      <c r="K28" s="199">
        <f t="shared" si="6"/>
        <v>0.6493358806</v>
      </c>
      <c r="L28" s="9"/>
      <c r="M28" s="9"/>
      <c r="N28" s="9"/>
      <c r="O28" s="9"/>
      <c r="P28" s="9"/>
      <c r="Q28" s="9"/>
      <c r="R28" s="212" t="s">
        <v>113</v>
      </c>
      <c r="S28" s="229">
        <f>MAX(K88:K118)</f>
        <v>0.7606485717</v>
      </c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217">
        <f>IFERROR(__xludf.DUMMYFUNCTION("""COMPUTED_VALUE"""),46171.64583333333)</f>
        <v>46171.64583</v>
      </c>
      <c r="C29" s="193">
        <f>IFERROR(__xludf.DUMMYFUNCTION("""COMPUTED_VALUE"""),1421.5)</f>
        <v>1421.5</v>
      </c>
      <c r="D29" s="9"/>
      <c r="E29" s="217">
        <f>IFERROR(__xludf.DUMMYFUNCTION("""COMPUTED_VALUE"""),46171.64583333333)</f>
        <v>46171.64583</v>
      </c>
      <c r="F29" s="193">
        <f>IFERROR(__xludf.DUMMYFUNCTION("""COMPUTED_VALUE"""),2153.5)</f>
        <v>2153.5</v>
      </c>
      <c r="G29" s="9"/>
      <c r="H29" s="29">
        <f t="shared" si="3"/>
        <v>0.6600882285</v>
      </c>
      <c r="I29" s="1">
        <f t="shared" si="4"/>
        <v>-732</v>
      </c>
      <c r="J29" s="113">
        <f t="shared" si="5"/>
        <v>-0.6444855573</v>
      </c>
      <c r="K29" s="199">
        <f t="shared" si="6"/>
        <v>0.6600882285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217">
        <f>IFERROR(__xludf.DUMMYFUNCTION("""COMPUTED_VALUE"""),46174.64583333333)</f>
        <v>46174.64583</v>
      </c>
      <c r="C30" s="193">
        <f>IFERROR(__xludf.DUMMYFUNCTION("""COMPUTED_VALUE"""),1391.8)</f>
        <v>1391.8</v>
      </c>
      <c r="D30" s="9"/>
      <c r="E30" s="217">
        <f>IFERROR(__xludf.DUMMYFUNCTION("""COMPUTED_VALUE"""),46174.64583333333)</f>
        <v>46174.64583</v>
      </c>
      <c r="F30" s="193">
        <f>IFERROR(__xludf.DUMMYFUNCTION("""COMPUTED_VALUE"""),2084.3)</f>
        <v>2084.3</v>
      </c>
      <c r="G30" s="9"/>
      <c r="H30" s="29">
        <f t="shared" si="3"/>
        <v>0.6677541621</v>
      </c>
      <c r="I30" s="1">
        <f t="shared" si="4"/>
        <v>-692.5</v>
      </c>
      <c r="J30" s="113">
        <f t="shared" si="5"/>
        <v>-0.2606286097</v>
      </c>
      <c r="K30" s="199">
        <f t="shared" si="6"/>
        <v>0.6677541621</v>
      </c>
      <c r="L30" s="193">
        <f t="shared" ref="L30:L122" si="7">AVERAGE(C11:C30)</f>
        <v>1444.235</v>
      </c>
      <c r="M30" s="210">
        <f t="shared" ref="M30:M122" si="8">(C30-L30)/C30</f>
        <v>-0.0376742348</v>
      </c>
      <c r="N30" s="213">
        <f t="shared" ref="N30:N122" si="9">AVERAGE(F11:F30)</f>
        <v>2239.61</v>
      </c>
      <c r="O30" s="210">
        <f t="shared" ref="O30:O122" si="10">(F30-N30)/F30</f>
        <v>-0.0745142254</v>
      </c>
      <c r="P30" s="210">
        <f t="shared" ref="P30:P118" si="11">M30-O30</f>
        <v>0.0368399906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217">
        <f>IFERROR(__xludf.DUMMYFUNCTION("""COMPUTED_VALUE"""),46175.64583333333)</f>
        <v>46175.64583</v>
      </c>
      <c r="C31" s="193">
        <f>IFERROR(__xludf.DUMMYFUNCTION("""COMPUTED_VALUE"""),1398.7)</f>
        <v>1398.7</v>
      </c>
      <c r="D31" s="9"/>
      <c r="E31" s="217">
        <f>IFERROR(__xludf.DUMMYFUNCTION("""COMPUTED_VALUE"""),46175.64583333333)</f>
        <v>46175.64583</v>
      </c>
      <c r="F31" s="193">
        <f>IFERROR(__xludf.DUMMYFUNCTION("""COMPUTED_VALUE"""),2093.7)</f>
        <v>2093.7</v>
      </c>
      <c r="G31" s="9"/>
      <c r="H31" s="29">
        <f t="shared" si="3"/>
        <v>0.6680517744</v>
      </c>
      <c r="I31" s="1">
        <f t="shared" si="4"/>
        <v>-695</v>
      </c>
      <c r="J31" s="113">
        <f t="shared" si="5"/>
        <v>-0.2849233532</v>
      </c>
      <c r="K31" s="199">
        <f t="shared" si="6"/>
        <v>0.6680517744</v>
      </c>
      <c r="L31" s="213">
        <f t="shared" si="7"/>
        <v>1441.315</v>
      </c>
      <c r="M31" s="210">
        <f t="shared" si="8"/>
        <v>-0.03046757704</v>
      </c>
      <c r="N31" s="213">
        <f t="shared" si="9"/>
        <v>2228.83</v>
      </c>
      <c r="O31" s="210">
        <f t="shared" si="10"/>
        <v>-0.06454124278</v>
      </c>
      <c r="P31" s="210">
        <f t="shared" si="11"/>
        <v>0.03407366574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217">
        <f>IFERROR(__xludf.DUMMYFUNCTION("""COMPUTED_VALUE"""),46176.64583333333)</f>
        <v>46176.64583</v>
      </c>
      <c r="C32" s="193">
        <f>IFERROR(__xludf.DUMMYFUNCTION("""COMPUTED_VALUE"""),1391.5)</f>
        <v>1391.5</v>
      </c>
      <c r="D32" s="9"/>
      <c r="E32" s="217">
        <f>IFERROR(__xludf.DUMMYFUNCTION("""COMPUTED_VALUE"""),46176.64583333333)</f>
        <v>46176.64583</v>
      </c>
      <c r="F32" s="193">
        <f>IFERROR(__xludf.DUMMYFUNCTION("""COMPUTED_VALUE"""),2090.6)</f>
        <v>2090.6</v>
      </c>
      <c r="G32" s="9"/>
      <c r="H32" s="29">
        <f t="shared" si="3"/>
        <v>0.6655983928</v>
      </c>
      <c r="I32" s="1">
        <f t="shared" si="4"/>
        <v>-699.1</v>
      </c>
      <c r="J32" s="113">
        <f t="shared" si="5"/>
        <v>-0.3247667326</v>
      </c>
      <c r="K32" s="199">
        <f t="shared" si="6"/>
        <v>0.6655983928</v>
      </c>
      <c r="L32" s="213">
        <f t="shared" si="7"/>
        <v>1437</v>
      </c>
      <c r="M32" s="210">
        <f t="shared" si="8"/>
        <v>-0.03269852677</v>
      </c>
      <c r="N32" s="213">
        <f t="shared" si="9"/>
        <v>2216.99</v>
      </c>
      <c r="O32" s="210">
        <f t="shared" si="10"/>
        <v>-0.06045632833</v>
      </c>
      <c r="P32" s="210">
        <f t="shared" si="11"/>
        <v>0.02775780156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217">
        <f>IFERROR(__xludf.DUMMYFUNCTION("""COMPUTED_VALUE"""),46177.64583333333)</f>
        <v>46177.64583</v>
      </c>
      <c r="C33" s="193">
        <f>IFERROR(__xludf.DUMMYFUNCTION("""COMPUTED_VALUE"""),1382.9)</f>
        <v>1382.9</v>
      </c>
      <c r="D33" s="9"/>
      <c r="E33" s="217">
        <f>IFERROR(__xludf.DUMMYFUNCTION("""COMPUTED_VALUE"""),46177.64583333333)</f>
        <v>46177.64583</v>
      </c>
      <c r="F33" s="193">
        <f>IFERROR(__xludf.DUMMYFUNCTION("""COMPUTED_VALUE"""),2079.4)</f>
        <v>2079.4</v>
      </c>
      <c r="G33" s="9"/>
      <c r="H33" s="29">
        <f t="shared" si="3"/>
        <v>0.6650476099</v>
      </c>
      <c r="I33" s="1">
        <f t="shared" si="4"/>
        <v>-696.5</v>
      </c>
      <c r="J33" s="113">
        <f t="shared" si="5"/>
        <v>-0.2995001993</v>
      </c>
      <c r="K33" s="199">
        <f t="shared" si="6"/>
        <v>0.6650476099</v>
      </c>
      <c r="L33" s="213">
        <f t="shared" si="7"/>
        <v>1431.84</v>
      </c>
      <c r="M33" s="210">
        <f t="shared" si="8"/>
        <v>-0.03538939909</v>
      </c>
      <c r="N33" s="213">
        <f t="shared" si="9"/>
        <v>2205.105</v>
      </c>
      <c r="O33" s="210">
        <f t="shared" si="10"/>
        <v>-0.06045253438</v>
      </c>
      <c r="P33" s="210">
        <f t="shared" si="11"/>
        <v>0.0250631353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217">
        <f>IFERROR(__xludf.DUMMYFUNCTION("""COMPUTED_VALUE"""),46178.64583333333)</f>
        <v>46178.64583</v>
      </c>
      <c r="C34" s="193">
        <f>IFERROR(__xludf.DUMMYFUNCTION("""COMPUTED_VALUE"""),1386.2)</f>
        <v>1386.2</v>
      </c>
      <c r="D34" s="9"/>
      <c r="E34" s="217">
        <f>IFERROR(__xludf.DUMMYFUNCTION("""COMPUTED_VALUE"""),46178.64583333333)</f>
        <v>46178.64583</v>
      </c>
      <c r="F34" s="193">
        <f>IFERROR(__xludf.DUMMYFUNCTION("""COMPUTED_VALUE"""),2121.5)</f>
        <v>2121.5</v>
      </c>
      <c r="G34" s="9"/>
      <c r="H34" s="29">
        <f t="shared" si="3"/>
        <v>0.6534056092</v>
      </c>
      <c r="I34" s="1">
        <f t="shared" si="4"/>
        <v>-735.3</v>
      </c>
      <c r="J34" s="113">
        <f t="shared" si="5"/>
        <v>-0.6765546187</v>
      </c>
      <c r="K34" s="199">
        <f t="shared" si="6"/>
        <v>0.6534056092</v>
      </c>
      <c r="L34" s="213">
        <f t="shared" si="7"/>
        <v>1427.35</v>
      </c>
      <c r="M34" s="210">
        <f t="shared" si="8"/>
        <v>-0.02968547107</v>
      </c>
      <c r="N34" s="213">
        <f t="shared" si="9"/>
        <v>2197.57</v>
      </c>
      <c r="O34" s="210">
        <f t="shared" si="10"/>
        <v>-0.03585670516</v>
      </c>
      <c r="P34" s="210">
        <f t="shared" si="11"/>
        <v>0.006171234089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217">
        <f>IFERROR(__xludf.DUMMYFUNCTION("""COMPUTED_VALUE"""),46181.64583333333)</f>
        <v>46181.64583</v>
      </c>
      <c r="C35" s="193">
        <f>IFERROR(__xludf.DUMMYFUNCTION("""COMPUTED_VALUE"""),1398.9)</f>
        <v>1398.9</v>
      </c>
      <c r="D35" s="9"/>
      <c r="E35" s="217">
        <f>IFERROR(__xludf.DUMMYFUNCTION("""COMPUTED_VALUE"""),46181.64583333333)</f>
        <v>46181.64583</v>
      </c>
      <c r="F35" s="193">
        <f>IFERROR(__xludf.DUMMYFUNCTION("""COMPUTED_VALUE"""),2110.1)</f>
        <v>2110.1</v>
      </c>
      <c r="G35" s="9"/>
      <c r="H35" s="29">
        <f t="shared" si="3"/>
        <v>0.6629543624</v>
      </c>
      <c r="I35" s="1">
        <f t="shared" si="4"/>
        <v>-711.2</v>
      </c>
      <c r="J35" s="113">
        <f t="shared" si="5"/>
        <v>-0.4423532912</v>
      </c>
      <c r="K35" s="199">
        <f t="shared" si="6"/>
        <v>0.6629543624</v>
      </c>
      <c r="L35" s="213">
        <f t="shared" si="7"/>
        <v>1423.175</v>
      </c>
      <c r="M35" s="210">
        <f t="shared" si="8"/>
        <v>-0.01735292015</v>
      </c>
      <c r="N35" s="213">
        <f t="shared" si="9"/>
        <v>2188.69</v>
      </c>
      <c r="O35" s="210">
        <f t="shared" si="10"/>
        <v>-0.03724468035</v>
      </c>
      <c r="P35" s="210">
        <f t="shared" si="11"/>
        <v>0.0198917602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217">
        <f>IFERROR(__xludf.DUMMYFUNCTION("""COMPUTED_VALUE"""),46182.64583333333)</f>
        <v>46182.64583</v>
      </c>
      <c r="C36" s="193">
        <f>IFERROR(__xludf.DUMMYFUNCTION("""COMPUTED_VALUE"""),1410.4)</f>
        <v>1410.4</v>
      </c>
      <c r="D36" s="9"/>
      <c r="E36" s="217">
        <f>IFERROR(__xludf.DUMMYFUNCTION("""COMPUTED_VALUE"""),46182.64583333333)</f>
        <v>46182.64583</v>
      </c>
      <c r="F36" s="193">
        <f>IFERROR(__xludf.DUMMYFUNCTION("""COMPUTED_VALUE"""),2132.8)</f>
        <v>2132.8</v>
      </c>
      <c r="G36" s="9"/>
      <c r="H36" s="29">
        <f t="shared" si="3"/>
        <v>0.6612903226</v>
      </c>
      <c r="I36" s="1">
        <f t="shared" si="4"/>
        <v>-722.4</v>
      </c>
      <c r="J36" s="113">
        <f t="shared" si="5"/>
        <v>-0.5511937422</v>
      </c>
      <c r="K36" s="199">
        <f t="shared" si="6"/>
        <v>0.6612903226</v>
      </c>
      <c r="L36" s="213">
        <f t="shared" si="7"/>
        <v>1419.6</v>
      </c>
      <c r="M36" s="210">
        <f t="shared" si="8"/>
        <v>-0.006522972206</v>
      </c>
      <c r="N36" s="213">
        <f t="shared" si="9"/>
        <v>2179.97</v>
      </c>
      <c r="O36" s="210">
        <f t="shared" si="10"/>
        <v>-0.02211646662</v>
      </c>
      <c r="P36" s="210">
        <f t="shared" si="11"/>
        <v>0.01559349441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217">
        <f>IFERROR(__xludf.DUMMYFUNCTION("""COMPUTED_VALUE"""),46183.64583333333)</f>
        <v>46183.64583</v>
      </c>
      <c r="C37" s="193">
        <f>IFERROR(__xludf.DUMMYFUNCTION("""COMPUTED_VALUE"""),1438.3)</f>
        <v>1438.3</v>
      </c>
      <c r="D37" s="9"/>
      <c r="E37" s="217">
        <f>IFERROR(__xludf.DUMMYFUNCTION("""COMPUTED_VALUE"""),46183.64583333333)</f>
        <v>46183.64583</v>
      </c>
      <c r="F37" s="193">
        <f>IFERROR(__xludf.DUMMYFUNCTION("""COMPUTED_VALUE"""),2169.5)</f>
        <v>2169.5</v>
      </c>
      <c r="G37" s="9"/>
      <c r="H37" s="29">
        <f t="shared" si="3"/>
        <v>0.6629638165</v>
      </c>
      <c r="I37" s="1">
        <f t="shared" si="4"/>
        <v>-731.2</v>
      </c>
      <c r="J37" s="113">
        <f t="shared" si="5"/>
        <v>-0.6367112394</v>
      </c>
      <c r="K37" s="199">
        <f t="shared" si="6"/>
        <v>0.6629638165</v>
      </c>
      <c r="L37" s="213">
        <f t="shared" si="7"/>
        <v>1418.085</v>
      </c>
      <c r="M37" s="210">
        <f t="shared" si="8"/>
        <v>0.0140547869</v>
      </c>
      <c r="N37" s="213">
        <f t="shared" si="9"/>
        <v>2175.345</v>
      </c>
      <c r="O37" s="210">
        <f t="shared" si="10"/>
        <v>-0.002694169163</v>
      </c>
      <c r="P37" s="210">
        <f t="shared" si="11"/>
        <v>0.01674895606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217">
        <f>IFERROR(__xludf.DUMMYFUNCTION("""COMPUTED_VALUE"""),46184.64583333333)</f>
        <v>46184.64583</v>
      </c>
      <c r="C38" s="193">
        <f>IFERROR(__xludf.DUMMYFUNCTION("""COMPUTED_VALUE"""),1422.5)</f>
        <v>1422.5</v>
      </c>
      <c r="D38" s="9"/>
      <c r="E38" s="217">
        <f>IFERROR(__xludf.DUMMYFUNCTION("""COMPUTED_VALUE"""),46184.64583333333)</f>
        <v>46184.64583</v>
      </c>
      <c r="F38" s="193">
        <f>IFERROR(__xludf.DUMMYFUNCTION("""COMPUTED_VALUE"""),2139.8)</f>
        <v>2139.8</v>
      </c>
      <c r="G38" s="9"/>
      <c r="H38" s="29">
        <f t="shared" si="3"/>
        <v>0.6647817553</v>
      </c>
      <c r="I38" s="1">
        <f t="shared" si="4"/>
        <v>-717.3</v>
      </c>
      <c r="J38" s="113">
        <f t="shared" si="5"/>
        <v>-0.5016324654</v>
      </c>
      <c r="K38" s="199">
        <f t="shared" si="6"/>
        <v>0.6647817553</v>
      </c>
      <c r="L38" s="213">
        <f t="shared" si="7"/>
        <v>1415.765</v>
      </c>
      <c r="M38" s="210">
        <f t="shared" si="8"/>
        <v>0.004734622144</v>
      </c>
      <c r="N38" s="213">
        <f t="shared" si="9"/>
        <v>2168.97</v>
      </c>
      <c r="O38" s="210">
        <f t="shared" si="10"/>
        <v>-0.01363211515</v>
      </c>
      <c r="P38" s="210">
        <f t="shared" si="11"/>
        <v>0.0183667373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217">
        <f>IFERROR(__xludf.DUMMYFUNCTION("""COMPUTED_VALUE"""),46185.64583333333)</f>
        <v>46185.64583</v>
      </c>
      <c r="C39" s="193">
        <f>IFERROR(__xludf.DUMMYFUNCTION("""COMPUTED_VALUE"""),1375.7)</f>
        <v>1375.7</v>
      </c>
      <c r="D39" s="9"/>
      <c r="E39" s="217">
        <f>IFERROR(__xludf.DUMMYFUNCTION("""COMPUTED_VALUE"""),46185.64583333333)</f>
        <v>46185.64583</v>
      </c>
      <c r="F39" s="193">
        <f>IFERROR(__xludf.DUMMYFUNCTION("""COMPUTED_VALUE"""),2168.8)</f>
        <v>2168.8</v>
      </c>
      <c r="G39" s="9"/>
      <c r="H39" s="29">
        <f t="shared" si="3"/>
        <v>0.6343139063</v>
      </c>
      <c r="I39" s="1">
        <f t="shared" si="4"/>
        <v>-793.1</v>
      </c>
      <c r="J39" s="113">
        <f t="shared" si="5"/>
        <v>-1.238249089</v>
      </c>
      <c r="K39" s="199">
        <f t="shared" si="6"/>
        <v>0.6343139063</v>
      </c>
      <c r="L39" s="213">
        <f t="shared" si="7"/>
        <v>1411.57</v>
      </c>
      <c r="M39" s="210">
        <f t="shared" si="8"/>
        <v>-0.02607399869</v>
      </c>
      <c r="N39" s="213">
        <f t="shared" si="9"/>
        <v>2164.975</v>
      </c>
      <c r="O39" s="210">
        <f t="shared" si="10"/>
        <v>0.0017636481</v>
      </c>
      <c r="P39" s="210">
        <f t="shared" si="11"/>
        <v>-0.02783764679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217">
        <f>IFERROR(__xludf.DUMMYFUNCTION("""COMPUTED_VALUE"""),46188.64583333333)</f>
        <v>46188.64583</v>
      </c>
      <c r="C40" s="193">
        <f>IFERROR(__xludf.DUMMYFUNCTION("""COMPUTED_VALUE"""),1374.7)</f>
        <v>1374.7</v>
      </c>
      <c r="D40" s="9"/>
      <c r="E40" s="217">
        <f>IFERROR(__xludf.DUMMYFUNCTION("""COMPUTED_VALUE"""),46188.64583333333)</f>
        <v>46188.64583</v>
      </c>
      <c r="F40" s="193">
        <f>IFERROR(__xludf.DUMMYFUNCTION("""COMPUTED_VALUE"""),2156.1)</f>
        <v>2156.1</v>
      </c>
      <c r="G40" s="9"/>
      <c r="H40" s="29">
        <f t="shared" si="3"/>
        <v>0.6375863828</v>
      </c>
      <c r="I40" s="1">
        <f t="shared" si="4"/>
        <v>-781.4</v>
      </c>
      <c r="J40" s="113">
        <f t="shared" si="5"/>
        <v>-1.124549689</v>
      </c>
      <c r="K40" s="199">
        <f t="shared" si="6"/>
        <v>0.6375863828</v>
      </c>
      <c r="L40" s="213">
        <f t="shared" si="7"/>
        <v>1408.78</v>
      </c>
      <c r="M40" s="210">
        <f t="shared" si="8"/>
        <v>-0.02479086346</v>
      </c>
      <c r="N40" s="213">
        <f t="shared" si="9"/>
        <v>2159.17</v>
      </c>
      <c r="O40" s="210">
        <f t="shared" si="10"/>
        <v>-0.001423867168</v>
      </c>
      <c r="P40" s="210">
        <f t="shared" si="11"/>
        <v>-0.02336699629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217">
        <f>IFERROR(__xludf.DUMMYFUNCTION("""COMPUTED_VALUE"""),46189.64583333333)</f>
        <v>46189.64583</v>
      </c>
      <c r="C41" s="193">
        <f>IFERROR(__xludf.DUMMYFUNCTION("""COMPUTED_VALUE"""),1391.7)</f>
        <v>1391.7</v>
      </c>
      <c r="D41" s="9"/>
      <c r="E41" s="217">
        <f>IFERROR(__xludf.DUMMYFUNCTION("""COMPUTED_VALUE"""),46189.64583333333)</f>
        <v>46189.64583</v>
      </c>
      <c r="F41" s="193">
        <f>IFERROR(__xludf.DUMMYFUNCTION("""COMPUTED_VALUE"""),2199.9)</f>
        <v>2199.9</v>
      </c>
      <c r="G41" s="9"/>
      <c r="H41" s="29">
        <f t="shared" si="3"/>
        <v>0.6326196645</v>
      </c>
      <c r="I41" s="1">
        <f t="shared" si="4"/>
        <v>-808.2</v>
      </c>
      <c r="J41" s="113">
        <f t="shared" si="5"/>
        <v>-1.38498934</v>
      </c>
      <c r="K41" s="199">
        <f t="shared" si="6"/>
        <v>0.6326196645</v>
      </c>
      <c r="L41" s="213">
        <f t="shared" si="7"/>
        <v>1406.78</v>
      </c>
      <c r="M41" s="210">
        <f t="shared" si="8"/>
        <v>-0.01083566861</v>
      </c>
      <c r="N41" s="213">
        <f t="shared" si="9"/>
        <v>2156.455</v>
      </c>
      <c r="O41" s="210">
        <f t="shared" si="10"/>
        <v>0.01974862494</v>
      </c>
      <c r="P41" s="210">
        <f t="shared" si="11"/>
        <v>-0.03058429354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217">
        <f>IFERROR(__xludf.DUMMYFUNCTION("""COMPUTED_VALUE"""),46190.64583333333)</f>
        <v>46190.64583</v>
      </c>
      <c r="C42" s="193">
        <f>IFERROR(__xludf.DUMMYFUNCTION("""COMPUTED_VALUE"""),1407.3)</f>
        <v>1407.3</v>
      </c>
      <c r="D42" s="9"/>
      <c r="E42" s="217">
        <f>IFERROR(__xludf.DUMMYFUNCTION("""COMPUTED_VALUE"""),46190.64583333333)</f>
        <v>46190.64583</v>
      </c>
      <c r="F42" s="193">
        <f>IFERROR(__xludf.DUMMYFUNCTION("""COMPUTED_VALUE"""),2197.6)</f>
        <v>2197.6</v>
      </c>
      <c r="G42" s="9"/>
      <c r="H42" s="29">
        <f t="shared" si="3"/>
        <v>0.640380415</v>
      </c>
      <c r="I42" s="1">
        <f t="shared" si="4"/>
        <v>-790.3</v>
      </c>
      <c r="J42" s="113">
        <f t="shared" si="5"/>
        <v>-1.211038976</v>
      </c>
      <c r="K42" s="199">
        <f t="shared" si="6"/>
        <v>0.640380415</v>
      </c>
      <c r="L42" s="213">
        <f t="shared" si="7"/>
        <v>1405.575</v>
      </c>
      <c r="M42" s="210">
        <f t="shared" si="8"/>
        <v>0.001225751439</v>
      </c>
      <c r="N42" s="213">
        <f t="shared" si="9"/>
        <v>2154.69</v>
      </c>
      <c r="O42" s="210">
        <f t="shared" si="10"/>
        <v>0.01952584638</v>
      </c>
      <c r="P42" s="210">
        <f t="shared" si="11"/>
        <v>-0.01830009494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217">
        <f>IFERROR(__xludf.DUMMYFUNCTION("""COMPUTED_VALUE"""),46191.64583333333)</f>
        <v>46191.64583</v>
      </c>
      <c r="C43" s="193">
        <f>IFERROR(__xludf.DUMMYFUNCTION("""COMPUTED_VALUE"""),1400.4)</f>
        <v>1400.4</v>
      </c>
      <c r="D43" s="9"/>
      <c r="E43" s="217">
        <f>IFERROR(__xludf.DUMMYFUNCTION("""COMPUTED_VALUE"""),46191.64583333333)</f>
        <v>46191.64583</v>
      </c>
      <c r="F43" s="193">
        <f>IFERROR(__xludf.DUMMYFUNCTION("""COMPUTED_VALUE"""),2218.5)</f>
        <v>2218.5</v>
      </c>
      <c r="G43" s="9"/>
      <c r="H43" s="29">
        <f t="shared" si="3"/>
        <v>0.6312373225</v>
      </c>
      <c r="I43" s="1">
        <f t="shared" si="4"/>
        <v>-818.1</v>
      </c>
      <c r="J43" s="113">
        <f t="shared" si="5"/>
        <v>-1.481196524</v>
      </c>
      <c r="K43" s="199">
        <f t="shared" si="6"/>
        <v>0.6312373225</v>
      </c>
      <c r="L43" s="213">
        <f t="shared" si="7"/>
        <v>1404.59</v>
      </c>
      <c r="M43" s="210">
        <f t="shared" si="8"/>
        <v>-0.002992002285</v>
      </c>
      <c r="N43" s="213">
        <f t="shared" si="9"/>
        <v>2155.15</v>
      </c>
      <c r="O43" s="210">
        <f t="shared" si="10"/>
        <v>0.02855533018</v>
      </c>
      <c r="P43" s="210">
        <f t="shared" si="11"/>
        <v>-0.03154733246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217">
        <f>IFERROR(__xludf.DUMMYFUNCTION("""COMPUTED_VALUE"""),46192.64583333333)</f>
        <v>46192.64583</v>
      </c>
      <c r="C44" s="193">
        <f>IFERROR(__xludf.DUMMYFUNCTION("""COMPUTED_VALUE"""),1414.8)</f>
        <v>1414.8</v>
      </c>
      <c r="D44" s="9"/>
      <c r="E44" s="217">
        <f>IFERROR(__xludf.DUMMYFUNCTION("""COMPUTED_VALUE"""),46192.64583333333)</f>
        <v>46192.64583</v>
      </c>
      <c r="F44" s="193">
        <f>IFERROR(__xludf.DUMMYFUNCTION("""COMPUTED_VALUE"""),2194.6)</f>
        <v>2194.6</v>
      </c>
      <c r="G44" s="9"/>
      <c r="H44" s="29">
        <f t="shared" si="3"/>
        <v>0.644673289</v>
      </c>
      <c r="I44" s="1">
        <f t="shared" si="4"/>
        <v>-779.8</v>
      </c>
      <c r="J44" s="113">
        <f t="shared" si="5"/>
        <v>-1.109001053</v>
      </c>
      <c r="K44" s="199">
        <f t="shared" si="6"/>
        <v>0.644673289</v>
      </c>
      <c r="L44" s="213">
        <f t="shared" si="7"/>
        <v>1405.005</v>
      </c>
      <c r="M44" s="210">
        <f t="shared" si="8"/>
        <v>0.006923240034</v>
      </c>
      <c r="N44" s="213">
        <f t="shared" si="9"/>
        <v>2155.93</v>
      </c>
      <c r="O44" s="210">
        <f t="shared" si="10"/>
        <v>0.0176205231</v>
      </c>
      <c r="P44" s="210">
        <f t="shared" si="11"/>
        <v>-0.01069728307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217">
        <f>IFERROR(__xludf.DUMMYFUNCTION("""COMPUTED_VALUE"""),46195.64583333333)</f>
        <v>46195.64583</v>
      </c>
      <c r="C45" s="193">
        <f>IFERROR(__xludf.DUMMYFUNCTION("""COMPUTED_VALUE"""),1401.9)</f>
        <v>1401.9</v>
      </c>
      <c r="D45" s="9"/>
      <c r="E45" s="217">
        <f>IFERROR(__xludf.DUMMYFUNCTION("""COMPUTED_VALUE"""),46195.64583333333)</f>
        <v>46195.64583</v>
      </c>
      <c r="F45" s="193">
        <f>IFERROR(__xludf.DUMMYFUNCTION("""COMPUTED_VALUE"""),2184.9)</f>
        <v>2184.9</v>
      </c>
      <c r="G45" s="9"/>
      <c r="H45" s="29">
        <f t="shared" si="3"/>
        <v>0.6416311959</v>
      </c>
      <c r="I45" s="1">
        <f t="shared" si="4"/>
        <v>-783</v>
      </c>
      <c r="J45" s="113">
        <f t="shared" si="5"/>
        <v>-1.140098325</v>
      </c>
      <c r="K45" s="199">
        <f t="shared" si="6"/>
        <v>0.6416311959</v>
      </c>
      <c r="L45" s="213">
        <f t="shared" si="7"/>
        <v>1403.945</v>
      </c>
      <c r="M45" s="210">
        <f t="shared" si="8"/>
        <v>-0.001458734575</v>
      </c>
      <c r="N45" s="213">
        <f t="shared" si="9"/>
        <v>2154.995</v>
      </c>
      <c r="O45" s="210">
        <f t="shared" si="10"/>
        <v>0.01368712527</v>
      </c>
      <c r="P45" s="210">
        <f t="shared" si="11"/>
        <v>-0.01514585984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217">
        <f>IFERROR(__xludf.DUMMYFUNCTION("""COMPUTED_VALUE"""),46196.64583333333)</f>
        <v>46196.64583</v>
      </c>
      <c r="C46" s="193">
        <f>IFERROR(__xludf.DUMMYFUNCTION("""COMPUTED_VALUE"""),1392.2)</f>
        <v>1392.2</v>
      </c>
      <c r="D46" s="9"/>
      <c r="E46" s="217">
        <f>IFERROR(__xludf.DUMMYFUNCTION("""COMPUTED_VALUE"""),46196.64583333333)</f>
        <v>46196.64583</v>
      </c>
      <c r="F46" s="193">
        <f>IFERROR(__xludf.DUMMYFUNCTION("""COMPUTED_VALUE"""),2160.1)</f>
        <v>2160.1</v>
      </c>
      <c r="G46" s="9"/>
      <c r="H46" s="29">
        <f t="shared" si="3"/>
        <v>0.6445071987</v>
      </c>
      <c r="I46" s="1">
        <f t="shared" si="4"/>
        <v>-767.9</v>
      </c>
      <c r="J46" s="113">
        <f t="shared" si="5"/>
        <v>-0.9933580742</v>
      </c>
      <c r="K46" s="199">
        <f t="shared" si="6"/>
        <v>0.6445071987</v>
      </c>
      <c r="L46" s="213">
        <f t="shared" si="7"/>
        <v>1402.875</v>
      </c>
      <c r="M46" s="210">
        <f t="shared" si="8"/>
        <v>-0.007667720155</v>
      </c>
      <c r="N46" s="213">
        <f t="shared" si="9"/>
        <v>2153.175</v>
      </c>
      <c r="O46" s="210">
        <f t="shared" si="10"/>
        <v>0.003205870099</v>
      </c>
      <c r="P46" s="210">
        <f t="shared" si="11"/>
        <v>-0.01087359025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217">
        <f>IFERROR(__xludf.DUMMYFUNCTION("""COMPUTED_VALUE"""),46197.64583333333)</f>
        <v>46197.64583</v>
      </c>
      <c r="C47" s="193">
        <f>IFERROR(__xludf.DUMMYFUNCTION("""COMPUTED_VALUE"""),1382.6)</f>
        <v>1382.6</v>
      </c>
      <c r="D47" s="9"/>
      <c r="E47" s="217">
        <f>IFERROR(__xludf.DUMMYFUNCTION("""COMPUTED_VALUE"""),46197.64583333333)</f>
        <v>46197.64583</v>
      </c>
      <c r="F47" s="193">
        <f>IFERROR(__xludf.DUMMYFUNCTION("""COMPUTED_VALUE"""),2157.8)</f>
        <v>2157.8</v>
      </c>
      <c r="G47" s="9"/>
      <c r="H47" s="29">
        <f t="shared" si="3"/>
        <v>0.6407452034</v>
      </c>
      <c r="I47" s="1">
        <f t="shared" si="4"/>
        <v>-775.2</v>
      </c>
      <c r="J47" s="113">
        <f t="shared" si="5"/>
        <v>-1.064298725</v>
      </c>
      <c r="K47" s="199">
        <f t="shared" si="6"/>
        <v>0.6407452034</v>
      </c>
      <c r="L47" s="213">
        <f t="shared" si="7"/>
        <v>1400.575</v>
      </c>
      <c r="M47" s="210">
        <f t="shared" si="8"/>
        <v>-0.01300086793</v>
      </c>
      <c r="N47" s="213">
        <f t="shared" si="9"/>
        <v>2150.595</v>
      </c>
      <c r="O47" s="210">
        <f t="shared" si="10"/>
        <v>0.003339049031</v>
      </c>
      <c r="P47" s="210">
        <f t="shared" si="11"/>
        <v>-0.01633991696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217">
        <f>IFERROR(__xludf.DUMMYFUNCTION("""COMPUTED_VALUE"""),46198.64583333333)</f>
        <v>46198.64583</v>
      </c>
      <c r="C48" s="193">
        <f>IFERROR(__xludf.DUMMYFUNCTION("""COMPUTED_VALUE"""),1402.6)</f>
        <v>1402.6</v>
      </c>
      <c r="D48" s="9"/>
      <c r="E48" s="217">
        <f>IFERROR(__xludf.DUMMYFUNCTION("""COMPUTED_VALUE"""),46198.64583333333)</f>
        <v>46198.64583</v>
      </c>
      <c r="F48" s="193">
        <f>IFERROR(__xludf.DUMMYFUNCTION("""COMPUTED_VALUE"""),2174.2)</f>
        <v>2174.2</v>
      </c>
      <c r="G48" s="9"/>
      <c r="H48" s="29">
        <f t="shared" si="3"/>
        <v>0.6451108454</v>
      </c>
      <c r="I48" s="1">
        <f t="shared" si="4"/>
        <v>-771.6</v>
      </c>
      <c r="J48" s="113">
        <f t="shared" si="5"/>
        <v>-1.029314295</v>
      </c>
      <c r="K48" s="199">
        <f t="shared" si="6"/>
        <v>0.6451108454</v>
      </c>
      <c r="L48" s="213">
        <f t="shared" si="7"/>
        <v>1399.33</v>
      </c>
      <c r="M48" s="210">
        <f t="shared" si="8"/>
        <v>0.002331384572</v>
      </c>
      <c r="N48" s="213">
        <f t="shared" si="9"/>
        <v>2149.385</v>
      </c>
      <c r="O48" s="210">
        <f t="shared" si="10"/>
        <v>0.01141339343</v>
      </c>
      <c r="P48" s="210">
        <f t="shared" si="11"/>
        <v>-0.009082008861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217">
        <f>IFERROR(__xludf.DUMMYFUNCTION("""COMPUTED_VALUE"""),46202.64583333333)</f>
        <v>46202.64583</v>
      </c>
      <c r="C49" s="193">
        <f>IFERROR(__xludf.DUMMYFUNCTION("""COMPUTED_VALUE"""),1387.3)</f>
        <v>1387.3</v>
      </c>
      <c r="D49" s="9"/>
      <c r="E49" s="217">
        <f>IFERROR(__xludf.DUMMYFUNCTION("""COMPUTED_VALUE"""),46202.64583333333)</f>
        <v>46202.64583</v>
      </c>
      <c r="F49" s="193">
        <f>IFERROR(__xludf.DUMMYFUNCTION("""COMPUTED_VALUE"""),2151.3)</f>
        <v>2151.3</v>
      </c>
      <c r="G49" s="9"/>
      <c r="H49" s="29">
        <f t="shared" si="3"/>
        <v>0.644865895</v>
      </c>
      <c r="I49" s="1">
        <f t="shared" si="4"/>
        <v>-764</v>
      </c>
      <c r="J49" s="113">
        <f t="shared" si="5"/>
        <v>-0.9554582743</v>
      </c>
      <c r="K49" s="199">
        <f t="shared" si="6"/>
        <v>0.644865895</v>
      </c>
      <c r="L49" s="213">
        <f t="shared" si="7"/>
        <v>1397.62</v>
      </c>
      <c r="M49" s="210">
        <f t="shared" si="8"/>
        <v>-0.007438910113</v>
      </c>
      <c r="N49" s="213">
        <f t="shared" si="9"/>
        <v>2149.275</v>
      </c>
      <c r="O49" s="210">
        <f t="shared" si="10"/>
        <v>0.0009412913122</v>
      </c>
      <c r="P49" s="210">
        <f t="shared" si="11"/>
        <v>-0.008380201425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217">
        <f>IFERROR(__xludf.DUMMYFUNCTION("""COMPUTED_VALUE"""),46203.64583333333)</f>
        <v>46203.64583</v>
      </c>
      <c r="C50" s="193">
        <f>IFERROR(__xludf.DUMMYFUNCTION("""COMPUTED_VALUE"""),1405.2)</f>
        <v>1405.2</v>
      </c>
      <c r="D50" s="9"/>
      <c r="E50" s="217">
        <f>IFERROR(__xludf.DUMMYFUNCTION("""COMPUTED_VALUE"""),46203.64583333333)</f>
        <v>46203.64583</v>
      </c>
      <c r="F50" s="193">
        <f>IFERROR(__xludf.DUMMYFUNCTION("""COMPUTED_VALUE"""),2118.2)</f>
        <v>2118.2</v>
      </c>
      <c r="G50" s="9"/>
      <c r="H50" s="29">
        <f t="shared" si="3"/>
        <v>0.6633934473</v>
      </c>
      <c r="I50" s="1">
        <f t="shared" si="4"/>
        <v>-713</v>
      </c>
      <c r="J50" s="113">
        <f t="shared" si="5"/>
        <v>-0.4598455065</v>
      </c>
      <c r="K50" s="199">
        <f t="shared" si="6"/>
        <v>0.6633934473</v>
      </c>
      <c r="L50" s="213">
        <f t="shared" si="7"/>
        <v>1398.29</v>
      </c>
      <c r="M50" s="210">
        <f t="shared" si="8"/>
        <v>0.004917449473</v>
      </c>
      <c r="N50" s="213">
        <f t="shared" si="9"/>
        <v>2150.97</v>
      </c>
      <c r="O50" s="210">
        <f t="shared" si="10"/>
        <v>-0.01547068266</v>
      </c>
      <c r="P50" s="210">
        <f t="shared" si="11"/>
        <v>0.02038813213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217">
        <f>IFERROR(__xludf.DUMMYFUNCTION("""COMPUTED_VALUE"""),46204.64583333333)</f>
        <v>46204.64583</v>
      </c>
      <c r="C51" s="193">
        <f>IFERROR(__xludf.DUMMYFUNCTION("""COMPUTED_VALUE"""),1453.8)</f>
        <v>1453.8</v>
      </c>
      <c r="D51" s="9"/>
      <c r="E51" s="217">
        <f>IFERROR(__xludf.DUMMYFUNCTION("""COMPUTED_VALUE"""),46204.64583333333)</f>
        <v>46204.64583</v>
      </c>
      <c r="F51" s="193">
        <f>IFERROR(__xludf.DUMMYFUNCTION("""COMPUTED_VALUE"""),2182.0)</f>
        <v>2182</v>
      </c>
      <c r="G51" s="9"/>
      <c r="H51" s="29">
        <f t="shared" si="3"/>
        <v>0.6662694775</v>
      </c>
      <c r="I51" s="1">
        <f t="shared" si="4"/>
        <v>-728.2</v>
      </c>
      <c r="J51" s="113">
        <f t="shared" si="5"/>
        <v>-0.6075575471</v>
      </c>
      <c r="K51" s="199">
        <f t="shared" si="6"/>
        <v>0.6662694775</v>
      </c>
      <c r="L51" s="213">
        <f t="shared" si="7"/>
        <v>1401.045</v>
      </c>
      <c r="M51" s="210">
        <f t="shared" si="8"/>
        <v>0.03628765993</v>
      </c>
      <c r="N51" s="213">
        <f t="shared" si="9"/>
        <v>2155.385</v>
      </c>
      <c r="O51" s="210">
        <f t="shared" si="10"/>
        <v>0.01219752521</v>
      </c>
      <c r="P51" s="210">
        <f t="shared" si="11"/>
        <v>0.02409013472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217">
        <f>IFERROR(__xludf.DUMMYFUNCTION("""COMPUTED_VALUE"""),46205.64583333333)</f>
        <v>46205.64583</v>
      </c>
      <c r="C52" s="193">
        <f>IFERROR(__xludf.DUMMYFUNCTION("""COMPUTED_VALUE"""),1446.2)</f>
        <v>1446.2</v>
      </c>
      <c r="D52" s="9"/>
      <c r="E52" s="217">
        <f>IFERROR(__xludf.DUMMYFUNCTION("""COMPUTED_VALUE"""),46205.64583333333)</f>
        <v>46205.64583</v>
      </c>
      <c r="F52" s="193">
        <f>IFERROR(__xludf.DUMMYFUNCTION("""COMPUTED_VALUE"""),2210.6)</f>
        <v>2210.6</v>
      </c>
      <c r="G52" s="9"/>
      <c r="H52" s="29">
        <f t="shared" si="3"/>
        <v>0.6542115263</v>
      </c>
      <c r="I52" s="1">
        <f t="shared" si="4"/>
        <v>-764.4</v>
      </c>
      <c r="J52" s="113">
        <f t="shared" si="5"/>
        <v>-0.9593454333</v>
      </c>
      <c r="K52" s="199">
        <f t="shared" si="6"/>
        <v>0.6542115263</v>
      </c>
      <c r="L52" s="213">
        <f t="shared" si="7"/>
        <v>1403.78</v>
      </c>
      <c r="M52" s="210">
        <f t="shared" si="8"/>
        <v>0.02933204259</v>
      </c>
      <c r="N52" s="213">
        <f t="shared" si="9"/>
        <v>2161.385</v>
      </c>
      <c r="O52" s="210">
        <f t="shared" si="10"/>
        <v>0.02226318647</v>
      </c>
      <c r="P52" s="210">
        <f t="shared" si="11"/>
        <v>0.007068856129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217">
        <f>IFERROR(__xludf.DUMMYFUNCTION("""COMPUTED_VALUE"""),46206.64583333333)</f>
        <v>46206.64583</v>
      </c>
      <c r="C53" s="193">
        <f>IFERROR(__xludf.DUMMYFUNCTION("""COMPUTED_VALUE"""),1459.8)</f>
        <v>1459.8</v>
      </c>
      <c r="D53" s="9"/>
      <c r="E53" s="217">
        <f>IFERROR(__xludf.DUMMYFUNCTION("""COMPUTED_VALUE"""),46206.64583333333)</f>
        <v>46206.64583</v>
      </c>
      <c r="F53" s="193">
        <f>IFERROR(__xludf.DUMMYFUNCTION("""COMPUTED_VALUE"""),2201.2)</f>
        <v>2201.2</v>
      </c>
      <c r="G53" s="9"/>
      <c r="H53" s="29">
        <f t="shared" si="3"/>
        <v>0.663183718</v>
      </c>
      <c r="I53" s="1">
        <f t="shared" si="4"/>
        <v>-741.4</v>
      </c>
      <c r="J53" s="113">
        <f t="shared" si="5"/>
        <v>-0.7358337929</v>
      </c>
      <c r="K53" s="199">
        <f t="shared" si="6"/>
        <v>0.663183718</v>
      </c>
      <c r="L53" s="213">
        <f t="shared" si="7"/>
        <v>1407.625</v>
      </c>
      <c r="M53" s="210">
        <f t="shared" si="8"/>
        <v>0.03574119742</v>
      </c>
      <c r="N53" s="213">
        <f t="shared" si="9"/>
        <v>2167.475</v>
      </c>
      <c r="O53" s="210">
        <f t="shared" si="10"/>
        <v>0.01532118844</v>
      </c>
      <c r="P53" s="210">
        <f t="shared" si="11"/>
        <v>0.02042000898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217">
        <f>IFERROR(__xludf.DUMMYFUNCTION("""COMPUTED_VALUE"""),46209.64583333333)</f>
        <v>46209.64583</v>
      </c>
      <c r="C54" s="193">
        <f>IFERROR(__xludf.DUMMYFUNCTION("""COMPUTED_VALUE"""),1473.7)</f>
        <v>1473.7</v>
      </c>
      <c r="D54" s="9"/>
      <c r="E54" s="217">
        <f>IFERROR(__xludf.DUMMYFUNCTION("""COMPUTED_VALUE"""),46209.64583333333)</f>
        <v>46209.64583</v>
      </c>
      <c r="F54" s="193">
        <f>IFERROR(__xludf.DUMMYFUNCTION("""COMPUTED_VALUE"""),2202.0)</f>
        <v>2202</v>
      </c>
      <c r="G54" s="9"/>
      <c r="H54" s="29">
        <f t="shared" si="3"/>
        <v>0.6692552225</v>
      </c>
      <c r="I54" s="1">
        <f t="shared" si="4"/>
        <v>-728.3</v>
      </c>
      <c r="J54" s="113">
        <f t="shared" si="5"/>
        <v>-0.6085293369</v>
      </c>
      <c r="K54" s="199">
        <f t="shared" si="6"/>
        <v>0.6692552225</v>
      </c>
      <c r="L54" s="213">
        <f t="shared" si="7"/>
        <v>1412</v>
      </c>
      <c r="M54" s="210">
        <f t="shared" si="8"/>
        <v>0.04186740856</v>
      </c>
      <c r="N54" s="213">
        <f t="shared" si="9"/>
        <v>2171.5</v>
      </c>
      <c r="O54" s="210">
        <f t="shared" si="10"/>
        <v>0.0138510445</v>
      </c>
      <c r="P54" s="210">
        <f t="shared" si="11"/>
        <v>0.02801636406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217">
        <f>IFERROR(__xludf.DUMMYFUNCTION("""COMPUTED_VALUE"""),46210.64583333333)</f>
        <v>46210.64583</v>
      </c>
      <c r="C55" s="193">
        <f>IFERROR(__xludf.DUMMYFUNCTION("""COMPUTED_VALUE"""),1471.8)</f>
        <v>1471.8</v>
      </c>
      <c r="D55" s="9"/>
      <c r="E55" s="217">
        <f>IFERROR(__xludf.DUMMYFUNCTION("""COMPUTED_VALUE"""),46210.64583333333)</f>
        <v>46210.64583</v>
      </c>
      <c r="F55" s="193">
        <f>IFERROR(__xludf.DUMMYFUNCTION("""COMPUTED_VALUE"""),2208.8)</f>
        <v>2208.8</v>
      </c>
      <c r="G55" s="9"/>
      <c r="H55" s="29">
        <f t="shared" si="3"/>
        <v>0.6663346614</v>
      </c>
      <c r="I55" s="1">
        <f t="shared" si="4"/>
        <v>-737</v>
      </c>
      <c r="J55" s="113">
        <f t="shared" si="5"/>
        <v>-0.6930750443</v>
      </c>
      <c r="K55" s="199">
        <f t="shared" si="6"/>
        <v>0.6663346614</v>
      </c>
      <c r="L55" s="213">
        <f t="shared" si="7"/>
        <v>1415.645</v>
      </c>
      <c r="M55" s="210">
        <f t="shared" si="8"/>
        <v>0.03815396114</v>
      </c>
      <c r="N55" s="213">
        <f t="shared" si="9"/>
        <v>2176.435</v>
      </c>
      <c r="O55" s="210">
        <f t="shared" si="10"/>
        <v>0.01465275263</v>
      </c>
      <c r="P55" s="210">
        <f t="shared" si="11"/>
        <v>0.02350120851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217">
        <f>IFERROR(__xludf.DUMMYFUNCTION("""COMPUTED_VALUE"""),46211.64583333333)</f>
        <v>46211.64583</v>
      </c>
      <c r="C56" s="193">
        <f>IFERROR(__xludf.DUMMYFUNCTION("""COMPUTED_VALUE"""),1450.5)</f>
        <v>1450.5</v>
      </c>
      <c r="D56" s="9"/>
      <c r="E56" s="217">
        <f>IFERROR(__xludf.DUMMYFUNCTION("""COMPUTED_VALUE"""),46211.64583333333)</f>
        <v>46211.64583</v>
      </c>
      <c r="F56" s="193">
        <f>IFERROR(__xludf.DUMMYFUNCTION("""COMPUTED_VALUE"""),2135.8)</f>
        <v>2135.8</v>
      </c>
      <c r="G56" s="9"/>
      <c r="H56" s="29">
        <f t="shared" si="3"/>
        <v>0.6791366233</v>
      </c>
      <c r="I56" s="1">
        <f t="shared" si="4"/>
        <v>-685.3</v>
      </c>
      <c r="J56" s="113">
        <f t="shared" si="5"/>
        <v>-0.1906597483</v>
      </c>
      <c r="K56" s="199">
        <f t="shared" si="6"/>
        <v>0.6791366233</v>
      </c>
      <c r="L56" s="213">
        <f t="shared" si="7"/>
        <v>1417.65</v>
      </c>
      <c r="M56" s="210">
        <f t="shared" si="8"/>
        <v>0.02264736298</v>
      </c>
      <c r="N56" s="213">
        <f t="shared" si="9"/>
        <v>2176.585</v>
      </c>
      <c r="O56" s="210">
        <f t="shared" si="10"/>
        <v>-0.01909588913</v>
      </c>
      <c r="P56" s="210">
        <f t="shared" si="11"/>
        <v>0.04174325211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217">
        <f>IFERROR(__xludf.DUMMYFUNCTION("""COMPUTED_VALUE"""),46212.64583333333)</f>
        <v>46212.64583</v>
      </c>
      <c r="C57" s="193">
        <f>IFERROR(__xludf.DUMMYFUNCTION("""COMPUTED_VALUE"""),1463.2)</f>
        <v>1463.2</v>
      </c>
      <c r="D57" s="9"/>
      <c r="E57" s="217">
        <f>IFERROR(__xludf.DUMMYFUNCTION("""COMPUTED_VALUE"""),46212.64583333333)</f>
        <v>46212.64583</v>
      </c>
      <c r="F57" s="193">
        <f>IFERROR(__xludf.DUMMYFUNCTION("""COMPUTED_VALUE"""),2144.5)</f>
        <v>2144.5</v>
      </c>
      <c r="G57" s="9"/>
      <c r="H57" s="29">
        <f t="shared" si="3"/>
        <v>0.6823035673</v>
      </c>
      <c r="I57" s="1">
        <f t="shared" si="4"/>
        <v>-681.3</v>
      </c>
      <c r="J57" s="113">
        <f t="shared" si="5"/>
        <v>-0.1517881587</v>
      </c>
      <c r="K57" s="199">
        <f t="shared" si="6"/>
        <v>0.6823035673</v>
      </c>
      <c r="L57" s="213">
        <f t="shared" si="7"/>
        <v>1418.895</v>
      </c>
      <c r="M57" s="210">
        <f t="shared" si="8"/>
        <v>0.03027952433</v>
      </c>
      <c r="N57" s="213">
        <f t="shared" si="9"/>
        <v>2175.335</v>
      </c>
      <c r="O57" s="210">
        <f t="shared" si="10"/>
        <v>-0.01437864304</v>
      </c>
      <c r="P57" s="210">
        <f t="shared" si="11"/>
        <v>0.04465816737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217">
        <f>IFERROR(__xludf.DUMMYFUNCTION("""COMPUTED_VALUE"""),46213.64583333333)</f>
        <v>46213.64583</v>
      </c>
      <c r="C58" s="193">
        <f>IFERROR(__xludf.DUMMYFUNCTION("""COMPUTED_VALUE"""),1455.2)</f>
        <v>1455.2</v>
      </c>
      <c r="D58" s="9"/>
      <c r="E58" s="217">
        <f>IFERROR(__xludf.DUMMYFUNCTION("""COMPUTED_VALUE"""),46213.64583333333)</f>
        <v>46213.64583</v>
      </c>
      <c r="F58" s="193">
        <f>IFERROR(__xludf.DUMMYFUNCTION("""COMPUTED_VALUE"""),2150.6)</f>
        <v>2150.6</v>
      </c>
      <c r="G58" s="9"/>
      <c r="H58" s="29">
        <f t="shared" si="3"/>
        <v>0.6766483772</v>
      </c>
      <c r="I58" s="1">
        <f t="shared" si="4"/>
        <v>-695.4</v>
      </c>
      <c r="J58" s="113">
        <f t="shared" si="5"/>
        <v>-0.2888105121</v>
      </c>
      <c r="K58" s="199">
        <f t="shared" si="6"/>
        <v>0.6766483772</v>
      </c>
      <c r="L58" s="213">
        <f t="shared" si="7"/>
        <v>1420.53</v>
      </c>
      <c r="M58" s="210">
        <f t="shared" si="8"/>
        <v>0.02382490379</v>
      </c>
      <c r="N58" s="213">
        <f t="shared" si="9"/>
        <v>2175.875</v>
      </c>
      <c r="O58" s="210">
        <f t="shared" si="10"/>
        <v>-0.01175253418</v>
      </c>
      <c r="P58" s="210">
        <f t="shared" si="11"/>
        <v>0.03557743797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217">
        <f>IFERROR(__xludf.DUMMYFUNCTION("""COMPUTED_VALUE"""),46216.64583333333)</f>
        <v>46216.64583</v>
      </c>
      <c r="C59" s="193">
        <f>IFERROR(__xludf.DUMMYFUNCTION("""COMPUTED_VALUE"""),1427.0)</f>
        <v>1427</v>
      </c>
      <c r="D59" s="9"/>
      <c r="E59" s="217">
        <f>IFERROR(__xludf.DUMMYFUNCTION("""COMPUTED_VALUE"""),46216.64583333333)</f>
        <v>46216.64583</v>
      </c>
      <c r="F59" s="193">
        <f>IFERROR(__xludf.DUMMYFUNCTION("""COMPUTED_VALUE"""),2130.6)</f>
        <v>2130.6</v>
      </c>
      <c r="G59" s="9"/>
      <c r="H59" s="29">
        <f t="shared" si="3"/>
        <v>0.6697643856</v>
      </c>
      <c r="I59" s="1">
        <f t="shared" si="4"/>
        <v>-703.6</v>
      </c>
      <c r="J59" s="113">
        <f t="shared" si="5"/>
        <v>-0.3684972709</v>
      </c>
      <c r="K59" s="199">
        <f t="shared" si="6"/>
        <v>0.6697643856</v>
      </c>
      <c r="L59" s="213">
        <f t="shared" si="7"/>
        <v>1423.095</v>
      </c>
      <c r="M59" s="210">
        <f t="shared" si="8"/>
        <v>0.002736510161</v>
      </c>
      <c r="N59" s="213">
        <f t="shared" si="9"/>
        <v>2173.965</v>
      </c>
      <c r="O59" s="210">
        <f t="shared" si="10"/>
        <v>-0.02035342157</v>
      </c>
      <c r="P59" s="210">
        <f t="shared" si="11"/>
        <v>0.02308993173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217">
        <f>IFERROR(__xludf.DUMMYFUNCTION("""COMPUTED_VALUE"""),46217.64583333333)</f>
        <v>46217.64583</v>
      </c>
      <c r="C60" s="193">
        <f>IFERROR(__xludf.DUMMYFUNCTION("""COMPUTED_VALUE"""),1427.1)</f>
        <v>1427.1</v>
      </c>
      <c r="D60" s="9"/>
      <c r="E60" s="217">
        <f>IFERROR(__xludf.DUMMYFUNCTION("""COMPUTED_VALUE"""),46217.64583333333)</f>
        <v>46217.64583</v>
      </c>
      <c r="F60" s="193">
        <f>IFERROR(__xludf.DUMMYFUNCTION("""COMPUTED_VALUE"""),2120.2)</f>
        <v>2120.2</v>
      </c>
      <c r="G60" s="9"/>
      <c r="H60" s="29">
        <f t="shared" si="3"/>
        <v>0.6730968777</v>
      </c>
      <c r="I60" s="1">
        <f t="shared" si="4"/>
        <v>-693.1</v>
      </c>
      <c r="J60" s="113">
        <f t="shared" si="5"/>
        <v>-0.2664593481</v>
      </c>
      <c r="K60" s="199">
        <f t="shared" si="6"/>
        <v>0.6730968777</v>
      </c>
      <c r="L60" s="213">
        <f t="shared" si="7"/>
        <v>1425.715</v>
      </c>
      <c r="M60" s="210">
        <f t="shared" si="8"/>
        <v>0.0009704996146</v>
      </c>
      <c r="N60" s="213">
        <f t="shared" si="9"/>
        <v>2172.17</v>
      </c>
      <c r="O60" s="210">
        <f t="shared" si="10"/>
        <v>-0.02451183851</v>
      </c>
      <c r="P60" s="210">
        <f t="shared" si="11"/>
        <v>0.02548233812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217">
        <f>IFERROR(__xludf.DUMMYFUNCTION("""COMPUTED_VALUE"""),46218.64583333333)</f>
        <v>46218.64583</v>
      </c>
      <c r="C61" s="193">
        <f>IFERROR(__xludf.DUMMYFUNCTION("""COMPUTED_VALUE"""),1424.4)</f>
        <v>1424.4</v>
      </c>
      <c r="D61" s="9"/>
      <c r="E61" s="217">
        <f>IFERROR(__xludf.DUMMYFUNCTION("""COMPUTED_VALUE"""),46218.64583333333)</f>
        <v>46218.64583</v>
      </c>
      <c r="F61" s="193">
        <f>IFERROR(__xludf.DUMMYFUNCTION("""COMPUTED_VALUE"""),2102.6)</f>
        <v>2102.6</v>
      </c>
      <c r="G61" s="9"/>
      <c r="H61" s="29">
        <f t="shared" si="3"/>
        <v>0.6774469704</v>
      </c>
      <c r="I61" s="1">
        <f t="shared" si="4"/>
        <v>-678.2</v>
      </c>
      <c r="J61" s="113">
        <f t="shared" si="5"/>
        <v>-0.1216626767</v>
      </c>
      <c r="K61" s="199">
        <f t="shared" si="6"/>
        <v>0.6774469704</v>
      </c>
      <c r="L61" s="213">
        <f t="shared" si="7"/>
        <v>1427.35</v>
      </c>
      <c r="M61" s="210">
        <f t="shared" si="8"/>
        <v>-0.002071047459</v>
      </c>
      <c r="N61" s="213">
        <f t="shared" si="9"/>
        <v>2167.305</v>
      </c>
      <c r="O61" s="210">
        <f t="shared" si="10"/>
        <v>-0.03077380386</v>
      </c>
      <c r="P61" s="210">
        <f t="shared" si="11"/>
        <v>0.0287027564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217">
        <f>IFERROR(__xludf.DUMMYFUNCTION("""COMPUTED_VALUE"""),46219.64583333333)</f>
        <v>46219.64583</v>
      </c>
      <c r="C62" s="193">
        <f>IFERROR(__xludf.DUMMYFUNCTION("""COMPUTED_VALUE"""),1423.5)</f>
        <v>1423.5</v>
      </c>
      <c r="D62" s="9"/>
      <c r="E62" s="217">
        <f>IFERROR(__xludf.DUMMYFUNCTION("""COMPUTED_VALUE"""),46219.64583333333)</f>
        <v>46219.64583</v>
      </c>
      <c r="F62" s="193">
        <f>IFERROR(__xludf.DUMMYFUNCTION("""COMPUTED_VALUE"""),2098.4)</f>
        <v>2098.4</v>
      </c>
      <c r="G62" s="9"/>
      <c r="H62" s="29">
        <f t="shared" si="3"/>
        <v>0.6783739992</v>
      </c>
      <c r="I62" s="1">
        <f t="shared" si="4"/>
        <v>-674.9</v>
      </c>
      <c r="J62" s="113">
        <f t="shared" si="5"/>
        <v>-0.08959361527</v>
      </c>
      <c r="K62" s="199">
        <f t="shared" si="6"/>
        <v>0.6783739992</v>
      </c>
      <c r="L62" s="213">
        <f t="shared" si="7"/>
        <v>1428.16</v>
      </c>
      <c r="M62" s="210">
        <f t="shared" si="8"/>
        <v>-0.003273621356</v>
      </c>
      <c r="N62" s="213">
        <f t="shared" si="9"/>
        <v>2162.345</v>
      </c>
      <c r="O62" s="210">
        <f t="shared" si="10"/>
        <v>-0.03047321769</v>
      </c>
      <c r="P62" s="210">
        <f t="shared" si="11"/>
        <v>0.02719959633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217">
        <f>IFERROR(__xludf.DUMMYFUNCTION("""COMPUTED_VALUE"""),46220.64583333333)</f>
        <v>46220.64583</v>
      </c>
      <c r="C63" s="193">
        <f>IFERROR(__xludf.DUMMYFUNCTION("""COMPUTED_VALUE"""),1427.2)</f>
        <v>1427.2</v>
      </c>
      <c r="D63" s="9"/>
      <c r="E63" s="217">
        <f>IFERROR(__xludf.DUMMYFUNCTION("""COMPUTED_VALUE"""),46220.64583333333)</f>
        <v>46220.64583</v>
      </c>
      <c r="F63" s="193">
        <f>IFERROR(__xludf.DUMMYFUNCTION("""COMPUTED_VALUE"""),2143.8)</f>
        <v>2143.8</v>
      </c>
      <c r="G63" s="9"/>
      <c r="H63" s="29">
        <f t="shared" si="3"/>
        <v>0.6657337438</v>
      </c>
      <c r="I63" s="1">
        <f t="shared" si="4"/>
        <v>-716.6</v>
      </c>
      <c r="J63" s="113">
        <f t="shared" si="5"/>
        <v>-0.4948299372</v>
      </c>
      <c r="K63" s="199">
        <f t="shared" si="6"/>
        <v>0.6657337438</v>
      </c>
      <c r="L63" s="213">
        <f t="shared" si="7"/>
        <v>1429.5</v>
      </c>
      <c r="M63" s="210">
        <f t="shared" si="8"/>
        <v>-0.001611547085</v>
      </c>
      <c r="N63" s="213">
        <f t="shared" si="9"/>
        <v>2158.61</v>
      </c>
      <c r="O63" s="210">
        <f t="shared" si="10"/>
        <v>-0.006908293684</v>
      </c>
      <c r="P63" s="210">
        <f t="shared" si="11"/>
        <v>0.005296746599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93">
        <v>30.0</v>
      </c>
      <c r="B64" s="217">
        <f>IFERROR(__xludf.DUMMYFUNCTION("""COMPUTED_VALUE"""),46223.64583333333)</f>
        <v>46223.64583</v>
      </c>
      <c r="C64" s="193">
        <f>IFERROR(__xludf.DUMMYFUNCTION("""COMPUTED_VALUE"""),1446.3)</f>
        <v>1446.3</v>
      </c>
      <c r="D64" s="9"/>
      <c r="E64" s="217">
        <f>IFERROR(__xludf.DUMMYFUNCTION("""COMPUTED_VALUE"""),46223.64583333333)</f>
        <v>46223.64583</v>
      </c>
      <c r="F64" s="193">
        <f>IFERROR(__xludf.DUMMYFUNCTION("""COMPUTED_VALUE"""),2139.7)</f>
        <v>2139.7</v>
      </c>
      <c r="G64" s="9"/>
      <c r="H64" s="29">
        <f t="shared" si="3"/>
        <v>0.6759358789</v>
      </c>
      <c r="I64" s="1">
        <f t="shared" si="4"/>
        <v>-693.4</v>
      </c>
      <c r="J64" s="113">
        <f t="shared" si="5"/>
        <v>-0.2693747173</v>
      </c>
      <c r="K64" s="199">
        <f t="shared" si="6"/>
        <v>0.6759358789</v>
      </c>
      <c r="L64" s="213">
        <f t="shared" si="7"/>
        <v>1431.075</v>
      </c>
      <c r="M64" s="210">
        <f t="shared" si="8"/>
        <v>0.01052686165</v>
      </c>
      <c r="N64" s="213">
        <f t="shared" si="9"/>
        <v>2155.865</v>
      </c>
      <c r="O64" s="210">
        <f t="shared" si="10"/>
        <v>-0.007554797402</v>
      </c>
      <c r="P64" s="210">
        <f t="shared" si="11"/>
        <v>0.01808165905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217">
        <f>IFERROR(__xludf.DUMMYFUNCTION("""COMPUTED_VALUE"""),46224.64583333333)</f>
        <v>46224.64583</v>
      </c>
      <c r="C65" s="193">
        <f>IFERROR(__xludf.DUMMYFUNCTION("""COMPUTED_VALUE"""),1451.9)</f>
        <v>1451.9</v>
      </c>
      <c r="D65" s="9"/>
      <c r="E65" s="217">
        <f>IFERROR(__xludf.DUMMYFUNCTION("""COMPUTED_VALUE"""),46224.64583333333)</f>
        <v>46224.64583</v>
      </c>
      <c r="F65" s="193">
        <f>IFERROR(__xludf.DUMMYFUNCTION("""COMPUTED_VALUE"""),2142.5)</f>
        <v>2142.5</v>
      </c>
      <c r="G65" s="9"/>
      <c r="H65" s="29">
        <f t="shared" si="3"/>
        <v>0.6776662777</v>
      </c>
      <c r="I65" s="1">
        <f t="shared" si="4"/>
        <v>-690.6</v>
      </c>
      <c r="J65" s="113">
        <f t="shared" si="5"/>
        <v>-0.2421646046</v>
      </c>
      <c r="K65" s="199">
        <f t="shared" si="6"/>
        <v>0.6776662777</v>
      </c>
      <c r="L65" s="213">
        <f t="shared" si="7"/>
        <v>1433.575</v>
      </c>
      <c r="M65" s="210">
        <f t="shared" si="8"/>
        <v>0.01262139266</v>
      </c>
      <c r="N65" s="213">
        <f t="shared" si="9"/>
        <v>2153.745</v>
      </c>
      <c r="O65" s="210">
        <f t="shared" si="10"/>
        <v>-0.005248541424</v>
      </c>
      <c r="P65" s="210">
        <f t="shared" si="11"/>
        <v>0.01786993408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217">
        <f>IFERROR(__xludf.DUMMYFUNCTION("""COMPUTED_VALUE"""),46225.64583333333)</f>
        <v>46225.64583</v>
      </c>
      <c r="C66" s="193">
        <f>IFERROR(__xludf.DUMMYFUNCTION("""COMPUTED_VALUE"""),1493.6)</f>
        <v>1493.6</v>
      </c>
      <c r="D66" s="9"/>
      <c r="E66" s="217">
        <f>IFERROR(__xludf.DUMMYFUNCTION("""COMPUTED_VALUE"""),46225.64583333333)</f>
        <v>46225.64583</v>
      </c>
      <c r="F66" s="193">
        <f>IFERROR(__xludf.DUMMYFUNCTION("""COMPUTED_VALUE"""),2154.6)</f>
        <v>2154.6</v>
      </c>
      <c r="G66" s="9"/>
      <c r="H66" s="29">
        <f t="shared" si="3"/>
        <v>0.6932145178</v>
      </c>
      <c r="I66" s="1">
        <f t="shared" si="4"/>
        <v>-661</v>
      </c>
      <c r="J66" s="113">
        <f t="shared" si="5"/>
        <v>0.0454851587</v>
      </c>
      <c r="K66" s="199">
        <f t="shared" si="6"/>
        <v>0.6932145178</v>
      </c>
      <c r="L66" s="213">
        <f t="shared" si="7"/>
        <v>1438.645</v>
      </c>
      <c r="M66" s="210">
        <f t="shared" si="8"/>
        <v>0.03679365292</v>
      </c>
      <c r="N66" s="213">
        <f t="shared" si="9"/>
        <v>2153.47</v>
      </c>
      <c r="O66" s="210">
        <f t="shared" si="10"/>
        <v>0.0005244592964</v>
      </c>
      <c r="P66" s="210">
        <f t="shared" si="11"/>
        <v>0.03626919362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217">
        <f>IFERROR(__xludf.DUMMYFUNCTION("""COMPUTED_VALUE"""),46226.64583333333)</f>
        <v>46226.64583</v>
      </c>
      <c r="C67" s="193">
        <f>IFERROR(__xludf.DUMMYFUNCTION("""COMPUTED_VALUE"""),1447.9)</f>
        <v>1447.9</v>
      </c>
      <c r="D67" s="9"/>
      <c r="E67" s="217">
        <f>IFERROR(__xludf.DUMMYFUNCTION("""COMPUTED_VALUE"""),46226.64583333333)</f>
        <v>46226.64583</v>
      </c>
      <c r="F67" s="193">
        <f>IFERROR(__xludf.DUMMYFUNCTION("""COMPUTED_VALUE"""),2161.8)</f>
        <v>2161.8</v>
      </c>
      <c r="G67" s="9"/>
      <c r="H67" s="29">
        <f t="shared" si="3"/>
        <v>0.6697659358</v>
      </c>
      <c r="I67" s="1">
        <f t="shared" si="4"/>
        <v>-713.9</v>
      </c>
      <c r="J67" s="113">
        <f t="shared" si="5"/>
        <v>-0.4685916142</v>
      </c>
      <c r="K67" s="199">
        <f t="shared" si="6"/>
        <v>0.6697659358</v>
      </c>
      <c r="L67" s="213">
        <f t="shared" si="7"/>
        <v>1441.91</v>
      </c>
      <c r="M67" s="210">
        <f t="shared" si="8"/>
        <v>0.004137026038</v>
      </c>
      <c r="N67" s="213">
        <f t="shared" si="9"/>
        <v>2153.67</v>
      </c>
      <c r="O67" s="210">
        <f t="shared" si="10"/>
        <v>0.003760754926</v>
      </c>
      <c r="P67" s="210">
        <f t="shared" si="11"/>
        <v>0.0003762711113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217">
        <f>IFERROR(__xludf.DUMMYFUNCTION("""COMPUTED_VALUE"""),46227.64583333333)</f>
        <v>46227.64583</v>
      </c>
      <c r="C68" s="193">
        <f>IFERROR(__xludf.DUMMYFUNCTION("""COMPUTED_VALUE"""),1443.5)</f>
        <v>1443.5</v>
      </c>
      <c r="D68" s="9"/>
      <c r="E68" s="217">
        <f>IFERROR(__xludf.DUMMYFUNCTION("""COMPUTED_VALUE"""),46227.64583333333)</f>
        <v>46227.64583</v>
      </c>
      <c r="F68" s="193">
        <f>IFERROR(__xludf.DUMMYFUNCTION("""COMPUTED_VALUE"""),2145.0)</f>
        <v>2145</v>
      </c>
      <c r="G68" s="9"/>
      <c r="H68" s="29">
        <f t="shared" si="3"/>
        <v>0.672960373</v>
      </c>
      <c r="I68" s="1">
        <f t="shared" si="4"/>
        <v>-701.5</v>
      </c>
      <c r="J68" s="113">
        <f t="shared" si="5"/>
        <v>-0.3480896863</v>
      </c>
      <c r="K68" s="199">
        <f t="shared" si="6"/>
        <v>0.672960373</v>
      </c>
      <c r="L68" s="213">
        <f t="shared" si="7"/>
        <v>1443.955</v>
      </c>
      <c r="M68" s="210">
        <f t="shared" si="8"/>
        <v>-0.0003152060963</v>
      </c>
      <c r="N68" s="213">
        <f t="shared" si="9"/>
        <v>2152.21</v>
      </c>
      <c r="O68" s="210">
        <f t="shared" si="10"/>
        <v>-0.003361305361</v>
      </c>
      <c r="P68" s="210">
        <f t="shared" si="11"/>
        <v>0.003046099265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217">
        <f>IFERROR(__xludf.DUMMYFUNCTION("""COMPUTED_VALUE"""),46230.64583333333)</f>
        <v>46230.64583</v>
      </c>
      <c r="C69" s="193">
        <f>IFERROR(__xludf.DUMMYFUNCTION("""COMPUTED_VALUE"""),1446.1)</f>
        <v>1446.1</v>
      </c>
      <c r="D69" s="9"/>
      <c r="E69" s="217">
        <f>IFERROR(__xludf.DUMMYFUNCTION("""COMPUTED_VALUE"""),46230.64583333333)</f>
        <v>46230.64583</v>
      </c>
      <c r="F69" s="193">
        <f>IFERROR(__xludf.DUMMYFUNCTION("""COMPUTED_VALUE"""),2174.6)</f>
        <v>2174.6</v>
      </c>
      <c r="G69" s="9"/>
      <c r="H69" s="29">
        <f t="shared" si="3"/>
        <v>0.6649958613</v>
      </c>
      <c r="I69" s="1">
        <f t="shared" si="4"/>
        <v>-728.5</v>
      </c>
      <c r="J69" s="113">
        <f t="shared" si="5"/>
        <v>-0.6104729164</v>
      </c>
      <c r="K69" s="199">
        <f t="shared" si="6"/>
        <v>0.6649958613</v>
      </c>
      <c r="L69" s="213">
        <f t="shared" si="7"/>
        <v>1446.895</v>
      </c>
      <c r="M69" s="210">
        <f t="shared" si="8"/>
        <v>-0.0005497545121</v>
      </c>
      <c r="N69" s="213">
        <f t="shared" si="9"/>
        <v>2153.375</v>
      </c>
      <c r="O69" s="210">
        <f t="shared" si="10"/>
        <v>0.009760415709</v>
      </c>
      <c r="P69" s="210">
        <f t="shared" si="11"/>
        <v>-0.01031017022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217">
        <f>IFERROR(__xludf.DUMMYFUNCTION("""COMPUTED_VALUE"""),46231.64583333333)</f>
        <v>46231.64583</v>
      </c>
      <c r="C70" s="193">
        <f>IFERROR(__xludf.DUMMYFUNCTION("""COMPUTED_VALUE"""),1491.8)</f>
        <v>1491.8</v>
      </c>
      <c r="D70" s="9"/>
      <c r="E70" s="217">
        <f>IFERROR(__xludf.DUMMYFUNCTION("""COMPUTED_VALUE"""),46231.64583333333)</f>
        <v>46231.64583</v>
      </c>
      <c r="F70" s="193">
        <f>IFERROR(__xludf.DUMMYFUNCTION("""COMPUTED_VALUE"""),2022.7)</f>
        <v>2022.7</v>
      </c>
      <c r="G70" s="9"/>
      <c r="H70" s="29">
        <f t="shared" si="3"/>
        <v>0.7375290453</v>
      </c>
      <c r="I70" s="1">
        <f t="shared" si="4"/>
        <v>-530.9</v>
      </c>
      <c r="J70" s="113">
        <f t="shared" si="5"/>
        <v>1.309783612</v>
      </c>
      <c r="K70" s="199">
        <f t="shared" si="6"/>
        <v>0.7375290453</v>
      </c>
      <c r="L70" s="213">
        <f t="shared" si="7"/>
        <v>1451.225</v>
      </c>
      <c r="M70" s="210">
        <f t="shared" si="8"/>
        <v>0.02719868615</v>
      </c>
      <c r="N70" s="213">
        <f t="shared" si="9"/>
        <v>2148.6</v>
      </c>
      <c r="O70" s="210">
        <f t="shared" si="10"/>
        <v>-0.06224353587</v>
      </c>
      <c r="P70" s="210">
        <f t="shared" si="11"/>
        <v>0.08944222202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217">
        <f>IFERROR(__xludf.DUMMYFUNCTION("""COMPUTED_VALUE"""),46232.64583333333)</f>
        <v>46232.64583</v>
      </c>
      <c r="C71" s="193">
        <f>IFERROR(__xludf.DUMMYFUNCTION("""COMPUTED_VALUE"""),1503.3)</f>
        <v>1503.3</v>
      </c>
      <c r="D71" s="9"/>
      <c r="E71" s="217">
        <f>IFERROR(__xludf.DUMMYFUNCTION("""COMPUTED_VALUE"""),46232.64583333333)</f>
        <v>46232.64583</v>
      </c>
      <c r="F71" s="193">
        <f>IFERROR(__xludf.DUMMYFUNCTION("""COMPUTED_VALUE"""),2117.8)</f>
        <v>2117.8</v>
      </c>
      <c r="G71" s="9"/>
      <c r="H71" s="29">
        <f t="shared" si="3"/>
        <v>0.7098404004</v>
      </c>
      <c r="I71" s="1">
        <f t="shared" si="4"/>
        <v>-614.5</v>
      </c>
      <c r="J71" s="113">
        <f t="shared" si="5"/>
        <v>0.4973673882</v>
      </c>
      <c r="K71" s="199">
        <f t="shared" si="6"/>
        <v>0.7098404004</v>
      </c>
      <c r="L71" s="213">
        <f t="shared" si="7"/>
        <v>1453.7</v>
      </c>
      <c r="M71" s="210">
        <f t="shared" si="8"/>
        <v>0.03299407969</v>
      </c>
      <c r="N71" s="213">
        <f t="shared" si="9"/>
        <v>2145.39</v>
      </c>
      <c r="O71" s="210">
        <f t="shared" si="10"/>
        <v>-0.01302767022</v>
      </c>
      <c r="P71" s="210">
        <f t="shared" si="11"/>
        <v>0.04602174992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217">
        <f>IFERROR(__xludf.DUMMYFUNCTION("""COMPUTED_VALUE"""),46233.64583333333)</f>
        <v>46233.64583</v>
      </c>
      <c r="C72" s="193">
        <f>IFERROR(__xludf.DUMMYFUNCTION("""COMPUTED_VALUE"""),1520.7)</f>
        <v>1520.7</v>
      </c>
      <c r="D72" s="9"/>
      <c r="E72" s="217">
        <f>IFERROR(__xludf.DUMMYFUNCTION("""COMPUTED_VALUE"""),46233.64583333333)</f>
        <v>46233.64583</v>
      </c>
      <c r="F72" s="193">
        <f>IFERROR(__xludf.DUMMYFUNCTION("""COMPUTED_VALUE"""),2107.9)</f>
        <v>2107.9</v>
      </c>
      <c r="G72" s="9"/>
      <c r="H72" s="29">
        <f t="shared" si="3"/>
        <v>0.7214289103</v>
      </c>
      <c r="I72" s="1">
        <f t="shared" si="4"/>
        <v>-587.2</v>
      </c>
      <c r="J72" s="113">
        <f t="shared" si="5"/>
        <v>0.7626659874</v>
      </c>
      <c r="K72" s="199">
        <f t="shared" si="6"/>
        <v>0.7214289103</v>
      </c>
      <c r="L72" s="213">
        <f t="shared" si="7"/>
        <v>1457.425</v>
      </c>
      <c r="M72" s="210">
        <f t="shared" si="8"/>
        <v>0.04160912738</v>
      </c>
      <c r="N72" s="213">
        <f t="shared" si="9"/>
        <v>2140.255</v>
      </c>
      <c r="O72" s="210">
        <f t="shared" si="10"/>
        <v>-0.01534939988</v>
      </c>
      <c r="P72" s="210">
        <f t="shared" si="11"/>
        <v>0.05695852725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217">
        <f>IFERROR(__xludf.DUMMYFUNCTION("""COMPUTED_VALUE"""),46234.64583333333)</f>
        <v>46234.64583</v>
      </c>
      <c r="C73" s="193">
        <f>IFERROR(__xludf.DUMMYFUNCTION("""COMPUTED_VALUE"""),1509.6)</f>
        <v>1509.6</v>
      </c>
      <c r="D73" s="9"/>
      <c r="E73" s="217">
        <f>IFERROR(__xludf.DUMMYFUNCTION("""COMPUTED_VALUE"""),46234.64583333333)</f>
        <v>46234.64583</v>
      </c>
      <c r="F73" s="193">
        <f>IFERROR(__xludf.DUMMYFUNCTION("""COMPUTED_VALUE"""),2101.3)</f>
        <v>2101.3</v>
      </c>
      <c r="G73" s="9"/>
      <c r="H73" s="29">
        <f t="shared" si="3"/>
        <v>0.7184124114</v>
      </c>
      <c r="I73" s="1">
        <f t="shared" si="4"/>
        <v>-591.7</v>
      </c>
      <c r="J73" s="113">
        <f t="shared" si="5"/>
        <v>0.7189354491</v>
      </c>
      <c r="K73" s="199">
        <f t="shared" si="6"/>
        <v>0.7184124114</v>
      </c>
      <c r="L73" s="213">
        <f t="shared" si="7"/>
        <v>1459.915</v>
      </c>
      <c r="M73" s="210">
        <f t="shared" si="8"/>
        <v>0.0329126921</v>
      </c>
      <c r="N73" s="213">
        <f t="shared" si="9"/>
        <v>2135.26</v>
      </c>
      <c r="O73" s="210">
        <f t="shared" si="10"/>
        <v>-0.01616142388</v>
      </c>
      <c r="P73" s="210">
        <f t="shared" si="11"/>
        <v>0.04907411598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93">
        <v>20.0</v>
      </c>
      <c r="B74" s="217">
        <f>IFERROR(__xludf.DUMMYFUNCTION("""COMPUTED_VALUE"""),46237.64583333333)</f>
        <v>46237.64583</v>
      </c>
      <c r="C74" s="193">
        <f>IFERROR(__xludf.DUMMYFUNCTION("""COMPUTED_VALUE"""),1530.0)</f>
        <v>1530</v>
      </c>
      <c r="D74" s="9"/>
      <c r="E74" s="217">
        <f>IFERROR(__xludf.DUMMYFUNCTION("""COMPUTED_VALUE"""),46237.64583333333)</f>
        <v>46237.64583</v>
      </c>
      <c r="F74" s="193">
        <f>IFERROR(__xludf.DUMMYFUNCTION("""COMPUTED_VALUE"""),2138.0)</f>
        <v>2138</v>
      </c>
      <c r="G74" s="9"/>
      <c r="H74" s="29">
        <f t="shared" si="3"/>
        <v>0.7156220767</v>
      </c>
      <c r="I74" s="1">
        <f t="shared" si="4"/>
        <v>-608</v>
      </c>
      <c r="J74" s="113">
        <f t="shared" si="5"/>
        <v>0.5605337213</v>
      </c>
      <c r="K74" s="199">
        <f t="shared" si="6"/>
        <v>0.7156220767</v>
      </c>
      <c r="L74" s="213">
        <f t="shared" si="7"/>
        <v>1462.73</v>
      </c>
      <c r="M74" s="210">
        <f t="shared" si="8"/>
        <v>0.04396732026</v>
      </c>
      <c r="N74" s="213">
        <f t="shared" si="9"/>
        <v>2132.06</v>
      </c>
      <c r="O74" s="210">
        <f t="shared" si="10"/>
        <v>0.002778297474</v>
      </c>
      <c r="P74" s="210">
        <f t="shared" si="11"/>
        <v>0.04118902279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217">
        <f>IFERROR(__xludf.DUMMYFUNCTION("""COMPUTED_VALUE"""),46238.64583333333)</f>
        <v>46238.64583</v>
      </c>
      <c r="C75" s="193">
        <f>IFERROR(__xludf.DUMMYFUNCTION("""COMPUTED_VALUE"""),1520.0)</f>
        <v>1520</v>
      </c>
      <c r="D75" s="9"/>
      <c r="E75" s="217">
        <f>IFERROR(__xludf.DUMMYFUNCTION("""COMPUTED_VALUE"""),46238.64583333333)</f>
        <v>46238.64583</v>
      </c>
      <c r="F75" s="193">
        <f>IFERROR(__xludf.DUMMYFUNCTION("""COMPUTED_VALUE"""),2096.5)</f>
        <v>2096.5</v>
      </c>
      <c r="G75" s="9"/>
      <c r="H75" s="29">
        <f t="shared" si="3"/>
        <v>0.725017887</v>
      </c>
      <c r="I75" s="1">
        <f t="shared" si="4"/>
        <v>-576.5</v>
      </c>
      <c r="J75" s="113">
        <f t="shared" si="5"/>
        <v>0.8666474897</v>
      </c>
      <c r="K75" s="199">
        <f t="shared" si="6"/>
        <v>0.725017887</v>
      </c>
      <c r="L75" s="213">
        <f t="shared" si="7"/>
        <v>1465.14</v>
      </c>
      <c r="M75" s="210">
        <f t="shared" si="8"/>
        <v>0.03609210526</v>
      </c>
      <c r="N75" s="213">
        <f t="shared" si="9"/>
        <v>2126.445</v>
      </c>
      <c r="O75" s="210">
        <f t="shared" si="10"/>
        <v>-0.01428332936</v>
      </c>
      <c r="P75" s="210">
        <f t="shared" si="11"/>
        <v>0.05037543462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217">
        <f>IFERROR(__xludf.DUMMYFUNCTION("""COMPUTED_VALUE"""),46239.64583333333)</f>
        <v>46239.64583</v>
      </c>
      <c r="C76" s="193">
        <f>IFERROR(__xludf.DUMMYFUNCTION("""COMPUTED_VALUE"""),1520.0)</f>
        <v>1520</v>
      </c>
      <c r="D76" s="9"/>
      <c r="E76" s="217">
        <f>IFERROR(__xludf.DUMMYFUNCTION("""COMPUTED_VALUE"""),46239.64583333333)</f>
        <v>46239.64583</v>
      </c>
      <c r="F76" s="193">
        <f>IFERROR(__xludf.DUMMYFUNCTION("""COMPUTED_VALUE"""),2085.3)</f>
        <v>2085.3</v>
      </c>
      <c r="G76" s="9"/>
      <c r="H76" s="29">
        <f t="shared" si="3"/>
        <v>0.7289119072</v>
      </c>
      <c r="I76" s="1">
        <f t="shared" si="4"/>
        <v>-565.3</v>
      </c>
      <c r="J76" s="113">
        <f t="shared" si="5"/>
        <v>0.9754879407</v>
      </c>
      <c r="K76" s="199">
        <f t="shared" si="6"/>
        <v>0.7289119072</v>
      </c>
      <c r="L76" s="213">
        <f t="shared" si="7"/>
        <v>1468.615</v>
      </c>
      <c r="M76" s="210">
        <f t="shared" si="8"/>
        <v>0.03380592105</v>
      </c>
      <c r="N76" s="213">
        <f t="shared" si="9"/>
        <v>2123.92</v>
      </c>
      <c r="O76" s="210">
        <f t="shared" si="10"/>
        <v>-0.01852011701</v>
      </c>
      <c r="P76" s="210">
        <f t="shared" si="11"/>
        <v>0.05232603806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217">
        <f>IFERROR(__xludf.DUMMYFUNCTION("""COMPUTED_VALUE"""),46240.64583333333)</f>
        <v>46240.64583</v>
      </c>
      <c r="C77" s="193">
        <f>IFERROR(__xludf.DUMMYFUNCTION("""COMPUTED_VALUE"""),1535.0)</f>
        <v>1535</v>
      </c>
      <c r="D77" s="9"/>
      <c r="E77" s="217">
        <f>IFERROR(__xludf.DUMMYFUNCTION("""COMPUTED_VALUE"""),46240.64583333333)</f>
        <v>46240.64583</v>
      </c>
      <c r="F77" s="193">
        <f>IFERROR(__xludf.DUMMYFUNCTION("""COMPUTED_VALUE"""),2079.5)</f>
        <v>2079.5</v>
      </c>
      <c r="G77" s="9"/>
      <c r="H77" s="29">
        <f t="shared" si="3"/>
        <v>0.7381582111</v>
      </c>
      <c r="I77" s="1">
        <f t="shared" si="4"/>
        <v>-544.5</v>
      </c>
      <c r="J77" s="113">
        <f t="shared" si="5"/>
        <v>1.177620207</v>
      </c>
      <c r="K77" s="199">
        <f t="shared" si="6"/>
        <v>0.7381582111</v>
      </c>
      <c r="L77" s="213">
        <f t="shared" si="7"/>
        <v>1472.205</v>
      </c>
      <c r="M77" s="210">
        <f t="shared" si="8"/>
        <v>0.04090879479</v>
      </c>
      <c r="N77" s="213">
        <f t="shared" si="9"/>
        <v>2120.67</v>
      </c>
      <c r="O77" s="210">
        <f t="shared" si="10"/>
        <v>-0.01979802837</v>
      </c>
      <c r="P77" s="210">
        <f t="shared" si="11"/>
        <v>0.06070682316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217">
        <f>IFERROR(__xludf.DUMMYFUNCTION("""COMPUTED_VALUE"""),46241.64583333333)</f>
        <v>46241.64583</v>
      </c>
      <c r="C78" s="193">
        <f>IFERROR(__xludf.DUMMYFUNCTION("""COMPUTED_VALUE"""),1540.0)</f>
        <v>1540</v>
      </c>
      <c r="D78" s="9"/>
      <c r="E78" s="217">
        <f>IFERROR(__xludf.DUMMYFUNCTION("""COMPUTED_VALUE"""),46241.64583333333)</f>
        <v>46241.64583</v>
      </c>
      <c r="F78" s="193">
        <f>IFERROR(__xludf.DUMMYFUNCTION("""COMPUTED_VALUE"""),2096.0)</f>
        <v>2096</v>
      </c>
      <c r="G78" s="9"/>
      <c r="H78" s="29">
        <f t="shared" si="3"/>
        <v>0.7347328244</v>
      </c>
      <c r="I78" s="1">
        <f t="shared" si="4"/>
        <v>-556</v>
      </c>
      <c r="J78" s="113">
        <f t="shared" si="5"/>
        <v>1.065864387</v>
      </c>
      <c r="K78" s="199">
        <f t="shared" si="6"/>
        <v>0.7347328244</v>
      </c>
      <c r="L78" s="213">
        <f t="shared" si="7"/>
        <v>1476.445</v>
      </c>
      <c r="M78" s="210">
        <f t="shared" si="8"/>
        <v>0.04126948052</v>
      </c>
      <c r="N78" s="213">
        <f t="shared" si="9"/>
        <v>2117.94</v>
      </c>
      <c r="O78" s="210">
        <f t="shared" si="10"/>
        <v>-0.01046755725</v>
      </c>
      <c r="P78" s="210">
        <f t="shared" si="11"/>
        <v>0.05173703777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217">
        <f>IFERROR(__xludf.DUMMYFUNCTION("""COMPUTED_VALUE"""),46244.64583333333)</f>
        <v>46244.64583</v>
      </c>
      <c r="C79" s="193">
        <f>IFERROR(__xludf.DUMMYFUNCTION("""COMPUTED_VALUE"""),1528.6)</f>
        <v>1528.6</v>
      </c>
      <c r="D79" s="9"/>
      <c r="E79" s="217">
        <f>IFERROR(__xludf.DUMMYFUNCTION("""COMPUTED_VALUE"""),46244.64583333333)</f>
        <v>46244.64583</v>
      </c>
      <c r="F79" s="193">
        <f>IFERROR(__xludf.DUMMYFUNCTION("""COMPUTED_VALUE"""),2087.2)</f>
        <v>2087.2</v>
      </c>
      <c r="G79" s="9"/>
      <c r="H79" s="29">
        <f t="shared" si="3"/>
        <v>0.7323687236</v>
      </c>
      <c r="I79" s="1">
        <f t="shared" si="4"/>
        <v>-558.6</v>
      </c>
      <c r="J79" s="113">
        <f t="shared" si="5"/>
        <v>1.040597853</v>
      </c>
      <c r="K79" s="199">
        <f t="shared" si="6"/>
        <v>0.7323687236</v>
      </c>
      <c r="L79" s="213">
        <f t="shared" si="7"/>
        <v>1481.525</v>
      </c>
      <c r="M79" s="210">
        <f t="shared" si="8"/>
        <v>0.03079615334</v>
      </c>
      <c r="N79" s="213">
        <f t="shared" si="9"/>
        <v>2115.77</v>
      </c>
      <c r="O79" s="210">
        <f t="shared" si="10"/>
        <v>-0.01368819471</v>
      </c>
      <c r="P79" s="210">
        <f t="shared" si="11"/>
        <v>0.04448434805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217">
        <f>IFERROR(__xludf.DUMMYFUNCTION("""COMPUTED_VALUE"""),46245.64583333333)</f>
        <v>46245.64583</v>
      </c>
      <c r="C80" s="193">
        <f>IFERROR(__xludf.DUMMYFUNCTION("""COMPUTED_VALUE"""),1493.2)</f>
        <v>1493.2</v>
      </c>
      <c r="D80" s="9"/>
      <c r="E80" s="217">
        <f>IFERROR(__xludf.DUMMYFUNCTION("""COMPUTED_VALUE"""),46245.64583333333)</f>
        <v>46245.64583</v>
      </c>
      <c r="F80" s="193">
        <f>IFERROR(__xludf.DUMMYFUNCTION("""COMPUTED_VALUE"""),2064.9)</f>
        <v>2064.9</v>
      </c>
      <c r="G80" s="9"/>
      <c r="H80" s="29">
        <f t="shared" si="3"/>
        <v>0.7231342922</v>
      </c>
      <c r="I80" s="1">
        <f t="shared" si="4"/>
        <v>-571.7</v>
      </c>
      <c r="J80" s="113">
        <f t="shared" si="5"/>
        <v>0.9132933973</v>
      </c>
      <c r="K80" s="199">
        <f t="shared" si="6"/>
        <v>0.7231342922</v>
      </c>
      <c r="L80" s="213">
        <f t="shared" si="7"/>
        <v>1484.83</v>
      </c>
      <c r="M80" s="210">
        <f t="shared" si="8"/>
        <v>0.005605411197</v>
      </c>
      <c r="N80" s="213">
        <f t="shared" si="9"/>
        <v>2113.005</v>
      </c>
      <c r="O80" s="210">
        <f t="shared" si="10"/>
        <v>-0.02329652768</v>
      </c>
      <c r="P80" s="210">
        <f t="shared" si="11"/>
        <v>0.02890193887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217">
        <f>IFERROR(__xludf.DUMMYFUNCTION("""COMPUTED_VALUE"""),46246.64583333333)</f>
        <v>46246.64583</v>
      </c>
      <c r="C81" s="193">
        <f>IFERROR(__xludf.DUMMYFUNCTION("""COMPUTED_VALUE"""),1507.0)</f>
        <v>1507</v>
      </c>
      <c r="D81" s="9"/>
      <c r="E81" s="217">
        <f>IFERROR(__xludf.DUMMYFUNCTION("""COMPUTED_VALUE"""),46246.64583333333)</f>
        <v>46246.64583</v>
      </c>
      <c r="F81" s="193">
        <f>IFERROR(__xludf.DUMMYFUNCTION("""COMPUTED_VALUE"""),2063.0)</f>
        <v>2063</v>
      </c>
      <c r="G81" s="9"/>
      <c r="H81" s="29">
        <f t="shared" si="3"/>
        <v>0.7304895783</v>
      </c>
      <c r="I81" s="1">
        <f t="shared" si="4"/>
        <v>-556</v>
      </c>
      <c r="J81" s="113">
        <f t="shared" si="5"/>
        <v>1.065864387</v>
      </c>
      <c r="K81" s="199">
        <f t="shared" si="6"/>
        <v>0.7304895783</v>
      </c>
      <c r="L81" s="213">
        <f t="shared" si="7"/>
        <v>1488.96</v>
      </c>
      <c r="M81" s="210">
        <f t="shared" si="8"/>
        <v>0.01197080292</v>
      </c>
      <c r="N81" s="213">
        <f t="shared" si="9"/>
        <v>2111.025</v>
      </c>
      <c r="O81" s="210">
        <f t="shared" si="10"/>
        <v>-0.02327920504</v>
      </c>
      <c r="P81" s="210">
        <f t="shared" si="11"/>
        <v>0.03525000796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217">
        <f>IFERROR(__xludf.DUMMYFUNCTION("""COMPUTED_VALUE"""),46247.64583333333)</f>
        <v>46247.64583</v>
      </c>
      <c r="C82" s="193">
        <f>IFERROR(__xludf.DUMMYFUNCTION("""COMPUTED_VALUE"""),1506.9)</f>
        <v>1506.9</v>
      </c>
      <c r="D82" s="9"/>
      <c r="E82" s="217">
        <f>IFERROR(__xludf.DUMMYFUNCTION("""COMPUTED_VALUE"""),46247.64583333333)</f>
        <v>46247.64583</v>
      </c>
      <c r="F82" s="193">
        <f>IFERROR(__xludf.DUMMYFUNCTION("""COMPUTED_VALUE"""),2092.0)</f>
        <v>2092</v>
      </c>
      <c r="G82" s="9"/>
      <c r="H82" s="29">
        <f t="shared" si="3"/>
        <v>0.7203154876</v>
      </c>
      <c r="I82" s="1">
        <f t="shared" si="4"/>
        <v>-585.1</v>
      </c>
      <c r="J82" s="113">
        <f t="shared" si="5"/>
        <v>0.783073572</v>
      </c>
      <c r="K82" s="199">
        <f t="shared" si="6"/>
        <v>0.7203154876</v>
      </c>
      <c r="L82" s="213">
        <f t="shared" si="7"/>
        <v>1493.13</v>
      </c>
      <c r="M82" s="210">
        <f t="shared" si="8"/>
        <v>0.009137965359</v>
      </c>
      <c r="N82" s="213">
        <f t="shared" si="9"/>
        <v>2110.705</v>
      </c>
      <c r="O82" s="210">
        <f t="shared" si="10"/>
        <v>-0.008941204589</v>
      </c>
      <c r="P82" s="210">
        <f t="shared" si="11"/>
        <v>0.01807916995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217">
        <f>IFERROR(__xludf.DUMMYFUNCTION("""COMPUTED_VALUE"""),46248.64583333333)</f>
        <v>46248.64583</v>
      </c>
      <c r="C83" s="193">
        <f>IFERROR(__xludf.DUMMYFUNCTION("""COMPUTED_VALUE"""),1499.1)</f>
        <v>1499.1</v>
      </c>
      <c r="D83" s="9"/>
      <c r="E83" s="217">
        <f>IFERROR(__xludf.DUMMYFUNCTION("""COMPUTED_VALUE"""),46248.64583333333)</f>
        <v>46248.64583</v>
      </c>
      <c r="F83" s="193">
        <f>IFERROR(__xludf.DUMMYFUNCTION("""COMPUTED_VALUE"""),2077.0)</f>
        <v>2077</v>
      </c>
      <c r="G83" s="9"/>
      <c r="H83" s="29">
        <f t="shared" si="3"/>
        <v>0.721762157</v>
      </c>
      <c r="I83" s="1">
        <f t="shared" si="4"/>
        <v>-577.9</v>
      </c>
      <c r="J83" s="113">
        <f t="shared" si="5"/>
        <v>0.8530424333</v>
      </c>
      <c r="K83" s="199">
        <f t="shared" si="6"/>
        <v>0.721762157</v>
      </c>
      <c r="L83" s="213">
        <f t="shared" si="7"/>
        <v>1496.725</v>
      </c>
      <c r="M83" s="210">
        <f t="shared" si="8"/>
        <v>0.001584283904</v>
      </c>
      <c r="N83" s="213">
        <f t="shared" si="9"/>
        <v>2107.365</v>
      </c>
      <c r="O83" s="210">
        <f t="shared" si="10"/>
        <v>-0.01461964372</v>
      </c>
      <c r="P83" s="210">
        <f t="shared" si="11"/>
        <v>0.01620392762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93">
        <v>10.0</v>
      </c>
      <c r="B84" s="217">
        <f>IFERROR(__xludf.DUMMYFUNCTION("""COMPUTED_VALUE"""),46251.64583333333)</f>
        <v>46251.64583</v>
      </c>
      <c r="C84" s="193">
        <f>IFERROR(__xludf.DUMMYFUNCTION("""COMPUTED_VALUE"""),1470.0)</f>
        <v>1470</v>
      </c>
      <c r="D84" s="9"/>
      <c r="E84" s="217">
        <f>IFERROR(__xludf.DUMMYFUNCTION("""COMPUTED_VALUE"""),46251.64583333333)</f>
        <v>46251.64583</v>
      </c>
      <c r="F84" s="193">
        <f>IFERROR(__xludf.DUMMYFUNCTION("""COMPUTED_VALUE"""),2055.0)</f>
        <v>2055</v>
      </c>
      <c r="G84" s="9"/>
      <c r="H84" s="29">
        <f t="shared" si="3"/>
        <v>0.7153284672</v>
      </c>
      <c r="I84" s="1">
        <f t="shared" si="4"/>
        <v>-585</v>
      </c>
      <c r="J84" s="113">
        <f t="shared" si="5"/>
        <v>0.7840453617</v>
      </c>
      <c r="K84" s="199">
        <f t="shared" si="6"/>
        <v>0.7153284672</v>
      </c>
      <c r="L84" s="213">
        <f t="shared" si="7"/>
        <v>1497.91</v>
      </c>
      <c r="M84" s="210">
        <f t="shared" si="8"/>
        <v>-0.01898639456</v>
      </c>
      <c r="N84" s="213">
        <f t="shared" si="9"/>
        <v>2103.13</v>
      </c>
      <c r="O84" s="210">
        <f t="shared" si="10"/>
        <v>-0.02342092457</v>
      </c>
      <c r="P84" s="210">
        <f t="shared" si="11"/>
        <v>0.004434530016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217">
        <f>IFERROR(__xludf.DUMMYFUNCTION("""COMPUTED_VALUE"""),46252.64583333333)</f>
        <v>46252.64583</v>
      </c>
      <c r="C85" s="193">
        <f>IFERROR(__xludf.DUMMYFUNCTION("""COMPUTED_VALUE"""),1462.5)</f>
        <v>1462.5</v>
      </c>
      <c r="D85" s="9"/>
      <c r="E85" s="217">
        <f>IFERROR(__xludf.DUMMYFUNCTION("""COMPUTED_VALUE"""),46252.64583333333)</f>
        <v>46252.64583</v>
      </c>
      <c r="F85" s="193">
        <f>IFERROR(__xludf.DUMMYFUNCTION("""COMPUTED_VALUE"""),2035.0)</f>
        <v>2035</v>
      </c>
      <c r="G85" s="9"/>
      <c r="H85" s="29">
        <f t="shared" si="3"/>
        <v>0.7186732187</v>
      </c>
      <c r="I85" s="1">
        <f t="shared" si="4"/>
        <v>-572.5</v>
      </c>
      <c r="J85" s="113">
        <f t="shared" si="5"/>
        <v>0.9055190793</v>
      </c>
      <c r="K85" s="199">
        <f t="shared" si="6"/>
        <v>0.7186732187</v>
      </c>
      <c r="L85" s="213">
        <f t="shared" si="7"/>
        <v>1498.44</v>
      </c>
      <c r="M85" s="210">
        <f t="shared" si="8"/>
        <v>-0.02457435897</v>
      </c>
      <c r="N85" s="213">
        <f t="shared" si="9"/>
        <v>2097.755</v>
      </c>
      <c r="O85" s="210">
        <f t="shared" si="10"/>
        <v>-0.03083783784</v>
      </c>
      <c r="P85" s="210">
        <f t="shared" si="11"/>
        <v>0.006263478863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217">
        <f>IFERROR(__xludf.DUMMYFUNCTION("""COMPUTED_VALUE"""),46253.64583333333)</f>
        <v>46253.64583</v>
      </c>
      <c r="C86" s="193">
        <f>IFERROR(__xludf.DUMMYFUNCTION("""COMPUTED_VALUE"""),1465.0)</f>
        <v>1465</v>
      </c>
      <c r="D86" s="9"/>
      <c r="E86" s="217">
        <f>IFERROR(__xludf.DUMMYFUNCTION("""COMPUTED_VALUE"""),46253.64583333333)</f>
        <v>46253.64583</v>
      </c>
      <c r="F86" s="193">
        <f>IFERROR(__xludf.DUMMYFUNCTION("""COMPUTED_VALUE"""),2020.7)</f>
        <v>2020.7</v>
      </c>
      <c r="G86" s="9"/>
      <c r="H86" s="29">
        <f t="shared" si="3"/>
        <v>0.7249962884</v>
      </c>
      <c r="I86" s="1">
        <f t="shared" si="4"/>
        <v>-555.7</v>
      </c>
      <c r="J86" s="113">
        <f t="shared" si="5"/>
        <v>1.068779756</v>
      </c>
      <c r="K86" s="199">
        <f t="shared" si="6"/>
        <v>0.7249962884</v>
      </c>
      <c r="L86" s="213">
        <f t="shared" si="7"/>
        <v>1497.01</v>
      </c>
      <c r="M86" s="210">
        <f t="shared" si="8"/>
        <v>-0.02184982935</v>
      </c>
      <c r="N86" s="213">
        <f t="shared" si="9"/>
        <v>2091.06</v>
      </c>
      <c r="O86" s="210">
        <f t="shared" si="10"/>
        <v>-0.03481961696</v>
      </c>
      <c r="P86" s="210">
        <f t="shared" si="11"/>
        <v>0.01296978761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217">
        <f>IFERROR(__xludf.DUMMYFUNCTION("""COMPUTED_VALUE"""),46254.64583333333)</f>
        <v>46254.64583</v>
      </c>
      <c r="C87" s="193">
        <f>IFERROR(__xludf.DUMMYFUNCTION("""COMPUTED_VALUE"""),1458.0)</f>
        <v>1458</v>
      </c>
      <c r="D87" s="9"/>
      <c r="E87" s="217">
        <f>IFERROR(__xludf.DUMMYFUNCTION("""COMPUTED_VALUE"""),46254.64583333333)</f>
        <v>46254.64583</v>
      </c>
      <c r="F87" s="193">
        <f>IFERROR(__xludf.DUMMYFUNCTION("""COMPUTED_VALUE"""),2028.0)</f>
        <v>2028</v>
      </c>
      <c r="G87" s="9"/>
      <c r="H87" s="29">
        <f t="shared" si="3"/>
        <v>0.7189349112</v>
      </c>
      <c r="I87" s="1">
        <f t="shared" si="4"/>
        <v>-570</v>
      </c>
      <c r="J87" s="113">
        <f t="shared" si="5"/>
        <v>0.9298138228</v>
      </c>
      <c r="K87" s="199">
        <f t="shared" si="6"/>
        <v>0.7189349112</v>
      </c>
      <c r="L87" s="213">
        <f t="shared" si="7"/>
        <v>1497.515</v>
      </c>
      <c r="M87" s="210">
        <f t="shared" si="8"/>
        <v>-0.02710219479</v>
      </c>
      <c r="N87" s="213">
        <f t="shared" si="9"/>
        <v>2084.37</v>
      </c>
      <c r="O87" s="210">
        <f t="shared" si="10"/>
        <v>-0.02779585799</v>
      </c>
      <c r="P87" s="210">
        <f t="shared" si="11"/>
        <v>0.0006936632008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217">
        <f>IFERROR(__xludf.DUMMYFUNCTION("""COMPUTED_VALUE"""),46255.64583333333)</f>
        <v>46255.64583</v>
      </c>
      <c r="C88" s="193">
        <f>IFERROR(__xludf.DUMMYFUNCTION("""COMPUTED_VALUE"""),1477.1)</f>
        <v>1477.1</v>
      </c>
      <c r="D88" s="9"/>
      <c r="E88" s="217">
        <f>IFERROR(__xludf.DUMMYFUNCTION("""COMPUTED_VALUE"""),46255.64583333333)</f>
        <v>46255.64583</v>
      </c>
      <c r="F88" s="193">
        <f>IFERROR(__xludf.DUMMYFUNCTION("""COMPUTED_VALUE"""),2015.0)</f>
        <v>2015</v>
      </c>
      <c r="G88" s="9"/>
      <c r="H88" s="29">
        <f t="shared" si="3"/>
        <v>0.7330521092</v>
      </c>
      <c r="I88" s="1">
        <f t="shared" si="4"/>
        <v>-537.9</v>
      </c>
      <c r="J88" s="113">
        <f t="shared" si="5"/>
        <v>1.24175833</v>
      </c>
      <c r="K88" s="199">
        <f t="shared" si="6"/>
        <v>0.7330521092</v>
      </c>
      <c r="L88" s="213">
        <f t="shared" si="7"/>
        <v>1499.195</v>
      </c>
      <c r="M88" s="210">
        <f t="shared" si="8"/>
        <v>-0.01495836436</v>
      </c>
      <c r="N88" s="213">
        <f t="shared" si="9"/>
        <v>2077.87</v>
      </c>
      <c r="O88" s="210">
        <f t="shared" si="10"/>
        <v>-0.03120099256</v>
      </c>
      <c r="P88" s="210">
        <f t="shared" si="11"/>
        <v>0.01624262819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217">
        <f>IFERROR(__xludf.DUMMYFUNCTION("""COMPUTED_VALUE"""),46258.64583333333)</f>
        <v>46258.64583</v>
      </c>
      <c r="C89" s="193">
        <f>IFERROR(__xludf.DUMMYFUNCTION("""COMPUTED_VALUE"""),1471.3)</f>
        <v>1471.3</v>
      </c>
      <c r="D89" s="9"/>
      <c r="E89" s="217">
        <f>IFERROR(__xludf.DUMMYFUNCTION("""COMPUTED_VALUE"""),46258.64583333333)</f>
        <v>46258.64583</v>
      </c>
      <c r="F89" s="193">
        <f>IFERROR(__xludf.DUMMYFUNCTION("""COMPUTED_VALUE"""),2030.0)</f>
        <v>2030</v>
      </c>
      <c r="G89" s="9"/>
      <c r="H89" s="29">
        <f t="shared" si="3"/>
        <v>0.7247783251</v>
      </c>
      <c r="I89" s="1">
        <f t="shared" si="4"/>
        <v>-558.7</v>
      </c>
      <c r="J89" s="113">
        <f t="shared" si="5"/>
        <v>1.039626064</v>
      </c>
      <c r="K89" s="199">
        <f t="shared" si="6"/>
        <v>0.7247783251</v>
      </c>
      <c r="L89" s="213">
        <f t="shared" si="7"/>
        <v>1500.455</v>
      </c>
      <c r="M89" s="210">
        <f t="shared" si="8"/>
        <v>-0.01981580915</v>
      </c>
      <c r="N89" s="213">
        <f t="shared" si="9"/>
        <v>2070.64</v>
      </c>
      <c r="O89" s="210">
        <f t="shared" si="10"/>
        <v>-0.02001970443</v>
      </c>
      <c r="P89" s="210">
        <f t="shared" si="11"/>
        <v>0.0002038952851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217">
        <f>IFERROR(__xludf.DUMMYFUNCTION("""COMPUTED_VALUE"""),46259.64583333333)</f>
        <v>46259.64583</v>
      </c>
      <c r="C90" s="193">
        <f>IFERROR(__xludf.DUMMYFUNCTION("""COMPUTED_VALUE"""),1479.0)</f>
        <v>1479</v>
      </c>
      <c r="D90" s="209"/>
      <c r="E90" s="217">
        <f>IFERROR(__xludf.DUMMYFUNCTION("""COMPUTED_VALUE"""),46259.64583333333)</f>
        <v>46259.64583</v>
      </c>
      <c r="F90" s="193">
        <f>IFERROR(__xludf.DUMMYFUNCTION("""COMPUTED_VALUE"""),2024.2)</f>
        <v>2024.2</v>
      </c>
      <c r="G90" s="9"/>
      <c r="H90" s="29">
        <f t="shared" si="3"/>
        <v>0.7306590258</v>
      </c>
      <c r="I90" s="1">
        <f t="shared" si="4"/>
        <v>-545.2</v>
      </c>
      <c r="J90" s="113">
        <f t="shared" si="5"/>
        <v>1.170817679</v>
      </c>
      <c r="K90" s="199">
        <f t="shared" si="6"/>
        <v>0.7306590258</v>
      </c>
      <c r="L90" s="213">
        <f t="shared" si="7"/>
        <v>1499.815</v>
      </c>
      <c r="M90" s="210">
        <f t="shared" si="8"/>
        <v>-0.01407369844</v>
      </c>
      <c r="N90" s="213">
        <f t="shared" si="9"/>
        <v>2070.715</v>
      </c>
      <c r="O90" s="210">
        <f t="shared" si="10"/>
        <v>-0.02297944867</v>
      </c>
      <c r="P90" s="210">
        <f t="shared" si="11"/>
        <v>0.008905750226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217">
        <f>IFERROR(__xludf.DUMMYFUNCTION("""COMPUTED_VALUE"""),46260.64583333333)</f>
        <v>46260.64583</v>
      </c>
      <c r="C91" s="193">
        <f>IFERROR(__xludf.DUMMYFUNCTION("""COMPUTED_VALUE"""),1451.5)</f>
        <v>1451.5</v>
      </c>
      <c r="D91" s="9"/>
      <c r="E91" s="217">
        <f>IFERROR(__xludf.DUMMYFUNCTION("""COMPUTED_VALUE"""),46260.64583333333)</f>
        <v>46260.64583</v>
      </c>
      <c r="F91" s="193">
        <f>IFERROR(__xludf.DUMMYFUNCTION("""COMPUTED_VALUE"""),2021.0)</f>
        <v>2021</v>
      </c>
      <c r="G91" s="9"/>
      <c r="H91" s="29">
        <f t="shared" si="3"/>
        <v>0.7182088075</v>
      </c>
      <c r="I91" s="1">
        <f t="shared" si="4"/>
        <v>-569.5</v>
      </c>
      <c r="J91" s="113">
        <f t="shared" si="5"/>
        <v>0.9346727716</v>
      </c>
      <c r="K91" s="199">
        <f t="shared" si="6"/>
        <v>0.7182088075</v>
      </c>
      <c r="L91" s="213">
        <f t="shared" si="7"/>
        <v>1497.225</v>
      </c>
      <c r="M91" s="210">
        <f t="shared" si="8"/>
        <v>-0.03150189459</v>
      </c>
      <c r="N91" s="213">
        <f t="shared" si="9"/>
        <v>2065.875</v>
      </c>
      <c r="O91" s="210">
        <f t="shared" si="10"/>
        <v>-0.02220435428</v>
      </c>
      <c r="P91" s="210">
        <f t="shared" si="11"/>
        <v>-0.009297540312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217">
        <f>IFERROR(__xludf.DUMMYFUNCTION("""COMPUTED_VALUE"""),46261.64583333333)</f>
        <v>46261.64583</v>
      </c>
      <c r="C92" s="193">
        <f>IFERROR(__xludf.DUMMYFUNCTION("""COMPUTED_VALUE"""),1450.0)</f>
        <v>1450</v>
      </c>
      <c r="D92" s="9"/>
      <c r="E92" s="217">
        <f>IFERROR(__xludf.DUMMYFUNCTION("""COMPUTED_VALUE"""),46261.64583333333)</f>
        <v>46261.64583</v>
      </c>
      <c r="F92" s="193">
        <f>IFERROR(__xludf.DUMMYFUNCTION("""COMPUTED_VALUE"""),2009.0)</f>
        <v>2009</v>
      </c>
      <c r="G92" s="9"/>
      <c r="H92" s="29">
        <f t="shared" si="3"/>
        <v>0.7217521155</v>
      </c>
      <c r="I92" s="1">
        <f t="shared" si="4"/>
        <v>-559</v>
      </c>
      <c r="J92" s="113">
        <f t="shared" si="5"/>
        <v>1.036710694</v>
      </c>
      <c r="K92" s="199">
        <f t="shared" si="6"/>
        <v>0.7217521155</v>
      </c>
      <c r="L92" s="213">
        <f t="shared" si="7"/>
        <v>1493.69</v>
      </c>
      <c r="M92" s="210">
        <f t="shared" si="8"/>
        <v>-0.03013103448</v>
      </c>
      <c r="N92" s="213">
        <f t="shared" si="9"/>
        <v>2060.93</v>
      </c>
      <c r="O92" s="210">
        <f t="shared" si="10"/>
        <v>-0.02584868094</v>
      </c>
      <c r="P92" s="210">
        <f t="shared" si="11"/>
        <v>-0.004282353547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217">
        <f>IFERROR(__xludf.DUMMYFUNCTION("""COMPUTED_VALUE"""),46262.64583333333)</f>
        <v>46262.64583</v>
      </c>
      <c r="C93" s="193">
        <f>IFERROR(__xludf.DUMMYFUNCTION("""COMPUTED_VALUE"""),1454.6)</f>
        <v>1454.6</v>
      </c>
      <c r="D93" s="9"/>
      <c r="E93" s="217">
        <f>IFERROR(__xludf.DUMMYFUNCTION("""COMPUTED_VALUE"""),46262.64583333333)</f>
        <v>46262.64583</v>
      </c>
      <c r="F93" s="193">
        <f>IFERROR(__xludf.DUMMYFUNCTION("""COMPUTED_VALUE"""),2010.4)</f>
        <v>2010.4</v>
      </c>
      <c r="G93" s="9"/>
      <c r="H93" s="29">
        <f t="shared" si="3"/>
        <v>0.7235376045</v>
      </c>
      <c r="I93" s="1">
        <f t="shared" si="4"/>
        <v>-555.8</v>
      </c>
      <c r="J93" s="113">
        <f t="shared" si="5"/>
        <v>1.067807966</v>
      </c>
      <c r="K93" s="199">
        <f t="shared" si="6"/>
        <v>0.7235376045</v>
      </c>
      <c r="L93" s="213">
        <f t="shared" si="7"/>
        <v>1490.94</v>
      </c>
      <c r="M93" s="210">
        <f t="shared" si="8"/>
        <v>-0.02498281314</v>
      </c>
      <c r="N93" s="213">
        <f t="shared" si="9"/>
        <v>2056.385</v>
      </c>
      <c r="O93" s="210">
        <f t="shared" si="10"/>
        <v>-0.0228735575</v>
      </c>
      <c r="P93" s="210">
        <f t="shared" si="11"/>
        <v>-0.002109255644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217">
        <f>IFERROR(__xludf.DUMMYFUNCTION("""COMPUTED_VALUE"""),46265.64583333333)</f>
        <v>46265.64583</v>
      </c>
      <c r="C94" s="193">
        <f>IFERROR(__xludf.DUMMYFUNCTION("""COMPUTED_VALUE"""),1496.5)</f>
        <v>1496.5</v>
      </c>
      <c r="D94" s="9"/>
      <c r="E94" s="217">
        <f>IFERROR(__xludf.DUMMYFUNCTION("""COMPUTED_VALUE"""),46265.64583333333)</f>
        <v>46265.64583</v>
      </c>
      <c r="F94" s="193">
        <f>IFERROR(__xludf.DUMMYFUNCTION("""COMPUTED_VALUE"""),1967.4)</f>
        <v>1967.4</v>
      </c>
      <c r="G94" s="9"/>
      <c r="H94" s="29">
        <f t="shared" si="3"/>
        <v>0.7606485717</v>
      </c>
      <c r="I94" s="1">
        <f t="shared" si="4"/>
        <v>-470.9</v>
      </c>
      <c r="J94" s="113">
        <f t="shared" si="5"/>
        <v>1.892857456</v>
      </c>
      <c r="K94" s="199">
        <f t="shared" si="6"/>
        <v>0.7606485717</v>
      </c>
      <c r="L94" s="213">
        <f t="shared" si="7"/>
        <v>1489.265</v>
      </c>
      <c r="M94" s="210">
        <f t="shared" si="8"/>
        <v>0.0048346141</v>
      </c>
      <c r="N94" s="213">
        <f t="shared" si="9"/>
        <v>2047.855</v>
      </c>
      <c r="O94" s="210">
        <f t="shared" si="10"/>
        <v>-0.0408940734</v>
      </c>
      <c r="P94" s="210">
        <f t="shared" si="11"/>
        <v>0.0457286875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232">
        <f>IFERROR(__xludf.DUMMYFUNCTION("""COMPUTED_VALUE"""),46266.64583333333)</f>
        <v>46266.64583</v>
      </c>
      <c r="C95" s="193">
        <f>IFERROR(__xludf.DUMMYFUNCTION("""COMPUTED_VALUE"""),1438.2)</f>
        <v>1438.2</v>
      </c>
      <c r="D95" s="9"/>
      <c r="E95" s="217">
        <f>IFERROR(__xludf.DUMMYFUNCTION("""COMPUTED_VALUE"""),46266.64583333333)</f>
        <v>46266.64583</v>
      </c>
      <c r="F95" s="193">
        <f>IFERROR(__xludf.DUMMYFUNCTION("""COMPUTED_VALUE"""),1994.8)</f>
        <v>1994.8</v>
      </c>
      <c r="G95" s="9"/>
      <c r="H95" s="29">
        <f t="shared" si="3"/>
        <v>0.7209745338</v>
      </c>
      <c r="I95" s="1">
        <f t="shared" si="4"/>
        <v>-556.6</v>
      </c>
      <c r="J95" s="113">
        <f t="shared" si="5"/>
        <v>1.060033648</v>
      </c>
      <c r="K95" s="199">
        <f t="shared" si="6"/>
        <v>0.7209745338</v>
      </c>
      <c r="L95" s="213">
        <f t="shared" si="7"/>
        <v>1485.175</v>
      </c>
      <c r="M95" s="210">
        <f t="shared" si="8"/>
        <v>-0.03266235572</v>
      </c>
      <c r="N95" s="213">
        <f t="shared" si="9"/>
        <v>2042.77</v>
      </c>
      <c r="O95" s="210">
        <f t="shared" si="10"/>
        <v>-0.02404752356</v>
      </c>
      <c r="P95" s="210">
        <f t="shared" si="11"/>
        <v>-0.008614832161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217">
        <f>IFERROR(__xludf.DUMMYFUNCTION("""COMPUTED_VALUE"""),46267.64583333333)</f>
        <v>46267.64583</v>
      </c>
      <c r="C96" s="193">
        <f>IFERROR(__xludf.DUMMYFUNCTION("""COMPUTED_VALUE"""),1425.0)</f>
        <v>1425</v>
      </c>
      <c r="D96" s="9"/>
      <c r="E96" s="217">
        <f>IFERROR(__xludf.DUMMYFUNCTION("""COMPUTED_VALUE"""),46267.64583333333)</f>
        <v>46267.64583</v>
      </c>
      <c r="F96" s="193">
        <f>IFERROR(__xludf.DUMMYFUNCTION("""COMPUTED_VALUE"""),1975.0)</f>
        <v>1975</v>
      </c>
      <c r="G96" s="9"/>
      <c r="H96" s="29">
        <f t="shared" si="3"/>
        <v>0.7215189873</v>
      </c>
      <c r="I96" s="1">
        <f t="shared" si="4"/>
        <v>-550</v>
      </c>
      <c r="J96" s="113">
        <f t="shared" si="5"/>
        <v>1.124171771</v>
      </c>
      <c r="K96" s="199">
        <f t="shared" si="6"/>
        <v>0.7215189873</v>
      </c>
      <c r="L96" s="213">
        <f t="shared" si="7"/>
        <v>1480.425</v>
      </c>
      <c r="M96" s="210">
        <f t="shared" si="8"/>
        <v>-0.03889473684</v>
      </c>
      <c r="N96" s="213">
        <f t="shared" si="9"/>
        <v>2037.255</v>
      </c>
      <c r="O96" s="210">
        <f t="shared" si="10"/>
        <v>-0.03152151899</v>
      </c>
      <c r="P96" s="210">
        <f t="shared" si="11"/>
        <v>-0.007373217855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217">
        <f>IFERROR(__xludf.DUMMYFUNCTION("""COMPUTED_VALUE"""),46268.64583333333)</f>
        <v>46268.64583</v>
      </c>
      <c r="C97" s="193">
        <f>IFERROR(__xludf.DUMMYFUNCTION("""COMPUTED_VALUE"""),1416.0)</f>
        <v>1416</v>
      </c>
      <c r="D97" s="9"/>
      <c r="E97" s="217">
        <f>IFERROR(__xludf.DUMMYFUNCTION("""COMPUTED_VALUE"""),46268.64583333333)</f>
        <v>46268.64583</v>
      </c>
      <c r="F97" s="193">
        <f>IFERROR(__xludf.DUMMYFUNCTION("""COMPUTED_VALUE"""),1962.0)</f>
        <v>1962</v>
      </c>
      <c r="G97" s="9"/>
      <c r="H97" s="29">
        <f t="shared" si="3"/>
        <v>0.7217125382</v>
      </c>
      <c r="I97" s="1">
        <f t="shared" si="4"/>
        <v>-546</v>
      </c>
      <c r="J97" s="113">
        <f t="shared" si="5"/>
        <v>1.163043361</v>
      </c>
      <c r="K97" s="199">
        <f t="shared" si="6"/>
        <v>0.7217125382</v>
      </c>
      <c r="L97" s="213">
        <f t="shared" si="7"/>
        <v>1474.475</v>
      </c>
      <c r="M97" s="210">
        <f t="shared" si="8"/>
        <v>-0.04129590395</v>
      </c>
      <c r="N97" s="213">
        <f t="shared" si="9"/>
        <v>2031.38</v>
      </c>
      <c r="O97" s="210">
        <f t="shared" si="10"/>
        <v>-0.03536187564</v>
      </c>
      <c r="P97" s="210">
        <f t="shared" si="11"/>
        <v>-0.005934028318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217">
        <f>IFERROR(__xludf.DUMMYFUNCTION("""COMPUTED_VALUE"""),46269.64583333333)</f>
        <v>46269.64583</v>
      </c>
      <c r="C98" s="193">
        <f>IFERROR(__xludf.DUMMYFUNCTION("""COMPUTED_VALUE"""),1410.5)</f>
        <v>1410.5</v>
      </c>
      <c r="D98" s="9"/>
      <c r="E98" s="217">
        <f>IFERROR(__xludf.DUMMYFUNCTION("""COMPUTED_VALUE"""),46269.64583333333)</f>
        <v>46269.64583</v>
      </c>
      <c r="F98" s="193">
        <f>IFERROR(__xludf.DUMMYFUNCTION("""COMPUTED_VALUE"""),1973.4)</f>
        <v>1973.4</v>
      </c>
      <c r="G98" s="9"/>
      <c r="H98" s="29">
        <f t="shared" si="3"/>
        <v>0.7147562582</v>
      </c>
      <c r="I98" s="1">
        <f t="shared" si="4"/>
        <v>-562.9</v>
      </c>
      <c r="J98" s="113">
        <f t="shared" si="5"/>
        <v>0.9988108944</v>
      </c>
      <c r="K98" s="199">
        <f t="shared" si="6"/>
        <v>0.7147562582</v>
      </c>
      <c r="L98" s="213">
        <f t="shared" si="7"/>
        <v>1468</v>
      </c>
      <c r="M98" s="210">
        <f t="shared" si="8"/>
        <v>-0.04076568593</v>
      </c>
      <c r="N98" s="213">
        <f t="shared" si="9"/>
        <v>2025.25</v>
      </c>
      <c r="O98" s="210">
        <f t="shared" si="10"/>
        <v>-0.02627445019</v>
      </c>
      <c r="P98" s="210">
        <f t="shared" si="11"/>
        <v>-0.01449123574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232">
        <f>IFERROR(__xludf.DUMMYFUNCTION("""COMPUTED_VALUE"""),46272.64583333333)</f>
        <v>46272.64583</v>
      </c>
      <c r="C99" s="193">
        <f>IFERROR(__xludf.DUMMYFUNCTION("""COMPUTED_VALUE"""),1398.0)</f>
        <v>1398</v>
      </c>
      <c r="D99" s="9"/>
      <c r="E99" s="217">
        <f>IFERROR(__xludf.DUMMYFUNCTION("""COMPUTED_VALUE"""),46272.64583333333)</f>
        <v>46272.64583</v>
      </c>
      <c r="F99" s="193">
        <f>IFERROR(__xludf.DUMMYFUNCTION("""COMPUTED_VALUE"""),1960.0)</f>
        <v>1960</v>
      </c>
      <c r="G99" s="9"/>
      <c r="H99" s="29">
        <f t="shared" si="3"/>
        <v>0.7132653061</v>
      </c>
      <c r="I99" s="1">
        <f t="shared" si="4"/>
        <v>-562</v>
      </c>
      <c r="J99" s="113">
        <f t="shared" si="5"/>
        <v>1.007557002</v>
      </c>
      <c r="K99" s="199">
        <f t="shared" si="6"/>
        <v>0.7132653061</v>
      </c>
      <c r="L99" s="213">
        <f t="shared" si="7"/>
        <v>1461.47</v>
      </c>
      <c r="M99" s="210">
        <f t="shared" si="8"/>
        <v>-0.04540057225</v>
      </c>
      <c r="N99" s="213">
        <f t="shared" si="9"/>
        <v>2018.89</v>
      </c>
      <c r="O99" s="210">
        <f t="shared" si="10"/>
        <v>-0.03004591837</v>
      </c>
      <c r="P99" s="210">
        <f t="shared" si="11"/>
        <v>-0.01535465388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232">
        <f>IFERROR(__xludf.DUMMYFUNCTION("""COMPUTED_VALUE"""),46273.64583333333)</f>
        <v>46273.64583</v>
      </c>
      <c r="C100" s="193">
        <f>IFERROR(__xludf.DUMMYFUNCTION("""COMPUTED_VALUE"""),1400.5)</f>
        <v>1400.5</v>
      </c>
      <c r="D100" s="9"/>
      <c r="E100" s="217">
        <f>IFERROR(__xludf.DUMMYFUNCTION("""COMPUTED_VALUE"""),46273.64583333333)</f>
        <v>46273.64583</v>
      </c>
      <c r="F100" s="193">
        <f>IFERROR(__xludf.DUMMYFUNCTION("""COMPUTED_VALUE"""),1980.0)</f>
        <v>1980</v>
      </c>
      <c r="G100" s="206"/>
      <c r="H100" s="29">
        <f t="shared" si="3"/>
        <v>0.7073232323</v>
      </c>
      <c r="I100" s="1">
        <f t="shared" si="4"/>
        <v>-579.5</v>
      </c>
      <c r="J100" s="113">
        <f t="shared" si="5"/>
        <v>0.8374937975</v>
      </c>
      <c r="K100" s="199">
        <f t="shared" si="6"/>
        <v>0.7073232323</v>
      </c>
      <c r="L100" s="213">
        <f t="shared" si="7"/>
        <v>1456.835</v>
      </c>
      <c r="M100" s="210">
        <f t="shared" si="8"/>
        <v>-0.04022491967</v>
      </c>
      <c r="N100" s="213">
        <f t="shared" si="9"/>
        <v>2014.645</v>
      </c>
      <c r="O100" s="210">
        <f t="shared" si="10"/>
        <v>-0.01749747475</v>
      </c>
      <c r="P100" s="210">
        <f t="shared" si="11"/>
        <v>-0.02272744492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217">
        <f>IFERROR(__xludf.DUMMYFUNCTION("""COMPUTED_VALUE"""),46274.64583333333)</f>
        <v>46274.64583</v>
      </c>
      <c r="C101" s="193">
        <f>IFERROR(__xludf.DUMMYFUNCTION("""COMPUTED_VALUE"""),1393.0)</f>
        <v>1393</v>
      </c>
      <c r="D101" s="9"/>
      <c r="E101" s="217">
        <f>IFERROR(__xludf.DUMMYFUNCTION("""COMPUTED_VALUE"""),46274.64583333333)</f>
        <v>46274.64583</v>
      </c>
      <c r="F101" s="193">
        <f>IFERROR(__xludf.DUMMYFUNCTION("""COMPUTED_VALUE"""),1945.0)</f>
        <v>1945</v>
      </c>
      <c r="G101" s="191"/>
      <c r="H101" s="29">
        <f t="shared" si="3"/>
        <v>0.7161953728</v>
      </c>
      <c r="I101" s="1">
        <f t="shared" si="4"/>
        <v>-552</v>
      </c>
      <c r="J101" s="113">
        <f t="shared" si="5"/>
        <v>1.104735976</v>
      </c>
      <c r="K101" s="199">
        <f t="shared" si="6"/>
        <v>0.7161953728</v>
      </c>
      <c r="L101" s="213">
        <f t="shared" si="7"/>
        <v>1451.135</v>
      </c>
      <c r="M101" s="210">
        <f t="shared" si="8"/>
        <v>-0.04173366834</v>
      </c>
      <c r="N101" s="213">
        <f t="shared" si="9"/>
        <v>2008.745</v>
      </c>
      <c r="O101" s="210">
        <f t="shared" si="10"/>
        <v>-0.03277377892</v>
      </c>
      <c r="P101" s="210">
        <f t="shared" si="11"/>
        <v>-0.008959889421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217">
        <f>IFERROR(__xludf.DUMMYFUNCTION("""COMPUTED_VALUE"""),46275.64583333333)</f>
        <v>46275.64583</v>
      </c>
      <c r="C102" s="193">
        <f>IFERROR(__xludf.DUMMYFUNCTION("""COMPUTED_VALUE"""),1386.2)</f>
        <v>1386.2</v>
      </c>
      <c r="D102" s="9"/>
      <c r="E102" s="217">
        <f>IFERROR(__xludf.DUMMYFUNCTION("""COMPUTED_VALUE"""),46275.64583333333)</f>
        <v>46275.64583</v>
      </c>
      <c r="F102" s="193">
        <f>IFERROR(__xludf.DUMMYFUNCTION("""COMPUTED_VALUE"""),1942.3)</f>
        <v>1942.3</v>
      </c>
      <c r="G102" s="191"/>
      <c r="H102" s="29">
        <f t="shared" si="3"/>
        <v>0.7136899552</v>
      </c>
      <c r="I102" s="1">
        <f t="shared" si="4"/>
        <v>-556.1</v>
      </c>
      <c r="J102" s="113">
        <f t="shared" si="5"/>
        <v>1.064892597</v>
      </c>
      <c r="K102" s="199">
        <f t="shared" si="6"/>
        <v>0.7136899552</v>
      </c>
      <c r="L102" s="213">
        <f t="shared" si="7"/>
        <v>1445.1</v>
      </c>
      <c r="M102" s="210">
        <f t="shared" si="8"/>
        <v>-0.04249026115</v>
      </c>
      <c r="N102" s="213">
        <f t="shared" si="9"/>
        <v>2001.26</v>
      </c>
      <c r="O102" s="210">
        <f t="shared" si="10"/>
        <v>-0.03035576379</v>
      </c>
      <c r="P102" s="210">
        <f t="shared" si="11"/>
        <v>-0.01213449736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217">
        <f>IFERROR(__xludf.DUMMYFUNCTION("""COMPUTED_VALUE"""),46276.64583333333)</f>
        <v>46276.64583</v>
      </c>
      <c r="C103" s="193">
        <f>IFERROR(__xludf.DUMMYFUNCTION("""COMPUTED_VALUE"""),1383.3)</f>
        <v>1383.3</v>
      </c>
      <c r="D103" s="9"/>
      <c r="E103" s="217">
        <f>IFERROR(__xludf.DUMMYFUNCTION("""COMPUTED_VALUE"""),46276.64583333333)</f>
        <v>46276.64583</v>
      </c>
      <c r="F103" s="193">
        <f>IFERROR(__xludf.DUMMYFUNCTION("""COMPUTED_VALUE"""),1927.0)</f>
        <v>1927</v>
      </c>
      <c r="G103" s="191"/>
      <c r="H103" s="29">
        <f t="shared" si="3"/>
        <v>0.7178515828</v>
      </c>
      <c r="I103" s="1">
        <f t="shared" si="4"/>
        <v>-543.7</v>
      </c>
      <c r="J103" s="113">
        <f t="shared" si="5"/>
        <v>1.185394525</v>
      </c>
      <c r="K103" s="199">
        <f t="shared" si="6"/>
        <v>0.7178515828</v>
      </c>
      <c r="L103" s="213">
        <f t="shared" si="7"/>
        <v>1439.31</v>
      </c>
      <c r="M103" s="210">
        <f t="shared" si="8"/>
        <v>-0.04049013229</v>
      </c>
      <c r="N103" s="213">
        <f t="shared" si="9"/>
        <v>1993.76</v>
      </c>
      <c r="O103" s="210">
        <f t="shared" si="10"/>
        <v>-0.03464452517</v>
      </c>
      <c r="P103" s="210">
        <f t="shared" si="11"/>
        <v>-0.005845607124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217">
        <f>IFERROR(__xludf.DUMMYFUNCTION("""COMPUTED_VALUE"""),46280.64583333333)</f>
        <v>46280.64583</v>
      </c>
      <c r="C104" s="193">
        <f>IFERROR(__xludf.DUMMYFUNCTION("""COMPUTED_VALUE"""),1362.0)</f>
        <v>1362</v>
      </c>
      <c r="D104" s="9"/>
      <c r="E104" s="217">
        <f>IFERROR(__xludf.DUMMYFUNCTION("""COMPUTED_VALUE"""),46280.64583333333)</f>
        <v>46280.64583</v>
      </c>
      <c r="F104" s="193">
        <f>IFERROR(__xludf.DUMMYFUNCTION("""COMPUTED_VALUE"""),1938.1)</f>
        <v>1938.1</v>
      </c>
      <c r="G104" s="191"/>
      <c r="H104" s="29">
        <f t="shared" si="3"/>
        <v>0.7027501161</v>
      </c>
      <c r="I104" s="1">
        <f t="shared" si="4"/>
        <v>-576.1</v>
      </c>
      <c r="J104" s="113">
        <f t="shared" si="5"/>
        <v>0.8705346487</v>
      </c>
      <c r="K104" s="199">
        <f t="shared" si="6"/>
        <v>0.7027501161</v>
      </c>
      <c r="L104" s="213">
        <f t="shared" si="7"/>
        <v>1433.91</v>
      </c>
      <c r="M104" s="210">
        <f t="shared" si="8"/>
        <v>-0.05279735683</v>
      </c>
      <c r="N104" s="213">
        <f t="shared" si="9"/>
        <v>1987.915</v>
      </c>
      <c r="O104" s="210">
        <f t="shared" si="10"/>
        <v>-0.0257030081</v>
      </c>
      <c r="P104" s="210">
        <f t="shared" si="11"/>
        <v>-0.02709434873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217">
        <f>IFERROR(__xludf.DUMMYFUNCTION("""COMPUTED_VALUE"""),46281.64583333333)</f>
        <v>46281.64583</v>
      </c>
      <c r="C105" s="193">
        <f>IFERROR(__xludf.DUMMYFUNCTION("""COMPUTED_VALUE"""),1384.5)</f>
        <v>1384.5</v>
      </c>
      <c r="D105" s="9"/>
      <c r="E105" s="217">
        <f>IFERROR(__xludf.DUMMYFUNCTION("""COMPUTED_VALUE"""),46281.64583333333)</f>
        <v>46281.64583</v>
      </c>
      <c r="F105" s="193">
        <f>IFERROR(__xludf.DUMMYFUNCTION("""COMPUTED_VALUE"""),1962.0)</f>
        <v>1962</v>
      </c>
      <c r="G105" s="191"/>
      <c r="H105" s="29">
        <f t="shared" si="3"/>
        <v>0.7056574924</v>
      </c>
      <c r="I105" s="1">
        <f t="shared" si="4"/>
        <v>-577.5</v>
      </c>
      <c r="J105" s="113">
        <f t="shared" si="5"/>
        <v>0.8569295923</v>
      </c>
      <c r="K105" s="199">
        <f t="shared" si="6"/>
        <v>0.7056574924</v>
      </c>
      <c r="L105" s="213">
        <f t="shared" si="7"/>
        <v>1430.01</v>
      </c>
      <c r="M105" s="210">
        <f t="shared" si="8"/>
        <v>-0.03287107259</v>
      </c>
      <c r="N105" s="213">
        <f t="shared" si="9"/>
        <v>1984.265</v>
      </c>
      <c r="O105" s="210">
        <f t="shared" si="10"/>
        <v>-0.01134811417</v>
      </c>
      <c r="P105" s="210">
        <f t="shared" si="11"/>
        <v>-0.02152295842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217">
        <f>IFERROR(__xludf.DUMMYFUNCTION("""COMPUTED_VALUE"""),46282.64583333333)</f>
        <v>46282.64583</v>
      </c>
      <c r="C106" s="193">
        <f>IFERROR(__xludf.DUMMYFUNCTION("""COMPUTED_VALUE"""),1370.6)</f>
        <v>1370.6</v>
      </c>
      <c r="D106" s="9"/>
      <c r="E106" s="217">
        <f>IFERROR(__xludf.DUMMYFUNCTION("""COMPUTED_VALUE"""),46282.64583333333)</f>
        <v>46282.64583</v>
      </c>
      <c r="F106" s="193">
        <f>IFERROR(__xludf.DUMMYFUNCTION("""COMPUTED_VALUE"""),1942.2)</f>
        <v>1942.2</v>
      </c>
      <c r="G106" s="191"/>
      <c r="H106" s="29">
        <f t="shared" si="3"/>
        <v>0.7056945732</v>
      </c>
      <c r="I106" s="1">
        <f t="shared" si="4"/>
        <v>-571.6</v>
      </c>
      <c r="J106" s="113">
        <f t="shared" si="5"/>
        <v>0.914265187</v>
      </c>
      <c r="K106" s="199">
        <f t="shared" si="6"/>
        <v>0.7056945732</v>
      </c>
      <c r="L106" s="213">
        <f t="shared" si="7"/>
        <v>1425.29</v>
      </c>
      <c r="M106" s="210">
        <f t="shared" si="8"/>
        <v>-0.0399022326</v>
      </c>
      <c r="N106" s="213">
        <f t="shared" si="9"/>
        <v>1980.34</v>
      </c>
      <c r="O106" s="210">
        <f t="shared" si="10"/>
        <v>-0.01963752446</v>
      </c>
      <c r="P106" s="210">
        <f t="shared" si="11"/>
        <v>-0.02026470814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217">
        <f>IFERROR(__xludf.DUMMYFUNCTION("""COMPUTED_VALUE"""),46283.64583333333)</f>
        <v>46283.64583</v>
      </c>
      <c r="C107" s="193">
        <f>IFERROR(__xludf.DUMMYFUNCTION("""COMPUTED_VALUE"""),1372.4)</f>
        <v>1372.4</v>
      </c>
      <c r="D107" s="9"/>
      <c r="E107" s="217">
        <f>IFERROR(__xludf.DUMMYFUNCTION("""COMPUTED_VALUE"""),46283.64583333333)</f>
        <v>46283.64583</v>
      </c>
      <c r="F107" s="193">
        <f>IFERROR(__xludf.DUMMYFUNCTION("""COMPUTED_VALUE"""),1932.0)</f>
        <v>1932</v>
      </c>
      <c r="G107" s="191"/>
      <c r="H107" s="29">
        <f t="shared" si="3"/>
        <v>0.7103519669</v>
      </c>
      <c r="I107" s="1">
        <f t="shared" si="4"/>
        <v>-559.6</v>
      </c>
      <c r="J107" s="113">
        <f t="shared" si="5"/>
        <v>1.030879956</v>
      </c>
      <c r="K107" s="199">
        <f t="shared" si="6"/>
        <v>0.7103519669</v>
      </c>
      <c r="L107" s="213">
        <f t="shared" si="7"/>
        <v>1421.01</v>
      </c>
      <c r="M107" s="210">
        <f t="shared" si="8"/>
        <v>-0.03541970271</v>
      </c>
      <c r="N107" s="213">
        <f t="shared" si="9"/>
        <v>1975.54</v>
      </c>
      <c r="O107" s="210">
        <f t="shared" si="10"/>
        <v>-0.02253623188</v>
      </c>
      <c r="P107" s="210">
        <f t="shared" si="11"/>
        <v>-0.01288347083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217">
        <f>IFERROR(__xludf.DUMMYFUNCTION("""COMPUTED_VALUE"""),46286.64583333333)</f>
        <v>46286.64583</v>
      </c>
      <c r="C108" s="193">
        <f>IFERROR(__xludf.DUMMYFUNCTION("""COMPUTED_VALUE"""),1385.0)</f>
        <v>1385</v>
      </c>
      <c r="D108" s="9"/>
      <c r="E108" s="217">
        <f>IFERROR(__xludf.DUMMYFUNCTION("""COMPUTED_VALUE"""),46286.64583333333)</f>
        <v>46286.64583</v>
      </c>
      <c r="F108" s="193">
        <f>IFERROR(__xludf.DUMMYFUNCTION("""COMPUTED_VALUE"""),1947.0)</f>
        <v>1947</v>
      </c>
      <c r="G108" s="191"/>
      <c r="H108" s="29">
        <f t="shared" si="3"/>
        <v>0.7113507961</v>
      </c>
      <c r="I108" s="1">
        <f t="shared" si="4"/>
        <v>-562</v>
      </c>
      <c r="J108" s="113">
        <f t="shared" si="5"/>
        <v>1.007557002</v>
      </c>
      <c r="K108" s="199">
        <f t="shared" si="6"/>
        <v>0.7113507961</v>
      </c>
      <c r="L108" s="213">
        <f t="shared" si="7"/>
        <v>1416.405</v>
      </c>
      <c r="M108" s="210">
        <f t="shared" si="8"/>
        <v>-0.02267509025</v>
      </c>
      <c r="N108" s="213">
        <f t="shared" si="9"/>
        <v>1972.14</v>
      </c>
      <c r="O108" s="210">
        <f t="shared" si="10"/>
        <v>-0.01291217257</v>
      </c>
      <c r="P108" s="210">
        <f t="shared" si="11"/>
        <v>-0.00976291768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217">
        <f>IFERROR(__xludf.DUMMYFUNCTION("""COMPUTED_VALUE"""),46287.64583333333)</f>
        <v>46287.64583</v>
      </c>
      <c r="C109" s="193">
        <f>IFERROR(__xludf.DUMMYFUNCTION("""COMPUTED_VALUE"""),1363.9)</f>
        <v>1363.9</v>
      </c>
      <c r="D109" s="9"/>
      <c r="E109" s="217">
        <f>IFERROR(__xludf.DUMMYFUNCTION("""COMPUTED_VALUE"""),46287.64583333333)</f>
        <v>46287.64583</v>
      </c>
      <c r="F109" s="193">
        <f>IFERROR(__xludf.DUMMYFUNCTION("""COMPUTED_VALUE"""),1933.8)</f>
        <v>1933.8</v>
      </c>
      <c r="G109" s="191"/>
      <c r="H109" s="29">
        <f t="shared" si="3"/>
        <v>0.7052952736</v>
      </c>
      <c r="I109" s="1">
        <f t="shared" si="4"/>
        <v>-569.9</v>
      </c>
      <c r="J109" s="113">
        <f t="shared" si="5"/>
        <v>0.9307856126</v>
      </c>
      <c r="K109" s="199">
        <f t="shared" si="6"/>
        <v>0.7052952736</v>
      </c>
      <c r="L109" s="213">
        <f t="shared" si="7"/>
        <v>1411.035</v>
      </c>
      <c r="M109" s="210">
        <f t="shared" si="8"/>
        <v>-0.03455898526</v>
      </c>
      <c r="N109" s="213">
        <f t="shared" si="9"/>
        <v>1967.33</v>
      </c>
      <c r="O109" s="210">
        <f t="shared" si="10"/>
        <v>-0.01733891819</v>
      </c>
      <c r="P109" s="210">
        <f t="shared" si="11"/>
        <v>-0.01722006707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232">
        <f>IFERROR(__xludf.DUMMYFUNCTION("""COMPUTED_VALUE"""),46288.64583333333)</f>
        <v>46288.64583</v>
      </c>
      <c r="C110" s="193">
        <f>IFERROR(__xludf.DUMMYFUNCTION("""COMPUTED_VALUE"""),1387.2)</f>
        <v>1387.2</v>
      </c>
      <c r="D110" s="9"/>
      <c r="E110" s="217">
        <f>IFERROR(__xludf.DUMMYFUNCTION("""COMPUTED_VALUE"""),46288.64583333333)</f>
        <v>46288.64583</v>
      </c>
      <c r="F110" s="193">
        <f>IFERROR(__xludf.DUMMYFUNCTION("""COMPUTED_VALUE"""),1950.0)</f>
        <v>1950</v>
      </c>
      <c r="G110" s="191"/>
      <c r="H110" s="29">
        <f t="shared" si="3"/>
        <v>0.7113846154</v>
      </c>
      <c r="I110" s="1">
        <f t="shared" si="4"/>
        <v>-562.8</v>
      </c>
      <c r="J110" s="113">
        <f t="shared" si="5"/>
        <v>0.9997826842</v>
      </c>
      <c r="K110" s="199">
        <f t="shared" si="6"/>
        <v>0.7113846154</v>
      </c>
      <c r="L110" s="213">
        <f t="shared" si="7"/>
        <v>1406.445</v>
      </c>
      <c r="M110" s="210">
        <f t="shared" si="8"/>
        <v>-0.0138732699</v>
      </c>
      <c r="N110" s="213">
        <f t="shared" si="9"/>
        <v>1963.62</v>
      </c>
      <c r="O110" s="210">
        <f t="shared" si="10"/>
        <v>-0.006984615385</v>
      </c>
      <c r="P110" s="210">
        <f t="shared" si="11"/>
        <v>-0.006888654512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217">
        <f>IFERROR(__xludf.DUMMYFUNCTION("""COMPUTED_VALUE"""),46289.64583333333)</f>
        <v>46289.64583</v>
      </c>
      <c r="C111" s="193">
        <f>IFERROR(__xludf.DUMMYFUNCTION("""COMPUTED_VALUE"""),1351.0)</f>
        <v>1351</v>
      </c>
      <c r="D111" s="9"/>
      <c r="E111" s="217">
        <f>IFERROR(__xludf.DUMMYFUNCTION("""COMPUTED_VALUE"""),46289.64583333333)</f>
        <v>46289.64583</v>
      </c>
      <c r="F111" s="193">
        <f>IFERROR(__xludf.DUMMYFUNCTION("""COMPUTED_VALUE"""),1933.5)</f>
        <v>1933.5</v>
      </c>
      <c r="G111" s="191"/>
      <c r="H111" s="29">
        <f t="shared" si="3"/>
        <v>0.6987328679</v>
      </c>
      <c r="I111" s="1">
        <f t="shared" si="4"/>
        <v>-582.5</v>
      </c>
      <c r="J111" s="113">
        <f t="shared" si="5"/>
        <v>0.8083401052</v>
      </c>
      <c r="K111" s="199">
        <f t="shared" si="6"/>
        <v>0.6987328679</v>
      </c>
      <c r="L111" s="213">
        <f t="shared" si="7"/>
        <v>1401.42</v>
      </c>
      <c r="M111" s="210">
        <f t="shared" si="8"/>
        <v>-0.03732050333</v>
      </c>
      <c r="N111" s="213">
        <f t="shared" si="9"/>
        <v>1959.245</v>
      </c>
      <c r="O111" s="210">
        <f t="shared" si="10"/>
        <v>-0.01331523145</v>
      </c>
      <c r="P111" s="210">
        <f t="shared" si="11"/>
        <v>-0.02400527189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217">
        <f>IFERROR(__xludf.DUMMYFUNCTION("""COMPUTED_VALUE"""),46290.64583333333)</f>
        <v>46290.64583</v>
      </c>
      <c r="C112" s="193">
        <f>IFERROR(__xludf.DUMMYFUNCTION("""COMPUTED_VALUE"""),1362.6)</f>
        <v>1362.6</v>
      </c>
      <c r="D112" s="9"/>
      <c r="E112" s="217">
        <f>IFERROR(__xludf.DUMMYFUNCTION("""COMPUTED_VALUE"""),46290.64583333333)</f>
        <v>46290.64583</v>
      </c>
      <c r="F112" s="193">
        <f>IFERROR(__xludf.DUMMYFUNCTION("""COMPUTED_VALUE"""),1942.9)</f>
        <v>1942.9</v>
      </c>
      <c r="G112" s="191"/>
      <c r="H112" s="29">
        <f t="shared" si="3"/>
        <v>0.7013227649</v>
      </c>
      <c r="I112" s="1">
        <f t="shared" si="4"/>
        <v>-580.3</v>
      </c>
      <c r="J112" s="113">
        <f t="shared" si="5"/>
        <v>0.8297194795</v>
      </c>
      <c r="K112" s="199">
        <f t="shared" si="6"/>
        <v>0.7013227649</v>
      </c>
      <c r="L112" s="213">
        <f t="shared" si="7"/>
        <v>1397.05</v>
      </c>
      <c r="M112" s="210">
        <f t="shared" si="8"/>
        <v>-0.02528254807</v>
      </c>
      <c r="N112" s="213">
        <f t="shared" si="9"/>
        <v>1955.94</v>
      </c>
      <c r="O112" s="210">
        <f t="shared" si="10"/>
        <v>-0.006711616656</v>
      </c>
      <c r="P112" s="210">
        <f t="shared" si="11"/>
        <v>-0.01857093141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217">
        <f>IFERROR(__xludf.DUMMYFUNCTION("""COMPUTED_VALUE"""),46293.64583333333)</f>
        <v>46293.64583</v>
      </c>
      <c r="C113" s="193">
        <f>IFERROR(__xludf.DUMMYFUNCTION("""COMPUTED_VALUE"""),1346.0)</f>
        <v>1346</v>
      </c>
      <c r="D113" s="9"/>
      <c r="E113" s="217">
        <f>IFERROR(__xludf.DUMMYFUNCTION("""COMPUTED_VALUE"""),46293.64583333333)</f>
        <v>46293.64583</v>
      </c>
      <c r="F113" s="193">
        <f>IFERROR(__xludf.DUMMYFUNCTION("""COMPUTED_VALUE"""),1896.0)</f>
        <v>1896</v>
      </c>
      <c r="G113" s="191"/>
      <c r="H113" s="29">
        <f t="shared" si="3"/>
        <v>0.7099156118</v>
      </c>
      <c r="I113" s="1">
        <f t="shared" si="4"/>
        <v>-550</v>
      </c>
      <c r="J113" s="113">
        <f t="shared" si="5"/>
        <v>1.124171771</v>
      </c>
      <c r="K113" s="199">
        <f t="shared" si="6"/>
        <v>0.7099156118</v>
      </c>
      <c r="L113" s="213">
        <f t="shared" si="7"/>
        <v>1391.62</v>
      </c>
      <c r="M113" s="210">
        <f t="shared" si="8"/>
        <v>-0.03389301634</v>
      </c>
      <c r="N113" s="213">
        <f t="shared" si="9"/>
        <v>1950.22</v>
      </c>
      <c r="O113" s="210">
        <f t="shared" si="10"/>
        <v>-0.02859704641</v>
      </c>
      <c r="P113" s="210">
        <f t="shared" si="11"/>
        <v>-0.005295969931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217">
        <f>IFERROR(__xludf.DUMMYFUNCTION("""COMPUTED_VALUE"""),46294.64583333333)</f>
        <v>46294.64583</v>
      </c>
      <c r="C114" s="193">
        <f>IFERROR(__xludf.DUMMYFUNCTION("""COMPUTED_VALUE"""),1345.7)</f>
        <v>1345.7</v>
      </c>
      <c r="D114" s="9"/>
      <c r="E114" s="217">
        <f>IFERROR(__xludf.DUMMYFUNCTION("""COMPUTED_VALUE"""),46294.64583333333)</f>
        <v>46294.64583</v>
      </c>
      <c r="F114" s="193">
        <f>IFERROR(__xludf.DUMMYFUNCTION("""COMPUTED_VALUE"""),1863.8)</f>
        <v>1863.8</v>
      </c>
      <c r="G114" s="191"/>
      <c r="H114" s="29">
        <f t="shared" si="3"/>
        <v>0.72201953</v>
      </c>
      <c r="I114" s="1">
        <f t="shared" si="4"/>
        <v>-518.1</v>
      </c>
      <c r="J114" s="113">
        <f t="shared" si="5"/>
        <v>1.434172698</v>
      </c>
      <c r="K114" s="199">
        <f t="shared" si="6"/>
        <v>0.72201953</v>
      </c>
      <c r="L114" s="213">
        <f t="shared" si="7"/>
        <v>1384.08</v>
      </c>
      <c r="M114" s="210">
        <f t="shared" si="8"/>
        <v>-0.02852047262</v>
      </c>
      <c r="N114" s="213">
        <f t="shared" si="9"/>
        <v>1945.04</v>
      </c>
      <c r="O114" s="210">
        <f t="shared" si="10"/>
        <v>-0.04358836785</v>
      </c>
      <c r="P114" s="210">
        <f t="shared" si="11"/>
        <v>0.01506789523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217">
        <f>IFERROR(__xludf.DUMMYFUNCTION("""COMPUTED_VALUE"""),46295.64583333333)</f>
        <v>46295.64583</v>
      </c>
      <c r="C115" s="193">
        <f>IFERROR(__xludf.DUMMYFUNCTION("""COMPUTED_VALUE"""),1310.0)</f>
        <v>1310</v>
      </c>
      <c r="D115" s="9"/>
      <c r="E115" s="217">
        <f>IFERROR(__xludf.DUMMYFUNCTION("""COMPUTED_VALUE"""),46295.64583333333)</f>
        <v>46295.64583</v>
      </c>
      <c r="F115" s="193">
        <f>IFERROR(__xludf.DUMMYFUNCTION("""COMPUTED_VALUE"""),1879.1)</f>
        <v>1879.1</v>
      </c>
      <c r="G115" s="191"/>
      <c r="H115" s="29">
        <f t="shared" si="3"/>
        <v>0.6971422489</v>
      </c>
      <c r="I115" s="1">
        <f t="shared" si="4"/>
        <v>-569.1</v>
      </c>
      <c r="J115" s="113">
        <f t="shared" si="5"/>
        <v>0.9385599305</v>
      </c>
      <c r="K115" s="199">
        <f t="shared" si="6"/>
        <v>0.6971422489</v>
      </c>
      <c r="L115" s="213">
        <f t="shared" si="7"/>
        <v>1377.67</v>
      </c>
      <c r="M115" s="210">
        <f t="shared" si="8"/>
        <v>-0.05165648855</v>
      </c>
      <c r="N115" s="213">
        <f t="shared" si="9"/>
        <v>1939.255</v>
      </c>
      <c r="O115" s="210">
        <f t="shared" si="10"/>
        <v>-0.03201266564</v>
      </c>
      <c r="P115" s="210">
        <f t="shared" si="11"/>
        <v>-0.01964382291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217">
        <f>IFERROR(__xludf.DUMMYFUNCTION("""COMPUTED_VALUE"""),46296.64583333333)</f>
        <v>46296.64583</v>
      </c>
      <c r="C116" s="193">
        <f>IFERROR(__xludf.DUMMYFUNCTION("""COMPUTED_VALUE"""),1307.7)</f>
        <v>1307.7</v>
      </c>
      <c r="D116" s="9"/>
      <c r="E116" s="217">
        <f>IFERROR(__xludf.DUMMYFUNCTION("""COMPUTED_VALUE"""),46296.64583333333)</f>
        <v>46296.64583</v>
      </c>
      <c r="F116" s="193">
        <f>IFERROR(__xludf.DUMMYFUNCTION("""COMPUTED_VALUE"""),1836.0)</f>
        <v>1836</v>
      </c>
      <c r="G116" s="191"/>
      <c r="H116" s="29">
        <f t="shared" si="3"/>
        <v>0.712254902</v>
      </c>
      <c r="I116" s="1">
        <f t="shared" si="4"/>
        <v>-528.3</v>
      </c>
      <c r="J116" s="113">
        <f t="shared" si="5"/>
        <v>1.335050145</v>
      </c>
      <c r="K116" s="199">
        <f t="shared" si="6"/>
        <v>0.712254902</v>
      </c>
      <c r="L116" s="213">
        <f t="shared" si="7"/>
        <v>1371.805</v>
      </c>
      <c r="M116" s="210">
        <f t="shared" si="8"/>
        <v>-0.04902118223</v>
      </c>
      <c r="N116" s="213">
        <f t="shared" si="9"/>
        <v>1932.305</v>
      </c>
      <c r="O116" s="210">
        <f t="shared" si="10"/>
        <v>-0.0524537037</v>
      </c>
      <c r="P116" s="210">
        <f t="shared" si="11"/>
        <v>0.003432521475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217">
        <f>IFERROR(__xludf.DUMMYFUNCTION("""COMPUTED_VALUE"""),46300.64583333333)</f>
        <v>46300.64583</v>
      </c>
      <c r="C117" s="193">
        <f>IFERROR(__xludf.DUMMYFUNCTION("""COMPUTED_VALUE"""),1297.1)</f>
        <v>1297.1</v>
      </c>
      <c r="D117" s="9"/>
      <c r="E117" s="217">
        <f>IFERROR(__xludf.DUMMYFUNCTION("""COMPUTED_VALUE"""),46300.64583333333)</f>
        <v>46300.64583</v>
      </c>
      <c r="F117" s="193">
        <f>IFERROR(__xludf.DUMMYFUNCTION("""COMPUTED_VALUE"""),1838.4)</f>
        <v>1838.4</v>
      </c>
      <c r="G117" s="191"/>
      <c r="H117" s="29">
        <f t="shared" si="3"/>
        <v>0.7055591819</v>
      </c>
      <c r="I117" s="1">
        <f t="shared" si="4"/>
        <v>-541.3</v>
      </c>
      <c r="J117" s="113">
        <f t="shared" si="5"/>
        <v>1.208717478</v>
      </c>
      <c r="K117" s="247">
        <f t="shared" ref="K117:K123" si="12">C116/F117</f>
        <v>0.7113250653</v>
      </c>
      <c r="L117" s="213">
        <f t="shared" si="7"/>
        <v>1365.86</v>
      </c>
      <c r="M117" s="210">
        <f t="shared" si="8"/>
        <v>-0.05301056202</v>
      </c>
      <c r="N117" s="213">
        <f t="shared" si="9"/>
        <v>1926.125</v>
      </c>
      <c r="O117" s="210">
        <f t="shared" si="10"/>
        <v>-0.04771812446</v>
      </c>
      <c r="P117" s="210">
        <f t="shared" si="11"/>
        <v>-0.005292437567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217">
        <f>IFERROR(__xludf.DUMMYFUNCTION("""COMPUTED_VALUE"""),46301.64583333333)</f>
        <v>46301.64583</v>
      </c>
      <c r="C118" s="193">
        <f>IFERROR(__xludf.DUMMYFUNCTION("""COMPUTED_VALUE"""),1341.4)</f>
        <v>1341.4</v>
      </c>
      <c r="D118" s="9"/>
      <c r="E118" s="234">
        <f>IFERROR(__xludf.DUMMYFUNCTION("""COMPUTED_VALUE"""),46301.64583333333)</f>
        <v>46301.64583</v>
      </c>
      <c r="F118" s="9">
        <f>IFERROR(__xludf.DUMMYFUNCTION("""COMPUTED_VALUE"""),1895.2)</f>
        <v>1895.2</v>
      </c>
      <c r="G118" s="191"/>
      <c r="H118" s="29">
        <f t="shared" si="3"/>
        <v>0.7077880962</v>
      </c>
      <c r="I118" s="1">
        <f t="shared" si="4"/>
        <v>-553.8</v>
      </c>
      <c r="J118" s="113">
        <f t="shared" si="5"/>
        <v>1.087243761</v>
      </c>
      <c r="K118" s="247">
        <f t="shared" si="12"/>
        <v>0.6844132545</v>
      </c>
      <c r="L118" s="213">
        <f t="shared" si="7"/>
        <v>1362.405</v>
      </c>
      <c r="M118" s="210">
        <f t="shared" si="8"/>
        <v>-0.01565901297</v>
      </c>
      <c r="N118" s="213">
        <f t="shared" si="9"/>
        <v>1922.215</v>
      </c>
      <c r="O118" s="210">
        <f t="shared" si="10"/>
        <v>-0.01425443225</v>
      </c>
      <c r="P118" s="210">
        <f t="shared" si="11"/>
        <v>-0.001404580722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217">
        <f>IFERROR(__xludf.DUMMYFUNCTION("""COMPUTED_VALUE"""),46302.64583333333)</f>
        <v>46302.64583</v>
      </c>
      <c r="C119" s="193">
        <f>IFERROR(__xludf.DUMMYFUNCTION("""COMPUTED_VALUE"""),1324.0)</f>
        <v>1324</v>
      </c>
      <c r="D119" s="9"/>
      <c r="E119" s="234">
        <f>IFERROR(__xludf.DUMMYFUNCTION("""COMPUTED_VALUE"""),46302.64583333333)</f>
        <v>46302.64583</v>
      </c>
      <c r="F119" s="9">
        <f>IFERROR(__xludf.DUMMYFUNCTION("""COMPUTED_VALUE"""),1865.4)</f>
        <v>1865.4</v>
      </c>
      <c r="G119" s="191"/>
      <c r="H119" s="29">
        <f t="shared" si="3"/>
        <v>0.7097673421</v>
      </c>
      <c r="I119" s="1">
        <f t="shared" si="4"/>
        <v>-541.4</v>
      </c>
      <c r="J119" s="113">
        <f t="shared" si="5"/>
        <v>1.207745689</v>
      </c>
      <c r="K119" s="247">
        <f t="shared" si="12"/>
        <v>0.7190951002</v>
      </c>
      <c r="L119" s="213">
        <f t="shared" si="7"/>
        <v>1358.705</v>
      </c>
      <c r="M119" s="210">
        <f t="shared" si="8"/>
        <v>-0.02621223565</v>
      </c>
      <c r="N119" s="213">
        <f t="shared" si="9"/>
        <v>1917.485</v>
      </c>
      <c r="O119" s="210">
        <f t="shared" si="10"/>
        <v>-0.02792162539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235"/>
      <c r="B120" s="236">
        <f>IFERROR(__xludf.DUMMYFUNCTION("""COMPUTED_VALUE"""),46303.64583333333)</f>
        <v>46303.64583</v>
      </c>
      <c r="C120" s="235">
        <f>IFERROR(__xludf.DUMMYFUNCTION("""COMPUTED_VALUE"""),1319.0)</f>
        <v>1319</v>
      </c>
      <c r="D120" s="237"/>
      <c r="E120" s="236">
        <f>IFERROR(__xludf.DUMMYFUNCTION("""COMPUTED_VALUE"""),46303.64583333333)</f>
        <v>46303.64583</v>
      </c>
      <c r="F120" s="235">
        <f>IFERROR(__xludf.DUMMYFUNCTION("""COMPUTED_VALUE"""),1844.5)</f>
        <v>1844.5</v>
      </c>
      <c r="G120" s="238"/>
      <c r="H120" s="29">
        <f t="shared" si="3"/>
        <v>0.7150989428</v>
      </c>
      <c r="I120" s="1">
        <f t="shared" si="4"/>
        <v>-525.5</v>
      </c>
      <c r="J120" s="113">
        <f t="shared" si="5"/>
        <v>1.362260258</v>
      </c>
      <c r="K120" s="247">
        <f t="shared" si="12"/>
        <v>0.7178097045</v>
      </c>
      <c r="L120" s="213">
        <f t="shared" si="7"/>
        <v>1354.63</v>
      </c>
      <c r="M120" s="210">
        <f t="shared" si="8"/>
        <v>-0.02701288855</v>
      </c>
      <c r="N120" s="213">
        <f t="shared" si="9"/>
        <v>1910.71</v>
      </c>
      <c r="O120" s="210">
        <f t="shared" si="10"/>
        <v>-0.03589590675</v>
      </c>
      <c r="P120" s="241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35"/>
      <c r="B121" s="236">
        <f>IFERROR(__xludf.DUMMYFUNCTION("""COMPUTED_VALUE"""),46304.64583333333)</f>
        <v>46304.64583</v>
      </c>
      <c r="C121" s="235">
        <f>IFERROR(__xludf.DUMMYFUNCTION("""COMPUTED_VALUE"""),1333.0)</f>
        <v>1333</v>
      </c>
      <c r="D121" s="237"/>
      <c r="E121" s="236">
        <f>IFERROR(__xludf.DUMMYFUNCTION("""COMPUTED_VALUE"""),46304.64583333333)</f>
        <v>46304.64583</v>
      </c>
      <c r="F121" s="235">
        <f>IFERROR(__xludf.DUMMYFUNCTION("""COMPUTED_VALUE"""),1856.7)</f>
        <v>1856.7</v>
      </c>
      <c r="G121" s="238"/>
      <c r="H121" s="29">
        <f t="shared" si="3"/>
        <v>0.7179404319</v>
      </c>
      <c r="I121" s="1">
        <f t="shared" si="4"/>
        <v>-523.7</v>
      </c>
      <c r="J121" s="113">
        <f t="shared" si="5"/>
        <v>1.379752473</v>
      </c>
      <c r="K121" s="247">
        <f t="shared" si="12"/>
        <v>0.7104001723</v>
      </c>
      <c r="L121" s="213">
        <f t="shared" si="7"/>
        <v>1351.63</v>
      </c>
      <c r="M121" s="210">
        <f t="shared" si="8"/>
        <v>-0.013975994</v>
      </c>
      <c r="N121" s="213">
        <f t="shared" si="9"/>
        <v>1906.295</v>
      </c>
      <c r="O121" s="210">
        <f t="shared" si="10"/>
        <v>-0.02671136963</v>
      </c>
      <c r="P121" s="241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235"/>
      <c r="B122" s="236">
        <f>IFERROR(__xludf.DUMMYFUNCTION("""COMPUTED_VALUE"""),46307.64583333333)</f>
        <v>46307.64583</v>
      </c>
      <c r="C122" s="235">
        <f>IFERROR(__xludf.DUMMYFUNCTION("""COMPUTED_VALUE"""),1324.7)</f>
        <v>1324.7</v>
      </c>
      <c r="D122" s="237"/>
      <c r="E122" s="236">
        <f>IFERROR(__xludf.DUMMYFUNCTION("""COMPUTED_VALUE"""),46307.64583333333)</f>
        <v>46307.64583</v>
      </c>
      <c r="F122" s="235">
        <f>IFERROR(__xludf.DUMMYFUNCTION("""COMPUTED_VALUE"""),1820.7)</f>
        <v>1820.7</v>
      </c>
      <c r="G122" s="238"/>
      <c r="H122" s="29">
        <f t="shared" si="3"/>
        <v>0.7275773054</v>
      </c>
      <c r="I122" s="1">
        <f t="shared" si="4"/>
        <v>-496</v>
      </c>
      <c r="J122" s="113">
        <f t="shared" si="5"/>
        <v>1.648938231</v>
      </c>
      <c r="K122" s="247">
        <f t="shared" si="12"/>
        <v>0.7321359917</v>
      </c>
      <c r="L122" s="213">
        <f t="shared" si="7"/>
        <v>1348.555</v>
      </c>
      <c r="M122" s="210">
        <f t="shared" si="8"/>
        <v>-0.01800785083</v>
      </c>
      <c r="N122" s="213">
        <f t="shared" si="9"/>
        <v>1900.215</v>
      </c>
      <c r="O122" s="210">
        <f t="shared" si="10"/>
        <v>-0.04367276322</v>
      </c>
      <c r="P122" s="241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235"/>
      <c r="B123" s="236">
        <f>IFERROR(__xludf.DUMMYFUNCTION("""COMPUTED_VALUE"""),46308.64583333333)</f>
        <v>46308.64583</v>
      </c>
      <c r="C123" s="235">
        <f>IFERROR(__xludf.DUMMYFUNCTION("""COMPUTED_VALUE"""),1334.0)</f>
        <v>1334</v>
      </c>
      <c r="D123" s="237"/>
      <c r="E123" s="236">
        <f>IFERROR(__xludf.DUMMYFUNCTION("""COMPUTED_VALUE"""),46308.64583333333)</f>
        <v>46308.64583</v>
      </c>
      <c r="F123" s="235">
        <f>IFERROR(__xludf.DUMMYFUNCTION("""COMPUTED_VALUE"""),1875.5)</f>
        <v>1875.5</v>
      </c>
      <c r="G123" s="238"/>
      <c r="H123" s="29">
        <f t="shared" si="3"/>
        <v>0.7112769928</v>
      </c>
      <c r="I123" s="175"/>
      <c r="J123" s="176"/>
      <c r="K123" s="247">
        <f t="shared" si="12"/>
        <v>0.7063183151</v>
      </c>
      <c r="L123" s="240"/>
      <c r="M123" s="241"/>
      <c r="N123" s="240"/>
      <c r="O123" s="241"/>
      <c r="P123" s="241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235"/>
      <c r="B124" s="236">
        <f>IFERROR(__xludf.DUMMYFUNCTION("""COMPUTED_VALUE"""),46309.64583333333)</f>
        <v>46309.64583</v>
      </c>
      <c r="C124" s="235">
        <f>IFERROR(__xludf.DUMMYFUNCTION("""COMPUTED_VALUE"""),1383.2)</f>
        <v>1383.2</v>
      </c>
      <c r="D124" s="237"/>
      <c r="E124" s="236">
        <f>IFERROR(__xludf.DUMMYFUNCTION("""COMPUTED_VALUE"""),46309.64583333333)</f>
        <v>46309.64583</v>
      </c>
      <c r="F124" s="235">
        <f>IFERROR(__xludf.DUMMYFUNCTION("""COMPUTED_VALUE"""),1895.5)</f>
        <v>1895.5</v>
      </c>
      <c r="G124" s="238"/>
      <c r="H124" s="179"/>
      <c r="I124" s="175"/>
      <c r="J124" s="176"/>
      <c r="K124" s="247"/>
      <c r="L124" s="240"/>
      <c r="M124" s="241"/>
      <c r="N124" s="240"/>
      <c r="O124" s="241"/>
      <c r="P124" s="241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B125" s="166">
        <f>IFERROR(__xludf.DUMMYFUNCTION("""COMPUTED_VALUE"""),46310.64583333333)</f>
        <v>46310.64583</v>
      </c>
      <c r="C125" s="230">
        <f>IFERROR(__xludf.DUMMYFUNCTION("""COMPUTED_VALUE"""),1275.8)</f>
        <v>1275.8</v>
      </c>
      <c r="E125" s="166">
        <f>IFERROR(__xludf.DUMMYFUNCTION("""COMPUTED_VALUE"""),46310.64583333333)</f>
        <v>46310.64583</v>
      </c>
      <c r="F125" s="230">
        <f>IFERROR(__xludf.DUMMYFUNCTION("""COMPUTED_VALUE"""),1897.1)</f>
        <v>1897.1</v>
      </c>
    </row>
    <row r="126">
      <c r="B126" s="166">
        <f>IFERROR(__xludf.DUMMYFUNCTION("""COMPUTED_VALUE"""),46311.64583333333)</f>
        <v>46311.64583</v>
      </c>
      <c r="C126" s="230">
        <f>IFERROR(__xludf.DUMMYFUNCTION("""COMPUTED_VALUE"""),1265.5)</f>
        <v>1265.5</v>
      </c>
      <c r="E126" s="166">
        <f>IFERROR(__xludf.DUMMYFUNCTION("""COMPUTED_VALUE"""),46311.64583333333)</f>
        <v>46311.64583</v>
      </c>
      <c r="F126" s="230">
        <f>IFERROR(__xludf.DUMMYFUNCTION("""COMPUTED_VALUE"""),1893.8)</f>
        <v>1893.8</v>
      </c>
    </row>
    <row r="128">
      <c r="A128" s="235" t="s">
        <v>9</v>
      </c>
      <c r="B128" s="236">
        <f>IFERROR(__xludf.DUMMYFUNCTION("GOOGLEFINANCE(B9,""TRADETIME"")"),46311.64583333333)</f>
        <v>46311.64583</v>
      </c>
      <c r="C128" s="235">
        <f>IFERROR(__xludf.DUMMYFUNCTION("GOOGLEFINANCE(B9,""PRICE"")"),1265.5)</f>
        <v>1265.5</v>
      </c>
      <c r="D128" s="237"/>
      <c r="E128" s="236">
        <f>IFERROR(__xludf.DUMMYFUNCTION("GOOGLEFINANCE(E9,""TRADETIME"")"),46311.64583333333)</f>
        <v>46311.64583</v>
      </c>
      <c r="F128" s="235">
        <f>IFERROR(__xludf.DUMMYFUNCTION("GOOGLEFINANCE(E9,""PRICE"")"),1893.8)</f>
        <v>1893.8</v>
      </c>
      <c r="G128" s="238"/>
      <c r="H128" s="179">
        <f>C128/F128</f>
        <v>0.668233182</v>
      </c>
      <c r="I128" s="175">
        <f>C128-F128</f>
        <v>-628.3</v>
      </c>
      <c r="J128" s="176">
        <f>((I128-$I$129)/$I$130)</f>
        <v>0.363260404</v>
      </c>
      <c r="K128" s="239">
        <f>C128/F128</f>
        <v>0.668233182</v>
      </c>
      <c r="L128" s="240">
        <f>AVERAGE(C73:C109)</f>
        <v>1451.72973</v>
      </c>
      <c r="M128" s="241">
        <f>(C128-L128)/C128</f>
        <v>-0.147159012</v>
      </c>
      <c r="N128" s="240">
        <f>AVERAGE(F73:F109)</f>
        <v>2013.810811</v>
      </c>
      <c r="O128" s="241">
        <f>(F128-N128)/F128</f>
        <v>-0.06337037217</v>
      </c>
      <c r="P128" s="241">
        <f>M128-O128</f>
        <v>-0.08378863987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14"/>
      <c r="D129" s="9"/>
      <c r="E129" s="9"/>
      <c r="F129" s="14"/>
      <c r="G129" s="191"/>
      <c r="H129" s="96" t="s">
        <v>138</v>
      </c>
      <c r="I129" s="177">
        <f>AVERAGE(I11:I118)</f>
        <v>-665.6805556</v>
      </c>
      <c r="J129" s="1"/>
      <c r="K129" s="191"/>
      <c r="L129" s="191"/>
      <c r="M129" s="19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9"/>
      <c r="F130" s="9"/>
      <c r="G130" s="191"/>
      <c r="H130" s="96" t="s">
        <v>139</v>
      </c>
      <c r="I130" s="189">
        <f>_xlfn.STDEV.P(I11:I117)</f>
        <v>102.902918</v>
      </c>
      <c r="J130" s="1"/>
      <c r="K130" s="191"/>
      <c r="L130" s="191"/>
      <c r="M130" s="19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200"/>
      <c r="D131" s="9"/>
      <c r="E131" s="9"/>
      <c r="F131" s="201"/>
      <c r="G131" s="255"/>
      <c r="H131" s="191"/>
      <c r="I131" s="191"/>
      <c r="J131" s="191"/>
      <c r="K131" s="191"/>
      <c r="L131" s="191"/>
      <c r="M131" s="19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9"/>
      <c r="F132" s="9"/>
      <c r="G132" s="191"/>
      <c r="H132" s="191"/>
      <c r="I132" s="191"/>
      <c r="J132" s="191"/>
      <c r="K132" s="191"/>
      <c r="L132" s="191"/>
      <c r="M132" s="19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200"/>
      <c r="D133" s="9"/>
      <c r="E133" s="9"/>
      <c r="F133" s="201"/>
      <c r="G133" s="255"/>
      <c r="H133" s="191"/>
      <c r="I133" s="191"/>
      <c r="J133" s="191"/>
      <c r="K133" s="191"/>
      <c r="L133" s="191"/>
      <c r="M133" s="19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256"/>
      <c r="D134" s="9"/>
      <c r="E134" s="9"/>
      <c r="F134" s="256"/>
      <c r="G134" s="255"/>
      <c r="H134" s="191"/>
      <c r="I134" s="191"/>
      <c r="J134" s="191"/>
      <c r="K134" s="191"/>
      <c r="L134" s="191"/>
      <c r="M134" s="19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203"/>
      <c r="D135" s="9"/>
      <c r="E135" s="9"/>
      <c r="F135" s="203"/>
      <c r="G135" s="191"/>
      <c r="H135" s="191"/>
      <c r="I135" s="191"/>
      <c r="J135" s="191"/>
      <c r="K135" s="191"/>
      <c r="L135" s="191"/>
      <c r="M135" s="19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203"/>
      <c r="D136" s="9"/>
      <c r="E136" s="9"/>
      <c r="F136" s="203"/>
      <c r="G136" s="191"/>
      <c r="H136" s="191"/>
      <c r="I136" s="191"/>
      <c r="J136" s="191"/>
      <c r="K136" s="191"/>
      <c r="L136" s="191"/>
      <c r="M136" s="19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191"/>
      <c r="H137" s="191"/>
      <c r="I137" s="191"/>
      <c r="J137" s="191"/>
      <c r="K137" s="191"/>
      <c r="L137" s="191"/>
      <c r="M137" s="19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191"/>
      <c r="H138" s="191"/>
      <c r="I138" s="191"/>
      <c r="J138" s="191"/>
      <c r="K138" s="191"/>
      <c r="L138" s="191"/>
      <c r="M138" s="19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9"/>
      <c r="F139" s="9"/>
      <c r="G139" s="190"/>
      <c r="H139" s="191"/>
      <c r="I139" s="191"/>
      <c r="J139" s="191"/>
      <c r="K139" s="191"/>
      <c r="L139" s="191"/>
      <c r="M139" s="19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191"/>
      <c r="H140" s="191"/>
      <c r="I140" s="191"/>
      <c r="J140" s="191"/>
      <c r="K140" s="191"/>
      <c r="L140" s="191"/>
      <c r="M140" s="19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257"/>
      <c r="H141" s="191"/>
      <c r="I141" s="191"/>
      <c r="J141" s="191"/>
      <c r="K141" s="191"/>
      <c r="L141" s="191"/>
      <c r="M141" s="19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14"/>
      <c r="E142" s="9"/>
      <c r="F142" s="9"/>
      <c r="G142" s="191"/>
      <c r="H142" s="191"/>
      <c r="I142" s="191"/>
      <c r="J142" s="191"/>
      <c r="K142" s="191"/>
      <c r="L142" s="191"/>
      <c r="M142" s="19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191"/>
      <c r="H143" s="191"/>
      <c r="I143" s="191"/>
      <c r="J143" s="191"/>
      <c r="K143" s="191"/>
      <c r="L143" s="191"/>
      <c r="M143" s="19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191"/>
      <c r="H144" s="191"/>
      <c r="I144" s="191"/>
      <c r="J144" s="191"/>
      <c r="K144" s="191"/>
      <c r="L144" s="191"/>
      <c r="M144" s="19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191"/>
      <c r="H145" s="191"/>
      <c r="I145" s="191"/>
      <c r="J145" s="191"/>
      <c r="K145" s="191"/>
      <c r="L145" s="191"/>
      <c r="M145" s="19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191"/>
      <c r="H146" s="191"/>
      <c r="I146" s="191"/>
      <c r="J146" s="191"/>
      <c r="K146" s="191"/>
      <c r="L146" s="191"/>
      <c r="M146" s="19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191"/>
      <c r="H147" s="191"/>
      <c r="I147" s="191"/>
      <c r="J147" s="191"/>
      <c r="K147" s="191"/>
      <c r="L147" s="191"/>
      <c r="M147" s="191"/>
      <c r="N147" s="191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191"/>
      <c r="H148" s="191"/>
      <c r="I148" s="191"/>
      <c r="J148" s="191"/>
      <c r="K148" s="191"/>
      <c r="L148" s="191"/>
      <c r="M148" s="191"/>
      <c r="N148" s="191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191"/>
      <c r="H149" s="191"/>
      <c r="I149" s="191"/>
      <c r="J149" s="191"/>
      <c r="K149" s="191"/>
      <c r="L149" s="191"/>
      <c r="M149" s="191"/>
      <c r="N149" s="191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191"/>
      <c r="H150" s="191"/>
      <c r="I150" s="191"/>
      <c r="J150" s="191"/>
      <c r="K150" s="191"/>
      <c r="L150" s="191"/>
      <c r="M150" s="191"/>
      <c r="N150" s="191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191"/>
      <c r="H151" s="191"/>
      <c r="I151" s="191"/>
      <c r="J151" s="191"/>
      <c r="K151" s="191"/>
      <c r="L151" s="191"/>
      <c r="M151" s="191"/>
      <c r="N151" s="19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191"/>
      <c r="H152" s="191"/>
      <c r="I152" s="191"/>
      <c r="J152" s="191"/>
      <c r="K152" s="191"/>
      <c r="L152" s="191"/>
      <c r="M152" s="191"/>
      <c r="N152" s="19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191"/>
      <c r="H153" s="191"/>
      <c r="I153" s="191"/>
      <c r="J153" s="191"/>
      <c r="K153" s="191"/>
      <c r="L153" s="191"/>
      <c r="M153" s="191"/>
      <c r="N153" s="19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191"/>
      <c r="H154" s="191"/>
      <c r="I154" s="191"/>
      <c r="J154" s="191"/>
      <c r="K154" s="191"/>
      <c r="L154" s="191"/>
      <c r="M154" s="191"/>
      <c r="N154" s="191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191"/>
      <c r="H155" s="191"/>
      <c r="I155" s="191"/>
      <c r="J155" s="191"/>
      <c r="K155" s="191"/>
      <c r="L155" s="191"/>
      <c r="M155" s="191"/>
      <c r="N155" s="19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191"/>
      <c r="H156" s="191"/>
      <c r="I156" s="191"/>
      <c r="J156" s="191"/>
      <c r="K156" s="191"/>
      <c r="L156" s="191"/>
      <c r="M156" s="191"/>
      <c r="N156" s="191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191"/>
      <c r="H157" s="191"/>
      <c r="I157" s="191"/>
      <c r="J157" s="191"/>
      <c r="K157" s="191"/>
      <c r="L157" s="191"/>
      <c r="M157" s="191"/>
      <c r="N157" s="19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191"/>
      <c r="H158" s="191"/>
      <c r="I158" s="191"/>
      <c r="J158" s="191"/>
      <c r="K158" s="191"/>
      <c r="L158" s="191"/>
      <c r="M158" s="191"/>
      <c r="N158" s="19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191"/>
      <c r="H159" s="191"/>
      <c r="I159" s="191"/>
      <c r="J159" s="191"/>
      <c r="K159" s="191"/>
      <c r="L159" s="191"/>
      <c r="M159" s="191"/>
      <c r="N159" s="19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191"/>
      <c r="H160" s="191"/>
      <c r="I160" s="191"/>
      <c r="J160" s="191"/>
      <c r="K160" s="191"/>
      <c r="L160" s="191"/>
      <c r="M160" s="191"/>
      <c r="N160" s="191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191"/>
      <c r="H161" s="191"/>
      <c r="I161" s="191"/>
      <c r="J161" s="191"/>
      <c r="K161" s="191"/>
      <c r="L161" s="191"/>
      <c r="M161" s="191"/>
      <c r="N161" s="191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191"/>
      <c r="H162" s="191"/>
      <c r="I162" s="191"/>
      <c r="J162" s="191"/>
      <c r="K162" s="191"/>
      <c r="L162" s="191"/>
      <c r="M162" s="191"/>
      <c r="N162" s="191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191"/>
      <c r="H163" s="191"/>
      <c r="I163" s="191"/>
      <c r="J163" s="191"/>
      <c r="K163" s="191"/>
      <c r="L163" s="191"/>
      <c r="M163" s="191"/>
      <c r="N163" s="19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191"/>
      <c r="H164" s="191"/>
      <c r="I164" s="191"/>
      <c r="J164" s="191"/>
      <c r="K164" s="191"/>
      <c r="L164" s="191"/>
      <c r="M164" s="191"/>
      <c r="N164" s="19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191"/>
      <c r="H165" s="191"/>
      <c r="I165" s="191"/>
      <c r="J165" s="191"/>
      <c r="K165" s="191"/>
      <c r="L165" s="191"/>
      <c r="M165" s="191"/>
      <c r="N165" s="19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191"/>
      <c r="H166" s="191"/>
      <c r="I166" s="191"/>
      <c r="J166" s="191"/>
      <c r="K166" s="191"/>
      <c r="L166" s="191"/>
      <c r="M166" s="191"/>
      <c r="N166" s="19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191"/>
      <c r="H167" s="191"/>
      <c r="I167" s="191"/>
      <c r="J167" s="191"/>
      <c r="K167" s="191"/>
      <c r="L167" s="191"/>
      <c r="M167" s="191"/>
      <c r="N167" s="19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191"/>
      <c r="H168" s="191"/>
      <c r="I168" s="191"/>
      <c r="J168" s="191"/>
      <c r="K168" s="191"/>
      <c r="L168" s="191"/>
      <c r="M168" s="191"/>
      <c r="N168" s="19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191"/>
      <c r="H169" s="191"/>
      <c r="I169" s="191"/>
      <c r="J169" s="191"/>
      <c r="K169" s="191"/>
      <c r="L169" s="191"/>
      <c r="M169" s="191"/>
      <c r="N169" s="19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191"/>
      <c r="H170" s="191"/>
      <c r="I170" s="191"/>
      <c r="J170" s="191"/>
      <c r="K170" s="191"/>
      <c r="L170" s="191"/>
      <c r="M170" s="191"/>
      <c r="N170" s="19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191"/>
      <c r="H171" s="191"/>
      <c r="I171" s="191"/>
      <c r="J171" s="191"/>
      <c r="K171" s="191"/>
      <c r="L171" s="191"/>
      <c r="M171" s="191"/>
      <c r="N171" s="19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191"/>
      <c r="H172" s="191"/>
      <c r="I172" s="191"/>
      <c r="J172" s="191"/>
      <c r="K172" s="191"/>
      <c r="L172" s="191"/>
      <c r="M172" s="191"/>
      <c r="N172" s="19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191"/>
      <c r="H173" s="191"/>
      <c r="I173" s="191"/>
      <c r="J173" s="191"/>
      <c r="K173" s="191"/>
      <c r="L173" s="191"/>
      <c r="M173" s="191"/>
      <c r="N173" s="19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191"/>
      <c r="H174" s="191"/>
      <c r="I174" s="191"/>
      <c r="J174" s="191"/>
      <c r="K174" s="191"/>
      <c r="L174" s="191"/>
      <c r="M174" s="191"/>
      <c r="N174" s="19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191"/>
      <c r="H175" s="191"/>
      <c r="I175" s="191"/>
      <c r="J175" s="191"/>
      <c r="K175" s="191"/>
      <c r="L175" s="191"/>
      <c r="M175" s="191"/>
      <c r="N175" s="19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191"/>
      <c r="H176" s="191"/>
      <c r="I176" s="191"/>
      <c r="J176" s="191"/>
      <c r="K176" s="191"/>
      <c r="L176" s="191"/>
      <c r="M176" s="191"/>
      <c r="N176" s="19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191"/>
      <c r="H177" s="191"/>
      <c r="I177" s="191"/>
      <c r="J177" s="191"/>
      <c r="K177" s="191"/>
      <c r="L177" s="191"/>
      <c r="M177" s="191"/>
      <c r="N177" s="19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191"/>
      <c r="H178" s="191"/>
      <c r="I178" s="191"/>
      <c r="J178" s="191"/>
      <c r="K178" s="191"/>
      <c r="L178" s="191"/>
      <c r="M178" s="191"/>
      <c r="N178" s="19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191"/>
      <c r="H179" s="191"/>
      <c r="I179" s="191"/>
      <c r="J179" s="191"/>
      <c r="K179" s="191"/>
      <c r="L179" s="191"/>
      <c r="M179" s="191"/>
      <c r="N179" s="19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191"/>
      <c r="H180" s="191"/>
      <c r="I180" s="191"/>
      <c r="J180" s="191"/>
      <c r="K180" s="191"/>
      <c r="L180" s="191"/>
      <c r="M180" s="191"/>
      <c r="N180" s="19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191"/>
      <c r="H181" s="191"/>
      <c r="I181" s="191"/>
      <c r="J181" s="191"/>
      <c r="K181" s="191"/>
      <c r="L181" s="191"/>
      <c r="M181" s="191"/>
      <c r="N181" s="19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191"/>
      <c r="H182" s="191"/>
      <c r="I182" s="191"/>
      <c r="J182" s="191"/>
      <c r="K182" s="191"/>
      <c r="L182" s="191"/>
      <c r="M182" s="191"/>
      <c r="N182" s="19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191"/>
      <c r="H183" s="191"/>
      <c r="I183" s="191"/>
      <c r="J183" s="191"/>
      <c r="K183" s="191"/>
      <c r="L183" s="191"/>
      <c r="M183" s="191"/>
      <c r="N183" s="19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191"/>
      <c r="H184" s="191"/>
      <c r="I184" s="191"/>
      <c r="J184" s="191"/>
      <c r="K184" s="191"/>
      <c r="L184" s="191"/>
      <c r="M184" s="191"/>
      <c r="N184" s="19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191"/>
      <c r="H185" s="191"/>
      <c r="I185" s="191"/>
      <c r="J185" s="191"/>
      <c r="K185" s="191"/>
      <c r="L185" s="191"/>
      <c r="M185" s="191"/>
      <c r="N185" s="19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191"/>
      <c r="H186" s="191"/>
      <c r="I186" s="191"/>
      <c r="J186" s="191"/>
      <c r="K186" s="191"/>
      <c r="L186" s="191"/>
      <c r="M186" s="191"/>
      <c r="N186" s="19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191"/>
      <c r="H187" s="191"/>
      <c r="I187" s="191"/>
      <c r="J187" s="191"/>
      <c r="K187" s="191"/>
      <c r="L187" s="191"/>
      <c r="M187" s="191"/>
      <c r="N187" s="19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191"/>
      <c r="H188" s="191"/>
      <c r="I188" s="191"/>
      <c r="J188" s="191"/>
      <c r="K188" s="191"/>
      <c r="L188" s="191"/>
      <c r="M188" s="191"/>
      <c r="N188" s="19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191"/>
      <c r="H189" s="191"/>
      <c r="I189" s="191"/>
      <c r="J189" s="191"/>
      <c r="K189" s="191"/>
      <c r="L189" s="191"/>
      <c r="M189" s="191"/>
      <c r="N189" s="19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191"/>
      <c r="H190" s="191"/>
      <c r="I190" s="191"/>
      <c r="J190" s="191"/>
      <c r="K190" s="191"/>
      <c r="L190" s="191"/>
      <c r="M190" s="191"/>
      <c r="N190" s="19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191"/>
      <c r="H191" s="191"/>
      <c r="I191" s="191"/>
      <c r="J191" s="191"/>
      <c r="K191" s="191"/>
      <c r="L191" s="191"/>
      <c r="M191" s="191"/>
      <c r="N191" s="19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191"/>
      <c r="H192" s="191"/>
      <c r="I192" s="191"/>
      <c r="J192" s="191"/>
      <c r="K192" s="191"/>
      <c r="L192" s="191"/>
      <c r="M192" s="191"/>
      <c r="N192" s="19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191"/>
      <c r="H193" s="191"/>
      <c r="I193" s="191"/>
      <c r="J193" s="191"/>
      <c r="K193" s="191"/>
      <c r="L193" s="191"/>
      <c r="M193" s="191"/>
      <c r="N193" s="19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191"/>
      <c r="H194" s="191"/>
      <c r="I194" s="191"/>
      <c r="J194" s="191"/>
      <c r="K194" s="191"/>
      <c r="L194" s="191"/>
      <c r="M194" s="191"/>
      <c r="N194" s="19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191"/>
      <c r="H195" s="191"/>
      <c r="I195" s="191"/>
      <c r="J195" s="191"/>
      <c r="K195" s="191"/>
      <c r="L195" s="191"/>
      <c r="M195" s="191"/>
      <c r="N195" s="19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191"/>
      <c r="H196" s="191"/>
      <c r="I196" s="191"/>
      <c r="J196" s="191"/>
      <c r="K196" s="191"/>
      <c r="L196" s="191"/>
      <c r="M196" s="191"/>
      <c r="N196" s="19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191"/>
      <c r="H197" s="191"/>
      <c r="I197" s="191"/>
      <c r="J197" s="191"/>
      <c r="K197" s="191"/>
      <c r="L197" s="191"/>
      <c r="M197" s="191"/>
      <c r="N197" s="19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191"/>
      <c r="H198" s="191"/>
      <c r="I198" s="191"/>
      <c r="J198" s="191"/>
      <c r="K198" s="191"/>
      <c r="L198" s="191"/>
      <c r="M198" s="191"/>
      <c r="N198" s="19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191"/>
      <c r="H199" s="191"/>
      <c r="I199" s="191"/>
      <c r="J199" s="191"/>
      <c r="K199" s="191"/>
      <c r="L199" s="191"/>
      <c r="M199" s="191"/>
      <c r="N199" s="19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191"/>
      <c r="H200" s="191"/>
      <c r="I200" s="191"/>
      <c r="J200" s="191"/>
      <c r="K200" s="191"/>
      <c r="L200" s="191"/>
      <c r="M200" s="191"/>
      <c r="N200" s="19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191"/>
      <c r="H201" s="191"/>
      <c r="I201" s="191"/>
      <c r="J201" s="191"/>
      <c r="K201" s="191"/>
      <c r="L201" s="191"/>
      <c r="M201" s="191"/>
      <c r="N201" s="19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191"/>
      <c r="H202" s="191"/>
      <c r="I202" s="191"/>
      <c r="J202" s="191"/>
      <c r="K202" s="191"/>
      <c r="L202" s="191"/>
      <c r="M202" s="191"/>
      <c r="N202" s="19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191"/>
      <c r="H203" s="191"/>
      <c r="I203" s="191"/>
      <c r="J203" s="191"/>
      <c r="K203" s="191"/>
      <c r="L203" s="191"/>
      <c r="M203" s="191"/>
      <c r="N203" s="19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191"/>
      <c r="H204" s="191"/>
      <c r="I204" s="191"/>
      <c r="J204" s="191"/>
      <c r="K204" s="191"/>
      <c r="L204" s="191"/>
      <c r="M204" s="191"/>
      <c r="N204" s="19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191"/>
      <c r="H205" s="191"/>
      <c r="I205" s="191"/>
      <c r="J205" s="191"/>
      <c r="K205" s="191"/>
      <c r="L205" s="191"/>
      <c r="M205" s="191"/>
      <c r="N205" s="19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191"/>
      <c r="H206" s="191"/>
      <c r="I206" s="191"/>
      <c r="J206" s="191"/>
      <c r="K206" s="191"/>
      <c r="L206" s="191"/>
      <c r="M206" s="191"/>
      <c r="N206" s="19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191"/>
      <c r="H207" s="191"/>
      <c r="I207" s="191"/>
      <c r="J207" s="191"/>
      <c r="K207" s="191"/>
      <c r="L207" s="191"/>
      <c r="M207" s="191"/>
      <c r="N207" s="19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191"/>
      <c r="H208" s="191"/>
      <c r="I208" s="191"/>
      <c r="J208" s="191"/>
      <c r="K208" s="191"/>
      <c r="L208" s="191"/>
      <c r="M208" s="191"/>
      <c r="N208" s="19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191"/>
      <c r="H209" s="191"/>
      <c r="I209" s="191"/>
      <c r="J209" s="191"/>
      <c r="K209" s="191"/>
      <c r="L209" s="191"/>
      <c r="M209" s="191"/>
      <c r="N209" s="19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191"/>
      <c r="H210" s="191"/>
      <c r="I210" s="191"/>
      <c r="J210" s="191"/>
      <c r="K210" s="191"/>
      <c r="L210" s="191"/>
      <c r="M210" s="191"/>
      <c r="N210" s="19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191"/>
      <c r="H211" s="191"/>
      <c r="I211" s="191"/>
      <c r="J211" s="191"/>
      <c r="K211" s="191"/>
      <c r="L211" s="191"/>
      <c r="M211" s="191"/>
      <c r="N211" s="19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191"/>
      <c r="H212" s="191"/>
      <c r="I212" s="191"/>
      <c r="J212" s="191"/>
      <c r="K212" s="191"/>
      <c r="L212" s="191"/>
      <c r="M212" s="191"/>
      <c r="N212" s="19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191"/>
      <c r="H213" s="191"/>
      <c r="I213" s="191"/>
      <c r="J213" s="191"/>
      <c r="K213" s="191"/>
      <c r="L213" s="191"/>
      <c r="M213" s="191"/>
      <c r="N213" s="19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191"/>
      <c r="H214" s="191"/>
      <c r="I214" s="191"/>
      <c r="J214" s="191"/>
      <c r="K214" s="191"/>
      <c r="L214" s="191"/>
      <c r="M214" s="191"/>
      <c r="N214" s="19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191"/>
      <c r="H215" s="191"/>
      <c r="I215" s="191"/>
      <c r="J215" s="191"/>
      <c r="K215" s="191"/>
      <c r="L215" s="191"/>
      <c r="M215" s="191"/>
      <c r="N215" s="19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191"/>
      <c r="H216" s="191"/>
      <c r="I216" s="191"/>
      <c r="J216" s="191"/>
      <c r="K216" s="191"/>
      <c r="L216" s="191"/>
      <c r="M216" s="191"/>
      <c r="N216" s="19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191"/>
      <c r="H217" s="191"/>
      <c r="I217" s="191"/>
      <c r="J217" s="191"/>
      <c r="K217" s="191"/>
      <c r="L217" s="191"/>
      <c r="M217" s="191"/>
      <c r="N217" s="19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191"/>
      <c r="H218" s="191"/>
      <c r="I218" s="191"/>
      <c r="J218" s="191"/>
      <c r="K218" s="191"/>
      <c r="L218" s="191"/>
      <c r="M218" s="191"/>
      <c r="N218" s="19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191"/>
      <c r="H219" s="191"/>
      <c r="I219" s="191"/>
      <c r="J219" s="191"/>
      <c r="K219" s="191"/>
      <c r="L219" s="191"/>
      <c r="M219" s="191"/>
      <c r="N219" s="19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191"/>
      <c r="H220" s="191"/>
      <c r="I220" s="191"/>
      <c r="J220" s="191"/>
      <c r="K220" s="191"/>
      <c r="L220" s="191"/>
      <c r="M220" s="191"/>
      <c r="N220" s="19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191"/>
      <c r="H221" s="191"/>
      <c r="I221" s="191"/>
      <c r="J221" s="191"/>
      <c r="K221" s="191"/>
      <c r="L221" s="191"/>
      <c r="M221" s="191"/>
      <c r="N221" s="19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191"/>
      <c r="H222" s="191"/>
      <c r="I222" s="191"/>
      <c r="J222" s="191"/>
      <c r="K222" s="191"/>
      <c r="L222" s="191"/>
      <c r="M222" s="191"/>
      <c r="N222" s="19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191"/>
      <c r="H223" s="191"/>
      <c r="I223" s="191"/>
      <c r="J223" s="191"/>
      <c r="K223" s="191"/>
      <c r="L223" s="191"/>
      <c r="M223" s="191"/>
      <c r="N223" s="19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191"/>
      <c r="H224" s="191"/>
      <c r="I224" s="191"/>
      <c r="J224" s="191"/>
      <c r="K224" s="191"/>
      <c r="L224" s="191"/>
      <c r="M224" s="191"/>
      <c r="N224" s="19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191"/>
      <c r="H225" s="191"/>
      <c r="I225" s="191"/>
      <c r="J225" s="191"/>
      <c r="K225" s="191"/>
      <c r="L225" s="191"/>
      <c r="M225" s="191"/>
      <c r="N225" s="19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191"/>
      <c r="H226" s="191"/>
      <c r="I226" s="191"/>
      <c r="J226" s="191"/>
      <c r="K226" s="191"/>
      <c r="L226" s="191"/>
      <c r="M226" s="191"/>
      <c r="N226" s="19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191"/>
      <c r="H227" s="191"/>
      <c r="I227" s="191"/>
      <c r="J227" s="191"/>
      <c r="K227" s="191"/>
      <c r="L227" s="191"/>
      <c r="M227" s="191"/>
      <c r="N227" s="19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191"/>
      <c r="H228" s="191"/>
      <c r="I228" s="191"/>
      <c r="J228" s="191"/>
      <c r="K228" s="191"/>
      <c r="L228" s="191"/>
      <c r="M228" s="191"/>
      <c r="N228" s="19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191"/>
      <c r="H229" s="191"/>
      <c r="I229" s="191"/>
      <c r="J229" s="191"/>
      <c r="K229" s="191"/>
      <c r="L229" s="191"/>
      <c r="M229" s="191"/>
      <c r="N229" s="19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191"/>
      <c r="H230" s="191"/>
      <c r="I230" s="191"/>
      <c r="J230" s="191"/>
      <c r="K230" s="191"/>
      <c r="L230" s="191"/>
      <c r="M230" s="191"/>
      <c r="N230" s="19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191"/>
      <c r="H231" s="191"/>
      <c r="I231" s="191"/>
      <c r="J231" s="191"/>
      <c r="K231" s="191"/>
      <c r="L231" s="191"/>
      <c r="M231" s="191"/>
      <c r="N231" s="19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191"/>
      <c r="H232" s="191"/>
      <c r="I232" s="191"/>
      <c r="J232" s="191"/>
      <c r="K232" s="191"/>
      <c r="L232" s="191"/>
      <c r="M232" s="191"/>
      <c r="N232" s="19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191"/>
      <c r="H233" s="191"/>
      <c r="I233" s="191"/>
      <c r="J233" s="191"/>
      <c r="K233" s="191"/>
      <c r="L233" s="191"/>
      <c r="M233" s="191"/>
      <c r="N233" s="19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191"/>
      <c r="H234" s="191"/>
      <c r="I234" s="191"/>
      <c r="J234" s="191"/>
      <c r="K234" s="191"/>
      <c r="L234" s="191"/>
      <c r="M234" s="191"/>
      <c r="N234" s="19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191"/>
      <c r="H235" s="191"/>
      <c r="I235" s="191"/>
      <c r="J235" s="191"/>
      <c r="K235" s="191"/>
      <c r="L235" s="191"/>
      <c r="M235" s="191"/>
      <c r="N235" s="19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191"/>
      <c r="H236" s="191"/>
      <c r="I236" s="191"/>
      <c r="J236" s="191"/>
      <c r="K236" s="191"/>
      <c r="L236" s="191"/>
      <c r="M236" s="191"/>
      <c r="N236" s="19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191"/>
      <c r="H237" s="191"/>
      <c r="I237" s="191"/>
      <c r="J237" s="191"/>
      <c r="K237" s="191"/>
      <c r="L237" s="191"/>
      <c r="M237" s="191"/>
      <c r="N237" s="19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191"/>
      <c r="H238" s="191"/>
      <c r="I238" s="191"/>
      <c r="J238" s="191"/>
      <c r="K238" s="191"/>
      <c r="L238" s="191"/>
      <c r="M238" s="191"/>
      <c r="N238" s="19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191"/>
      <c r="H239" s="191"/>
      <c r="I239" s="191"/>
      <c r="J239" s="191"/>
      <c r="K239" s="191"/>
      <c r="L239" s="191"/>
      <c r="M239" s="191"/>
      <c r="N239" s="19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191"/>
      <c r="H240" s="191"/>
      <c r="I240" s="191"/>
      <c r="J240" s="191"/>
      <c r="K240" s="191"/>
      <c r="L240" s="191"/>
      <c r="M240" s="191"/>
      <c r="N240" s="19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191"/>
      <c r="H241" s="191"/>
      <c r="I241" s="191"/>
      <c r="J241" s="191"/>
      <c r="K241" s="191"/>
      <c r="L241" s="191"/>
      <c r="M241" s="191"/>
      <c r="N241" s="19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191"/>
      <c r="H242" s="191"/>
      <c r="I242" s="191"/>
      <c r="J242" s="191"/>
      <c r="K242" s="191"/>
      <c r="L242" s="191"/>
      <c r="M242" s="191"/>
      <c r="N242" s="19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191"/>
      <c r="H243" s="191"/>
      <c r="I243" s="191"/>
      <c r="J243" s="191"/>
      <c r="K243" s="191"/>
      <c r="L243" s="191"/>
      <c r="M243" s="191"/>
      <c r="N243" s="19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191"/>
      <c r="H244" s="191"/>
      <c r="I244" s="191"/>
      <c r="J244" s="191"/>
      <c r="K244" s="191"/>
      <c r="L244" s="191"/>
      <c r="M244" s="191"/>
      <c r="N244" s="19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191"/>
      <c r="H245" s="191"/>
      <c r="I245" s="191"/>
      <c r="J245" s="191"/>
      <c r="K245" s="191"/>
      <c r="L245" s="191"/>
      <c r="M245" s="191"/>
      <c r="N245" s="19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191"/>
      <c r="H246" s="191"/>
      <c r="I246" s="191"/>
      <c r="J246" s="191"/>
      <c r="K246" s="191"/>
      <c r="L246" s="191"/>
      <c r="M246" s="191"/>
      <c r="N246" s="19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191"/>
      <c r="H247" s="191"/>
      <c r="I247" s="191"/>
      <c r="J247" s="191"/>
      <c r="K247" s="191"/>
      <c r="L247" s="191"/>
      <c r="M247" s="191"/>
      <c r="N247" s="19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191"/>
      <c r="H248" s="191"/>
      <c r="I248" s="191"/>
      <c r="J248" s="191"/>
      <c r="K248" s="191"/>
      <c r="L248" s="191"/>
      <c r="M248" s="191"/>
      <c r="N248" s="19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191"/>
      <c r="H249" s="191"/>
      <c r="I249" s="191"/>
      <c r="J249" s="191"/>
      <c r="K249" s="191"/>
      <c r="L249" s="191"/>
      <c r="M249" s="191"/>
      <c r="N249" s="19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191"/>
      <c r="H250" s="191"/>
      <c r="I250" s="191"/>
      <c r="J250" s="191"/>
      <c r="K250" s="191"/>
      <c r="L250" s="191"/>
      <c r="M250" s="191"/>
      <c r="N250" s="19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191"/>
      <c r="H251" s="191"/>
      <c r="I251" s="191"/>
      <c r="J251" s="191"/>
      <c r="K251" s="191"/>
      <c r="L251" s="191"/>
      <c r="M251" s="191"/>
      <c r="N251" s="19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191"/>
      <c r="H252" s="191"/>
      <c r="I252" s="191"/>
      <c r="J252" s="191"/>
      <c r="K252" s="191"/>
      <c r="L252" s="191"/>
      <c r="M252" s="191"/>
      <c r="N252" s="19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191"/>
      <c r="H253" s="191"/>
      <c r="I253" s="191"/>
      <c r="J253" s="191"/>
      <c r="K253" s="191"/>
      <c r="L253" s="191"/>
      <c r="M253" s="191"/>
      <c r="N253" s="19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191"/>
      <c r="H254" s="191"/>
      <c r="I254" s="191"/>
      <c r="J254" s="191"/>
      <c r="K254" s="191"/>
      <c r="L254" s="191"/>
      <c r="M254" s="191"/>
      <c r="N254" s="19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191"/>
      <c r="H255" s="191"/>
      <c r="I255" s="191"/>
      <c r="J255" s="191"/>
      <c r="K255" s="191"/>
      <c r="L255" s="191"/>
      <c r="M255" s="191"/>
      <c r="N255" s="19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191"/>
      <c r="H256" s="191"/>
      <c r="I256" s="191"/>
      <c r="J256" s="191"/>
      <c r="K256" s="191"/>
      <c r="L256" s="191"/>
      <c r="M256" s="191"/>
      <c r="N256" s="19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191"/>
      <c r="H257" s="191"/>
      <c r="I257" s="191"/>
      <c r="J257" s="191"/>
      <c r="K257" s="191"/>
      <c r="L257" s="191"/>
      <c r="M257" s="191"/>
      <c r="N257" s="19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191"/>
      <c r="H258" s="191"/>
      <c r="I258" s="191"/>
      <c r="J258" s="191"/>
      <c r="K258" s="191"/>
      <c r="L258" s="191"/>
      <c r="M258" s="191"/>
      <c r="N258" s="19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191"/>
      <c r="H259" s="191"/>
      <c r="I259" s="191"/>
      <c r="J259" s="191"/>
      <c r="K259" s="191"/>
      <c r="L259" s="191"/>
      <c r="M259" s="191"/>
      <c r="N259" s="19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191"/>
      <c r="H260" s="191"/>
      <c r="I260" s="191"/>
      <c r="J260" s="191"/>
      <c r="K260" s="191"/>
      <c r="L260" s="191"/>
      <c r="M260" s="191"/>
      <c r="N260" s="19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191"/>
      <c r="H261" s="191"/>
      <c r="I261" s="191"/>
      <c r="J261" s="191"/>
      <c r="K261" s="191"/>
      <c r="L261" s="191"/>
      <c r="M261" s="191"/>
      <c r="N261" s="19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191"/>
      <c r="H262" s="191"/>
      <c r="I262" s="191"/>
      <c r="J262" s="191"/>
      <c r="K262" s="191"/>
      <c r="L262" s="191"/>
      <c r="M262" s="191"/>
      <c r="N262" s="19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191"/>
      <c r="H263" s="191"/>
      <c r="I263" s="191"/>
      <c r="J263" s="191"/>
      <c r="K263" s="191"/>
      <c r="L263" s="191"/>
      <c r="M263" s="191"/>
      <c r="N263" s="19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191"/>
      <c r="H264" s="191"/>
      <c r="I264" s="191"/>
      <c r="J264" s="191"/>
      <c r="K264" s="191"/>
      <c r="L264" s="191"/>
      <c r="M264" s="191"/>
      <c r="N264" s="19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191"/>
      <c r="H265" s="191"/>
      <c r="I265" s="191"/>
      <c r="J265" s="191"/>
      <c r="K265" s="191"/>
      <c r="L265" s="191"/>
      <c r="M265" s="191"/>
      <c r="N265" s="19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191"/>
      <c r="H266" s="191"/>
      <c r="I266" s="191"/>
      <c r="J266" s="191"/>
      <c r="K266" s="191"/>
      <c r="L266" s="191"/>
      <c r="M266" s="191"/>
      <c r="N266" s="19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191"/>
      <c r="H267" s="191"/>
      <c r="I267" s="191"/>
      <c r="J267" s="191"/>
      <c r="K267" s="191"/>
      <c r="L267" s="191"/>
      <c r="M267" s="191"/>
      <c r="N267" s="191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191"/>
      <c r="H268" s="191"/>
      <c r="I268" s="191"/>
      <c r="J268" s="191"/>
      <c r="K268" s="191"/>
      <c r="L268" s="191"/>
      <c r="M268" s="191"/>
      <c r="N268" s="19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191"/>
      <c r="H269" s="191"/>
      <c r="I269" s="191"/>
      <c r="J269" s="191"/>
      <c r="K269" s="191"/>
      <c r="L269" s="191"/>
      <c r="M269" s="191"/>
      <c r="N269" s="19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191"/>
      <c r="H270" s="191"/>
      <c r="I270" s="191"/>
      <c r="J270" s="191"/>
      <c r="K270" s="191"/>
      <c r="L270" s="191"/>
      <c r="M270" s="191"/>
      <c r="N270" s="19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191"/>
      <c r="H271" s="191"/>
      <c r="I271" s="191"/>
      <c r="J271" s="191"/>
      <c r="K271" s="191"/>
      <c r="L271" s="191"/>
      <c r="M271" s="191"/>
      <c r="N271" s="19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191"/>
      <c r="H272" s="191"/>
      <c r="I272" s="191"/>
      <c r="J272" s="191"/>
      <c r="K272" s="191"/>
      <c r="L272" s="191"/>
      <c r="M272" s="191"/>
      <c r="N272" s="19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191"/>
      <c r="H273" s="191"/>
      <c r="I273" s="191"/>
      <c r="J273" s="191"/>
      <c r="K273" s="191"/>
      <c r="L273" s="191"/>
      <c r="M273" s="191"/>
      <c r="N273" s="19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191"/>
      <c r="H274" s="191"/>
      <c r="I274" s="191"/>
      <c r="J274" s="191"/>
      <c r="K274" s="191"/>
      <c r="L274" s="191"/>
      <c r="M274" s="191"/>
      <c r="N274" s="19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191"/>
      <c r="H275" s="191"/>
      <c r="I275" s="191"/>
      <c r="J275" s="191"/>
      <c r="K275" s="191"/>
      <c r="L275" s="191"/>
      <c r="M275" s="191"/>
      <c r="N275" s="19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191"/>
      <c r="H276" s="191"/>
      <c r="I276" s="191"/>
      <c r="J276" s="191"/>
      <c r="K276" s="191"/>
      <c r="L276" s="191"/>
      <c r="M276" s="191"/>
      <c r="N276" s="19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191"/>
      <c r="H277" s="191"/>
      <c r="I277" s="191"/>
      <c r="J277" s="191"/>
      <c r="K277" s="191"/>
      <c r="L277" s="191"/>
      <c r="M277" s="191"/>
      <c r="N277" s="19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191"/>
      <c r="H278" s="191"/>
      <c r="I278" s="191"/>
      <c r="J278" s="191"/>
      <c r="K278" s="191"/>
      <c r="L278" s="191"/>
      <c r="M278" s="191"/>
      <c r="N278" s="19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191"/>
      <c r="H279" s="191"/>
      <c r="I279" s="191"/>
      <c r="J279" s="191"/>
      <c r="K279" s="191"/>
      <c r="L279" s="191"/>
      <c r="M279" s="191"/>
      <c r="N279" s="19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191"/>
      <c r="H280" s="191"/>
      <c r="I280" s="191"/>
      <c r="J280" s="191"/>
      <c r="K280" s="191"/>
      <c r="L280" s="191"/>
      <c r="M280" s="191"/>
      <c r="N280" s="19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191"/>
      <c r="H281" s="191"/>
      <c r="I281" s="191"/>
      <c r="J281" s="191"/>
      <c r="K281" s="191"/>
      <c r="L281" s="191"/>
      <c r="M281" s="191"/>
      <c r="N281" s="19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191"/>
      <c r="H282" s="191"/>
      <c r="I282" s="191"/>
      <c r="J282" s="191"/>
      <c r="K282" s="191"/>
      <c r="L282" s="191"/>
      <c r="M282" s="191"/>
      <c r="N282" s="19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191"/>
      <c r="H283" s="191"/>
      <c r="I283" s="191"/>
      <c r="J283" s="191"/>
      <c r="K283" s="191"/>
      <c r="L283" s="191"/>
      <c r="M283" s="191"/>
      <c r="N283" s="19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191"/>
      <c r="H284" s="191"/>
      <c r="I284" s="191"/>
      <c r="J284" s="191"/>
      <c r="K284" s="191"/>
      <c r="L284" s="191"/>
      <c r="M284" s="191"/>
      <c r="N284" s="19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191"/>
      <c r="H285" s="191"/>
      <c r="I285" s="191"/>
      <c r="J285" s="191"/>
      <c r="K285" s="191"/>
      <c r="L285" s="191"/>
      <c r="M285" s="191"/>
      <c r="N285" s="19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191"/>
      <c r="H286" s="191"/>
      <c r="I286" s="191"/>
      <c r="J286" s="191"/>
      <c r="K286" s="191"/>
      <c r="L286" s="191"/>
      <c r="M286" s="191"/>
      <c r="N286" s="19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191"/>
      <c r="H287" s="191"/>
      <c r="I287" s="191"/>
      <c r="J287" s="191"/>
      <c r="K287" s="191"/>
      <c r="L287" s="191"/>
      <c r="M287" s="191"/>
      <c r="N287" s="19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191"/>
      <c r="H288" s="191"/>
      <c r="I288" s="191"/>
      <c r="J288" s="191"/>
      <c r="K288" s="191"/>
      <c r="L288" s="191"/>
      <c r="M288" s="191"/>
      <c r="N288" s="19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191"/>
      <c r="H289" s="191"/>
      <c r="I289" s="191"/>
      <c r="J289" s="191"/>
      <c r="K289" s="191"/>
      <c r="L289" s="191"/>
      <c r="M289" s="191"/>
      <c r="N289" s="19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191"/>
      <c r="H290" s="191"/>
      <c r="I290" s="191"/>
      <c r="J290" s="191"/>
      <c r="K290" s="191"/>
      <c r="L290" s="191"/>
      <c r="M290" s="191"/>
      <c r="N290" s="19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191"/>
      <c r="H291" s="191"/>
      <c r="I291" s="191"/>
      <c r="J291" s="191"/>
      <c r="K291" s="191"/>
      <c r="L291" s="191"/>
      <c r="M291" s="191"/>
      <c r="N291" s="19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191"/>
      <c r="H292" s="191"/>
      <c r="I292" s="191"/>
      <c r="J292" s="191"/>
      <c r="K292" s="191"/>
      <c r="L292" s="191"/>
      <c r="M292" s="191"/>
      <c r="N292" s="19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191"/>
      <c r="H293" s="191"/>
      <c r="I293" s="191"/>
      <c r="J293" s="191"/>
      <c r="K293" s="191"/>
      <c r="L293" s="191"/>
      <c r="M293" s="191"/>
      <c r="N293" s="19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191"/>
      <c r="H294" s="191"/>
      <c r="I294" s="191"/>
      <c r="J294" s="191"/>
      <c r="K294" s="191"/>
      <c r="L294" s="191"/>
      <c r="M294" s="191"/>
      <c r="N294" s="19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191"/>
      <c r="H295" s="191"/>
      <c r="I295" s="191"/>
      <c r="J295" s="191"/>
      <c r="K295" s="191"/>
      <c r="L295" s="191"/>
      <c r="M295" s="191"/>
      <c r="N295" s="19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191"/>
      <c r="H296" s="191"/>
      <c r="I296" s="191"/>
      <c r="J296" s="191"/>
      <c r="K296" s="191"/>
      <c r="L296" s="191"/>
      <c r="M296" s="191"/>
      <c r="N296" s="19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191"/>
      <c r="H297" s="191"/>
      <c r="I297" s="191"/>
      <c r="J297" s="191"/>
      <c r="K297" s="191"/>
      <c r="L297" s="191"/>
      <c r="M297" s="191"/>
      <c r="N297" s="19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191"/>
      <c r="H298" s="191"/>
      <c r="I298" s="191"/>
      <c r="J298" s="191"/>
      <c r="K298" s="191"/>
      <c r="L298" s="191"/>
      <c r="M298" s="191"/>
      <c r="N298" s="19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191"/>
      <c r="H299" s="191"/>
      <c r="I299" s="191"/>
      <c r="J299" s="191"/>
      <c r="K299" s="191"/>
      <c r="L299" s="191"/>
      <c r="M299" s="191"/>
      <c r="N299" s="19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191"/>
      <c r="H300" s="191"/>
      <c r="I300" s="191"/>
      <c r="J300" s="191"/>
      <c r="K300" s="191"/>
      <c r="L300" s="191"/>
      <c r="M300" s="191"/>
      <c r="N300" s="19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191"/>
      <c r="H301" s="191"/>
      <c r="I301" s="191"/>
      <c r="J301" s="191"/>
      <c r="K301" s="191"/>
      <c r="L301" s="191"/>
      <c r="M301" s="191"/>
      <c r="N301" s="19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191"/>
      <c r="H302" s="191"/>
      <c r="I302" s="191"/>
      <c r="J302" s="191"/>
      <c r="K302" s="191"/>
      <c r="L302" s="191"/>
      <c r="M302" s="191"/>
      <c r="N302" s="19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191"/>
      <c r="H303" s="191"/>
      <c r="I303" s="191"/>
      <c r="J303" s="191"/>
      <c r="K303" s="191"/>
      <c r="L303" s="191"/>
      <c r="M303" s="191"/>
      <c r="N303" s="19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191"/>
      <c r="H304" s="191"/>
      <c r="I304" s="191"/>
      <c r="J304" s="191"/>
      <c r="K304" s="191"/>
      <c r="L304" s="191"/>
      <c r="M304" s="191"/>
      <c r="N304" s="191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191"/>
      <c r="H305" s="191"/>
      <c r="I305" s="191"/>
      <c r="J305" s="191"/>
      <c r="K305" s="191"/>
      <c r="L305" s="191"/>
      <c r="M305" s="191"/>
      <c r="N305" s="19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191"/>
      <c r="H306" s="191"/>
      <c r="I306" s="191"/>
      <c r="J306" s="191"/>
      <c r="K306" s="191"/>
      <c r="L306" s="191"/>
      <c r="M306" s="191"/>
      <c r="N306" s="19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191"/>
      <c r="H307" s="191"/>
      <c r="I307" s="191"/>
      <c r="J307" s="191"/>
      <c r="K307" s="191"/>
      <c r="L307" s="191"/>
      <c r="M307" s="191"/>
      <c r="N307" s="19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191"/>
      <c r="H308" s="191"/>
      <c r="I308" s="191"/>
      <c r="J308" s="191"/>
      <c r="K308" s="191"/>
      <c r="L308" s="191"/>
      <c r="M308" s="191"/>
      <c r="N308" s="19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191"/>
      <c r="H309" s="191"/>
      <c r="I309" s="191"/>
      <c r="J309" s="191"/>
      <c r="K309" s="191"/>
      <c r="L309" s="191"/>
      <c r="M309" s="191"/>
      <c r="N309" s="19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191"/>
      <c r="H310" s="191"/>
      <c r="I310" s="191"/>
      <c r="J310" s="191"/>
      <c r="K310" s="191"/>
      <c r="L310" s="191"/>
      <c r="M310" s="191"/>
      <c r="N310" s="19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191"/>
      <c r="H311" s="191"/>
      <c r="I311" s="191"/>
      <c r="J311" s="191"/>
      <c r="K311" s="191"/>
      <c r="L311" s="191"/>
      <c r="M311" s="191"/>
      <c r="N311" s="19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191"/>
      <c r="H312" s="191"/>
      <c r="I312" s="191"/>
      <c r="J312" s="191"/>
      <c r="K312" s="191"/>
      <c r="L312" s="191"/>
      <c r="M312" s="191"/>
      <c r="N312" s="19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191"/>
      <c r="H313" s="191"/>
      <c r="I313" s="191"/>
      <c r="J313" s="191"/>
      <c r="K313" s="191"/>
      <c r="L313" s="191"/>
      <c r="M313" s="191"/>
      <c r="N313" s="19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191"/>
      <c r="H314" s="191"/>
      <c r="I314" s="191"/>
      <c r="J314" s="191"/>
      <c r="K314" s="191"/>
      <c r="L314" s="191"/>
      <c r="M314" s="191"/>
      <c r="N314" s="19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191"/>
      <c r="H315" s="191"/>
      <c r="I315" s="191"/>
      <c r="J315" s="191"/>
      <c r="K315" s="191"/>
      <c r="L315" s="191"/>
      <c r="M315" s="191"/>
      <c r="N315" s="19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191"/>
      <c r="H316" s="191"/>
      <c r="I316" s="191"/>
      <c r="J316" s="191"/>
      <c r="K316" s="191"/>
      <c r="L316" s="191"/>
      <c r="M316" s="191"/>
      <c r="N316" s="19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191"/>
      <c r="H317" s="191"/>
      <c r="I317" s="191"/>
      <c r="J317" s="191"/>
      <c r="K317" s="191"/>
      <c r="L317" s="191"/>
      <c r="M317" s="191"/>
      <c r="N317" s="19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191"/>
      <c r="H318" s="191"/>
      <c r="I318" s="191"/>
      <c r="J318" s="191"/>
      <c r="K318" s="191"/>
      <c r="L318" s="191"/>
      <c r="M318" s="191"/>
      <c r="N318" s="19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191"/>
      <c r="H319" s="191"/>
      <c r="I319" s="191"/>
      <c r="J319" s="191"/>
      <c r="K319" s="191"/>
      <c r="L319" s="191"/>
      <c r="M319" s="191"/>
      <c r="N319" s="19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191"/>
      <c r="H320" s="191"/>
      <c r="I320" s="191"/>
      <c r="J320" s="191"/>
      <c r="K320" s="191"/>
      <c r="L320" s="191"/>
      <c r="M320" s="191"/>
      <c r="N320" s="19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191"/>
      <c r="H321" s="191"/>
      <c r="I321" s="191"/>
      <c r="J321" s="191"/>
      <c r="K321" s="191"/>
      <c r="L321" s="191"/>
      <c r="M321" s="191"/>
      <c r="N321" s="19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191"/>
      <c r="H322" s="191"/>
      <c r="I322" s="191"/>
      <c r="J322" s="191"/>
      <c r="K322" s="191"/>
      <c r="L322" s="191"/>
      <c r="M322" s="191"/>
      <c r="N322" s="19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191"/>
      <c r="H323" s="191"/>
      <c r="I323" s="191"/>
      <c r="J323" s="191"/>
      <c r="K323" s="191"/>
      <c r="L323" s="191"/>
      <c r="M323" s="191"/>
      <c r="N323" s="19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191"/>
      <c r="H324" s="191"/>
      <c r="I324" s="191"/>
      <c r="J324" s="191"/>
      <c r="K324" s="191"/>
      <c r="L324" s="191"/>
      <c r="M324" s="191"/>
      <c r="N324" s="19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191"/>
      <c r="H325" s="191"/>
      <c r="I325" s="191"/>
      <c r="J325" s="191"/>
      <c r="K325" s="191"/>
      <c r="L325" s="191"/>
      <c r="M325" s="191"/>
      <c r="N325" s="19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191"/>
      <c r="H326" s="191"/>
      <c r="I326" s="191"/>
      <c r="J326" s="191"/>
      <c r="K326" s="191"/>
      <c r="L326" s="191"/>
      <c r="M326" s="191"/>
      <c r="N326" s="19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191"/>
      <c r="H327" s="191"/>
      <c r="I327" s="191"/>
      <c r="J327" s="191"/>
      <c r="K327" s="191"/>
      <c r="L327" s="191"/>
      <c r="M327" s="191"/>
      <c r="N327" s="19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191"/>
      <c r="H328" s="191"/>
      <c r="I328" s="191"/>
      <c r="J328" s="191"/>
      <c r="K328" s="191"/>
      <c r="L328" s="191"/>
      <c r="M328" s="191"/>
      <c r="N328" s="19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191"/>
      <c r="H329" s="191"/>
      <c r="I329" s="191"/>
      <c r="J329" s="191"/>
      <c r="K329" s="191"/>
      <c r="L329" s="191"/>
      <c r="M329" s="191"/>
      <c r="N329" s="19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191"/>
      <c r="H330" s="191"/>
      <c r="I330" s="191"/>
      <c r="J330" s="191"/>
      <c r="K330" s="191"/>
      <c r="L330" s="191"/>
      <c r="M330" s="191"/>
      <c r="N330" s="19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191"/>
      <c r="H331" s="191"/>
      <c r="I331" s="191"/>
      <c r="J331" s="191"/>
      <c r="K331" s="191"/>
      <c r="L331" s="191"/>
      <c r="M331" s="191"/>
      <c r="N331" s="19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191"/>
      <c r="H332" s="191"/>
      <c r="I332" s="191"/>
      <c r="J332" s="191"/>
      <c r="K332" s="191"/>
      <c r="L332" s="191"/>
      <c r="M332" s="191"/>
      <c r="N332" s="19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191"/>
      <c r="H333" s="191"/>
      <c r="I333" s="191"/>
      <c r="J333" s="191"/>
      <c r="K333" s="191"/>
      <c r="L333" s="191"/>
      <c r="M333" s="191"/>
      <c r="N333" s="19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191"/>
      <c r="H334" s="191"/>
      <c r="I334" s="191"/>
      <c r="J334" s="191"/>
      <c r="K334" s="191"/>
      <c r="L334" s="191"/>
      <c r="M334" s="191"/>
      <c r="N334" s="19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191"/>
      <c r="H335" s="191"/>
      <c r="I335" s="191"/>
      <c r="J335" s="191"/>
      <c r="K335" s="191"/>
      <c r="L335" s="191"/>
      <c r="M335" s="191"/>
      <c r="N335" s="19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191"/>
      <c r="H336" s="191"/>
      <c r="I336" s="191"/>
      <c r="J336" s="191"/>
      <c r="K336" s="191"/>
      <c r="L336" s="191"/>
      <c r="M336" s="191"/>
      <c r="N336" s="19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191"/>
      <c r="H337" s="191"/>
      <c r="I337" s="191"/>
      <c r="J337" s="191"/>
      <c r="K337" s="191"/>
      <c r="L337" s="191"/>
      <c r="M337" s="191"/>
      <c r="N337" s="19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191"/>
      <c r="H338" s="191"/>
      <c r="I338" s="191"/>
      <c r="J338" s="191"/>
      <c r="K338" s="191"/>
      <c r="L338" s="191"/>
      <c r="M338" s="191"/>
      <c r="N338" s="19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191"/>
      <c r="H339" s="191"/>
      <c r="I339" s="191"/>
      <c r="J339" s="191"/>
      <c r="K339" s="191"/>
      <c r="L339" s="191"/>
      <c r="M339" s="191"/>
      <c r="N339" s="19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191"/>
      <c r="H340" s="191"/>
      <c r="I340" s="191"/>
      <c r="J340" s="191"/>
      <c r="K340" s="191"/>
      <c r="L340" s="191"/>
      <c r="M340" s="191"/>
      <c r="N340" s="19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191"/>
      <c r="H341" s="191"/>
      <c r="I341" s="191"/>
      <c r="J341" s="191"/>
      <c r="K341" s="191"/>
      <c r="L341" s="191"/>
      <c r="M341" s="191"/>
      <c r="N341" s="19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191"/>
      <c r="H342" s="191"/>
      <c r="I342" s="191"/>
      <c r="J342" s="191"/>
      <c r="K342" s="191"/>
      <c r="L342" s="191"/>
      <c r="M342" s="191"/>
      <c r="N342" s="19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191"/>
      <c r="H343" s="191"/>
      <c r="I343" s="191"/>
      <c r="J343" s="191"/>
      <c r="K343" s="191"/>
      <c r="L343" s="191"/>
      <c r="M343" s="191"/>
      <c r="N343" s="19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191"/>
      <c r="H344" s="191"/>
      <c r="I344" s="191"/>
      <c r="J344" s="191"/>
      <c r="K344" s="191"/>
      <c r="L344" s="191"/>
      <c r="M344" s="191"/>
      <c r="N344" s="19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191"/>
      <c r="H345" s="191"/>
      <c r="I345" s="191"/>
      <c r="J345" s="191"/>
      <c r="K345" s="191"/>
      <c r="L345" s="191"/>
      <c r="M345" s="191"/>
      <c r="N345" s="19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191"/>
      <c r="H346" s="191"/>
      <c r="I346" s="191"/>
      <c r="J346" s="191"/>
      <c r="K346" s="191"/>
      <c r="L346" s="191"/>
      <c r="M346" s="191"/>
      <c r="N346" s="19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191"/>
      <c r="H347" s="191"/>
      <c r="I347" s="191"/>
      <c r="J347" s="191"/>
      <c r="K347" s="191"/>
      <c r="L347" s="191"/>
      <c r="M347" s="191"/>
      <c r="N347" s="19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191"/>
      <c r="H348" s="191"/>
      <c r="I348" s="191"/>
      <c r="J348" s="191"/>
      <c r="K348" s="191"/>
      <c r="L348" s="191"/>
      <c r="M348" s="191"/>
      <c r="N348" s="19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191"/>
      <c r="H349" s="191"/>
      <c r="I349" s="191"/>
      <c r="J349" s="191"/>
      <c r="K349" s="191"/>
      <c r="L349" s="191"/>
      <c r="M349" s="191"/>
      <c r="N349" s="19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191"/>
      <c r="H350" s="191"/>
      <c r="I350" s="191"/>
      <c r="J350" s="191"/>
      <c r="K350" s="191"/>
      <c r="L350" s="191"/>
      <c r="M350" s="191"/>
      <c r="N350" s="19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191"/>
      <c r="H351" s="191"/>
      <c r="I351" s="191"/>
      <c r="J351" s="191"/>
      <c r="K351" s="191"/>
      <c r="L351" s="191"/>
      <c r="M351" s="191"/>
      <c r="N351" s="19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191"/>
      <c r="H352" s="191"/>
      <c r="I352" s="191"/>
      <c r="J352" s="191"/>
      <c r="K352" s="191"/>
      <c r="L352" s="191"/>
      <c r="M352" s="191"/>
      <c r="N352" s="19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191"/>
      <c r="H353" s="191"/>
      <c r="I353" s="191"/>
      <c r="J353" s="191"/>
      <c r="K353" s="191"/>
      <c r="L353" s="191"/>
      <c r="M353" s="191"/>
      <c r="N353" s="19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191"/>
      <c r="H354" s="191"/>
      <c r="I354" s="191"/>
      <c r="J354" s="191"/>
      <c r="K354" s="191"/>
      <c r="L354" s="191"/>
      <c r="M354" s="191"/>
      <c r="N354" s="19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191"/>
      <c r="H355" s="191"/>
      <c r="I355" s="191"/>
      <c r="J355" s="191"/>
      <c r="K355" s="191"/>
      <c r="L355" s="191"/>
      <c r="M355" s="191"/>
      <c r="N355" s="19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191"/>
      <c r="H356" s="191"/>
      <c r="I356" s="191"/>
      <c r="J356" s="191"/>
      <c r="K356" s="191"/>
      <c r="L356" s="191"/>
      <c r="M356" s="191"/>
      <c r="N356" s="19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191"/>
      <c r="H357" s="191"/>
      <c r="I357" s="191"/>
      <c r="J357" s="191"/>
      <c r="K357" s="191"/>
      <c r="L357" s="191"/>
      <c r="M357" s="191"/>
      <c r="N357" s="19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191"/>
      <c r="H358" s="191"/>
      <c r="I358" s="191"/>
      <c r="J358" s="191"/>
      <c r="K358" s="191"/>
      <c r="L358" s="191"/>
      <c r="M358" s="191"/>
      <c r="N358" s="19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191"/>
      <c r="H359" s="191"/>
      <c r="I359" s="191"/>
      <c r="J359" s="191"/>
      <c r="K359" s="191"/>
      <c r="L359" s="191"/>
      <c r="M359" s="191"/>
      <c r="N359" s="19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191"/>
      <c r="H360" s="191"/>
      <c r="I360" s="191"/>
      <c r="J360" s="191"/>
      <c r="K360" s="191"/>
      <c r="L360" s="191"/>
      <c r="M360" s="191"/>
      <c r="N360" s="19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191"/>
      <c r="H361" s="191"/>
      <c r="I361" s="191"/>
      <c r="J361" s="191"/>
      <c r="K361" s="191"/>
      <c r="L361" s="191"/>
      <c r="M361" s="191"/>
      <c r="N361" s="19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191"/>
      <c r="H362" s="191"/>
      <c r="I362" s="191"/>
      <c r="J362" s="191"/>
      <c r="K362" s="191"/>
      <c r="L362" s="191"/>
      <c r="M362" s="191"/>
      <c r="N362" s="19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191"/>
      <c r="H363" s="191"/>
      <c r="I363" s="191"/>
      <c r="J363" s="191"/>
      <c r="K363" s="191"/>
      <c r="L363" s="191"/>
      <c r="M363" s="191"/>
      <c r="N363" s="19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191"/>
      <c r="H364" s="191"/>
      <c r="I364" s="191"/>
      <c r="J364" s="191"/>
      <c r="K364" s="191"/>
      <c r="L364" s="191"/>
      <c r="M364" s="191"/>
      <c r="N364" s="19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191"/>
      <c r="H365" s="191"/>
      <c r="I365" s="191"/>
      <c r="J365" s="191"/>
      <c r="K365" s="191"/>
      <c r="L365" s="191"/>
      <c r="M365" s="191"/>
      <c r="N365" s="19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191"/>
      <c r="H366" s="191"/>
      <c r="I366" s="191"/>
      <c r="J366" s="191"/>
      <c r="K366" s="191"/>
      <c r="L366" s="191"/>
      <c r="M366" s="191"/>
      <c r="N366" s="19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191"/>
      <c r="H367" s="191"/>
      <c r="I367" s="191"/>
      <c r="J367" s="191"/>
      <c r="K367" s="191"/>
      <c r="L367" s="191"/>
      <c r="M367" s="191"/>
      <c r="N367" s="19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191"/>
      <c r="H368" s="191"/>
      <c r="I368" s="191"/>
      <c r="J368" s="191"/>
      <c r="K368" s="191"/>
      <c r="L368" s="191"/>
      <c r="M368" s="191"/>
      <c r="N368" s="19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191"/>
      <c r="H369" s="191"/>
      <c r="I369" s="191"/>
      <c r="J369" s="191"/>
      <c r="K369" s="191"/>
      <c r="L369" s="191"/>
      <c r="M369" s="191"/>
      <c r="N369" s="19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191"/>
      <c r="H370" s="191"/>
      <c r="I370" s="191"/>
      <c r="J370" s="191"/>
      <c r="K370" s="191"/>
      <c r="L370" s="191"/>
      <c r="M370" s="191"/>
      <c r="N370" s="19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191"/>
      <c r="H371" s="191"/>
      <c r="I371" s="191"/>
      <c r="J371" s="191"/>
      <c r="K371" s="191"/>
      <c r="L371" s="191"/>
      <c r="M371" s="191"/>
      <c r="N371" s="19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191"/>
      <c r="H372" s="191"/>
      <c r="I372" s="191"/>
      <c r="J372" s="191"/>
      <c r="K372" s="191"/>
      <c r="L372" s="191"/>
      <c r="M372" s="191"/>
      <c r="N372" s="19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191"/>
      <c r="H373" s="191"/>
      <c r="I373" s="191"/>
      <c r="J373" s="191"/>
      <c r="K373" s="191"/>
      <c r="L373" s="191"/>
      <c r="M373" s="191"/>
      <c r="N373" s="19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191"/>
      <c r="H374" s="191"/>
      <c r="I374" s="191"/>
      <c r="J374" s="191"/>
      <c r="K374" s="191"/>
      <c r="L374" s="191"/>
      <c r="M374" s="191"/>
      <c r="N374" s="19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191"/>
      <c r="H375" s="191"/>
      <c r="I375" s="191"/>
      <c r="J375" s="191"/>
      <c r="K375" s="191"/>
      <c r="L375" s="191"/>
      <c r="M375" s="191"/>
      <c r="N375" s="19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191"/>
      <c r="H376" s="191"/>
      <c r="I376" s="191"/>
      <c r="J376" s="191"/>
      <c r="K376" s="191"/>
      <c r="L376" s="191"/>
      <c r="M376" s="191"/>
      <c r="N376" s="19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191"/>
      <c r="H377" s="191"/>
      <c r="I377" s="191"/>
      <c r="J377" s="191"/>
      <c r="K377" s="191"/>
      <c r="L377" s="191"/>
      <c r="M377" s="191"/>
      <c r="N377" s="19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191"/>
      <c r="H378" s="191"/>
      <c r="I378" s="191"/>
      <c r="J378" s="191"/>
      <c r="K378" s="191"/>
      <c r="L378" s="191"/>
      <c r="M378" s="191"/>
      <c r="N378" s="19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191"/>
      <c r="H379" s="191"/>
      <c r="I379" s="191"/>
      <c r="J379" s="191"/>
      <c r="K379" s="191"/>
      <c r="L379" s="191"/>
      <c r="M379" s="191"/>
      <c r="N379" s="19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191"/>
      <c r="H380" s="191"/>
      <c r="I380" s="191"/>
      <c r="J380" s="191"/>
      <c r="K380" s="191"/>
      <c r="L380" s="191"/>
      <c r="M380" s="191"/>
      <c r="N380" s="19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191"/>
      <c r="H381" s="191"/>
      <c r="I381" s="191"/>
      <c r="J381" s="191"/>
      <c r="K381" s="191"/>
      <c r="L381" s="191"/>
      <c r="M381" s="191"/>
      <c r="N381" s="19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191"/>
      <c r="H382" s="191"/>
      <c r="I382" s="191"/>
      <c r="J382" s="191"/>
      <c r="K382" s="191"/>
      <c r="L382" s="191"/>
      <c r="M382" s="191"/>
      <c r="N382" s="19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191"/>
      <c r="H383" s="191"/>
      <c r="I383" s="191"/>
      <c r="J383" s="191"/>
      <c r="K383" s="191"/>
      <c r="L383" s="191"/>
      <c r="M383" s="191"/>
      <c r="N383" s="19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191"/>
      <c r="H384" s="191"/>
      <c r="I384" s="191"/>
      <c r="J384" s="191"/>
      <c r="K384" s="191"/>
      <c r="L384" s="191"/>
      <c r="M384" s="191"/>
      <c r="N384" s="19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191"/>
      <c r="H385" s="191"/>
      <c r="I385" s="191"/>
      <c r="J385" s="191"/>
      <c r="K385" s="191"/>
      <c r="L385" s="191"/>
      <c r="M385" s="191"/>
      <c r="N385" s="19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191"/>
      <c r="H386" s="191"/>
      <c r="I386" s="191"/>
      <c r="J386" s="191"/>
      <c r="K386" s="191"/>
      <c r="L386" s="191"/>
      <c r="M386" s="191"/>
      <c r="N386" s="19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191"/>
      <c r="H387" s="191"/>
      <c r="I387" s="191"/>
      <c r="J387" s="191"/>
      <c r="K387" s="191"/>
      <c r="L387" s="191"/>
      <c r="M387" s="191"/>
      <c r="N387" s="19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191"/>
      <c r="H388" s="191"/>
      <c r="I388" s="191"/>
      <c r="J388" s="191"/>
      <c r="K388" s="191"/>
      <c r="L388" s="191"/>
      <c r="M388" s="191"/>
      <c r="N388" s="19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191"/>
      <c r="H389" s="191"/>
      <c r="I389" s="191"/>
      <c r="J389" s="191"/>
      <c r="K389" s="191"/>
      <c r="L389" s="191"/>
      <c r="M389" s="191"/>
      <c r="N389" s="19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191"/>
      <c r="H390" s="191"/>
      <c r="I390" s="191"/>
      <c r="J390" s="191"/>
      <c r="K390" s="191"/>
      <c r="L390" s="191"/>
      <c r="M390" s="191"/>
      <c r="N390" s="19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191"/>
      <c r="H391" s="191"/>
      <c r="I391" s="191"/>
      <c r="J391" s="191"/>
      <c r="K391" s="191"/>
      <c r="L391" s="191"/>
      <c r="M391" s="191"/>
      <c r="N391" s="19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191"/>
      <c r="H392" s="191"/>
      <c r="I392" s="191"/>
      <c r="J392" s="191"/>
      <c r="K392" s="191"/>
      <c r="L392" s="191"/>
      <c r="M392" s="191"/>
      <c r="N392" s="19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191"/>
      <c r="H393" s="191"/>
      <c r="I393" s="191"/>
      <c r="J393" s="191"/>
      <c r="K393" s="191"/>
      <c r="L393" s="191"/>
      <c r="M393" s="191"/>
      <c r="N393" s="19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191"/>
      <c r="H394" s="191"/>
      <c r="I394" s="191"/>
      <c r="J394" s="191"/>
      <c r="K394" s="191"/>
      <c r="L394" s="191"/>
      <c r="M394" s="191"/>
      <c r="N394" s="19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191"/>
      <c r="H395" s="191"/>
      <c r="I395" s="191"/>
      <c r="J395" s="191"/>
      <c r="K395" s="191"/>
      <c r="L395" s="191"/>
      <c r="M395" s="191"/>
      <c r="N395" s="19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191"/>
      <c r="H396" s="191"/>
      <c r="I396" s="191"/>
      <c r="J396" s="191"/>
      <c r="K396" s="191"/>
      <c r="L396" s="191"/>
      <c r="M396" s="191"/>
      <c r="N396" s="19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191"/>
      <c r="H397" s="191"/>
      <c r="I397" s="191"/>
      <c r="J397" s="191"/>
      <c r="K397" s="191"/>
      <c r="L397" s="191"/>
      <c r="M397" s="191"/>
      <c r="N397" s="19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191"/>
      <c r="H398" s="191"/>
      <c r="I398" s="191"/>
      <c r="J398" s="191"/>
      <c r="K398" s="191"/>
      <c r="L398" s="191"/>
      <c r="M398" s="191"/>
      <c r="N398" s="19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191"/>
      <c r="H399" s="191"/>
      <c r="I399" s="191"/>
      <c r="J399" s="191"/>
      <c r="K399" s="191"/>
      <c r="L399" s="191"/>
      <c r="M399" s="191"/>
      <c r="N399" s="19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191"/>
      <c r="H400" s="191"/>
      <c r="I400" s="191"/>
      <c r="J400" s="191"/>
      <c r="K400" s="191"/>
      <c r="L400" s="191"/>
      <c r="M400" s="191"/>
      <c r="N400" s="19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191"/>
      <c r="H401" s="191"/>
      <c r="I401" s="191"/>
      <c r="J401" s="191"/>
      <c r="K401" s="191"/>
      <c r="L401" s="191"/>
      <c r="M401" s="191"/>
      <c r="N401" s="19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191"/>
      <c r="H402" s="191"/>
      <c r="I402" s="191"/>
      <c r="J402" s="191"/>
      <c r="K402" s="191"/>
      <c r="L402" s="191"/>
      <c r="M402" s="191"/>
      <c r="N402" s="19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191"/>
      <c r="H403" s="191"/>
      <c r="I403" s="191"/>
      <c r="J403" s="191"/>
      <c r="K403" s="191"/>
      <c r="L403" s="191"/>
      <c r="M403" s="191"/>
      <c r="N403" s="19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191"/>
      <c r="H404" s="191"/>
      <c r="I404" s="191"/>
      <c r="J404" s="191"/>
      <c r="K404" s="191"/>
      <c r="L404" s="191"/>
      <c r="M404" s="191"/>
      <c r="N404" s="19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191"/>
      <c r="H405" s="191"/>
      <c r="I405" s="191"/>
      <c r="J405" s="191"/>
      <c r="K405" s="191"/>
      <c r="L405" s="191"/>
      <c r="M405" s="191"/>
      <c r="N405" s="19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191"/>
      <c r="H406" s="191"/>
      <c r="I406" s="191"/>
      <c r="J406" s="191"/>
      <c r="K406" s="191"/>
      <c r="L406" s="191"/>
      <c r="M406" s="191"/>
      <c r="N406" s="19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191"/>
      <c r="H407" s="191"/>
      <c r="I407" s="191"/>
      <c r="J407" s="191"/>
      <c r="K407" s="191"/>
      <c r="L407" s="191"/>
      <c r="M407" s="191"/>
      <c r="N407" s="19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191"/>
      <c r="H408" s="191"/>
      <c r="I408" s="191"/>
      <c r="J408" s="191"/>
      <c r="K408" s="191"/>
      <c r="L408" s="191"/>
      <c r="M408" s="191"/>
      <c r="N408" s="19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191"/>
      <c r="H409" s="191"/>
      <c r="I409" s="191"/>
      <c r="J409" s="191"/>
      <c r="K409" s="191"/>
      <c r="L409" s="191"/>
      <c r="M409" s="191"/>
      <c r="N409" s="19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191"/>
      <c r="H410" s="191"/>
      <c r="I410" s="191"/>
      <c r="J410" s="191"/>
      <c r="K410" s="191"/>
      <c r="L410" s="191"/>
      <c r="M410" s="191"/>
      <c r="N410" s="19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191"/>
      <c r="H411" s="191"/>
      <c r="I411" s="191"/>
      <c r="J411" s="191"/>
      <c r="K411" s="191"/>
      <c r="L411" s="191"/>
      <c r="M411" s="191"/>
      <c r="N411" s="19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191"/>
      <c r="H412" s="191"/>
      <c r="I412" s="191"/>
      <c r="J412" s="191"/>
      <c r="K412" s="191"/>
      <c r="L412" s="191"/>
      <c r="M412" s="191"/>
      <c r="N412" s="19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191"/>
      <c r="H413" s="191"/>
      <c r="I413" s="191"/>
      <c r="J413" s="191"/>
      <c r="K413" s="191"/>
      <c r="L413" s="191"/>
      <c r="M413" s="191"/>
      <c r="N413" s="19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191"/>
      <c r="H414" s="191"/>
      <c r="I414" s="191"/>
      <c r="J414" s="191"/>
      <c r="K414" s="191"/>
      <c r="L414" s="191"/>
      <c r="M414" s="191"/>
      <c r="N414" s="19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191"/>
      <c r="H415" s="191"/>
      <c r="I415" s="191"/>
      <c r="J415" s="191"/>
      <c r="K415" s="191"/>
      <c r="L415" s="191"/>
      <c r="M415" s="191"/>
      <c r="N415" s="19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191"/>
      <c r="H416" s="191"/>
      <c r="I416" s="191"/>
      <c r="J416" s="191"/>
      <c r="K416" s="191"/>
      <c r="L416" s="191"/>
      <c r="M416" s="191"/>
      <c r="N416" s="19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191"/>
      <c r="H417" s="191"/>
      <c r="I417" s="191"/>
      <c r="J417" s="191"/>
      <c r="K417" s="191"/>
      <c r="L417" s="191"/>
      <c r="M417" s="191"/>
      <c r="N417" s="19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191"/>
      <c r="H418" s="191"/>
      <c r="I418" s="191"/>
      <c r="J418" s="191"/>
      <c r="K418" s="191"/>
      <c r="L418" s="191"/>
      <c r="M418" s="191"/>
      <c r="N418" s="19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191"/>
      <c r="H419" s="191"/>
      <c r="I419" s="191"/>
      <c r="J419" s="191"/>
      <c r="K419" s="191"/>
      <c r="L419" s="191"/>
      <c r="M419" s="191"/>
      <c r="N419" s="19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191"/>
      <c r="H420" s="191"/>
      <c r="I420" s="191"/>
      <c r="J420" s="191"/>
      <c r="K420" s="191"/>
      <c r="L420" s="191"/>
      <c r="M420" s="191"/>
      <c r="N420" s="19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191"/>
      <c r="H421" s="191"/>
      <c r="I421" s="191"/>
      <c r="J421" s="191"/>
      <c r="K421" s="191"/>
      <c r="L421" s="191"/>
      <c r="M421" s="191"/>
      <c r="N421" s="19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191"/>
      <c r="H422" s="191"/>
      <c r="I422" s="191"/>
      <c r="J422" s="191"/>
      <c r="K422" s="191"/>
      <c r="L422" s="191"/>
      <c r="M422" s="191"/>
      <c r="N422" s="19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191"/>
      <c r="H423" s="191"/>
      <c r="I423" s="191"/>
      <c r="J423" s="191"/>
      <c r="K423" s="191"/>
      <c r="L423" s="191"/>
      <c r="M423" s="191"/>
      <c r="N423" s="19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191"/>
      <c r="H424" s="191"/>
      <c r="I424" s="191"/>
      <c r="J424" s="191"/>
      <c r="K424" s="191"/>
      <c r="L424" s="191"/>
      <c r="M424" s="191"/>
      <c r="N424" s="19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191"/>
      <c r="H425" s="191"/>
      <c r="I425" s="191"/>
      <c r="J425" s="191"/>
      <c r="K425" s="191"/>
      <c r="L425" s="191"/>
      <c r="M425" s="191"/>
      <c r="N425" s="19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191"/>
      <c r="H426" s="191"/>
      <c r="I426" s="191"/>
      <c r="J426" s="191"/>
      <c r="K426" s="191"/>
      <c r="L426" s="191"/>
      <c r="M426" s="191"/>
      <c r="N426" s="19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191"/>
      <c r="H427" s="191"/>
      <c r="I427" s="191"/>
      <c r="J427" s="191"/>
      <c r="K427" s="191"/>
      <c r="L427" s="191"/>
      <c r="M427" s="191"/>
      <c r="N427" s="19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191"/>
      <c r="H428" s="191"/>
      <c r="I428" s="191"/>
      <c r="J428" s="191"/>
      <c r="K428" s="191"/>
      <c r="L428" s="191"/>
      <c r="M428" s="191"/>
      <c r="N428" s="19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191"/>
      <c r="H429" s="191"/>
      <c r="I429" s="191"/>
      <c r="J429" s="191"/>
      <c r="K429" s="191"/>
      <c r="L429" s="191"/>
      <c r="M429" s="191"/>
      <c r="N429" s="19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191"/>
      <c r="H430" s="191"/>
      <c r="I430" s="191"/>
      <c r="J430" s="191"/>
      <c r="K430" s="191"/>
      <c r="L430" s="191"/>
      <c r="M430" s="191"/>
      <c r="N430" s="19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191"/>
      <c r="H431" s="191"/>
      <c r="I431" s="191"/>
      <c r="J431" s="191"/>
      <c r="K431" s="191"/>
      <c r="L431" s="191"/>
      <c r="M431" s="191"/>
      <c r="N431" s="19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191"/>
      <c r="H432" s="191"/>
      <c r="I432" s="191"/>
      <c r="J432" s="191"/>
      <c r="K432" s="191"/>
      <c r="L432" s="191"/>
      <c r="M432" s="191"/>
      <c r="N432" s="19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191"/>
      <c r="H433" s="191"/>
      <c r="I433" s="191"/>
      <c r="J433" s="191"/>
      <c r="K433" s="191"/>
      <c r="L433" s="191"/>
      <c r="M433" s="191"/>
      <c r="N433" s="19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191"/>
      <c r="H434" s="191"/>
      <c r="I434" s="191"/>
      <c r="J434" s="191"/>
      <c r="K434" s="191"/>
      <c r="L434" s="191"/>
      <c r="M434" s="191"/>
      <c r="N434" s="19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191"/>
      <c r="H435" s="191"/>
      <c r="I435" s="191"/>
      <c r="J435" s="191"/>
      <c r="K435" s="191"/>
      <c r="L435" s="191"/>
      <c r="M435" s="191"/>
      <c r="N435" s="19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191"/>
      <c r="H436" s="191"/>
      <c r="I436" s="191"/>
      <c r="J436" s="191"/>
      <c r="K436" s="191"/>
      <c r="L436" s="191"/>
      <c r="M436" s="191"/>
      <c r="N436" s="19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191"/>
      <c r="H437" s="191"/>
      <c r="I437" s="191"/>
      <c r="J437" s="191"/>
      <c r="K437" s="191"/>
      <c r="L437" s="191"/>
      <c r="M437" s="191"/>
      <c r="N437" s="19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191"/>
      <c r="H438" s="191"/>
      <c r="I438" s="191"/>
      <c r="J438" s="191"/>
      <c r="K438" s="191"/>
      <c r="L438" s="191"/>
      <c r="M438" s="191"/>
      <c r="N438" s="19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191"/>
      <c r="H439" s="191"/>
      <c r="I439" s="191"/>
      <c r="J439" s="191"/>
      <c r="K439" s="191"/>
      <c r="L439" s="191"/>
      <c r="M439" s="191"/>
      <c r="N439" s="19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191"/>
      <c r="H440" s="191"/>
      <c r="I440" s="191"/>
      <c r="J440" s="191"/>
      <c r="K440" s="191"/>
      <c r="L440" s="191"/>
      <c r="M440" s="191"/>
      <c r="N440" s="19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191"/>
      <c r="H441" s="191"/>
      <c r="I441" s="191"/>
      <c r="J441" s="191"/>
      <c r="K441" s="191"/>
      <c r="L441" s="191"/>
      <c r="M441" s="191"/>
      <c r="N441" s="19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191"/>
      <c r="H442" s="191"/>
      <c r="I442" s="191"/>
      <c r="J442" s="191"/>
      <c r="K442" s="191"/>
      <c r="L442" s="191"/>
      <c r="M442" s="191"/>
      <c r="N442" s="19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191"/>
      <c r="H443" s="191"/>
      <c r="I443" s="191"/>
      <c r="J443" s="191"/>
      <c r="K443" s="191"/>
      <c r="L443" s="191"/>
      <c r="M443" s="191"/>
      <c r="N443" s="19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191"/>
      <c r="H444" s="191"/>
      <c r="I444" s="191"/>
      <c r="J444" s="191"/>
      <c r="K444" s="191"/>
      <c r="L444" s="191"/>
      <c r="M444" s="191"/>
      <c r="N444" s="19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191"/>
      <c r="H445" s="191"/>
      <c r="I445" s="191"/>
      <c r="J445" s="191"/>
      <c r="K445" s="191"/>
      <c r="L445" s="191"/>
      <c r="M445" s="191"/>
      <c r="N445" s="19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191"/>
      <c r="H446" s="191"/>
      <c r="I446" s="191"/>
      <c r="J446" s="191"/>
      <c r="K446" s="191"/>
      <c r="L446" s="191"/>
      <c r="M446" s="191"/>
      <c r="N446" s="19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191"/>
      <c r="H447" s="191"/>
      <c r="I447" s="191"/>
      <c r="J447" s="191"/>
      <c r="K447" s="191"/>
      <c r="L447" s="191"/>
      <c r="M447" s="191"/>
      <c r="N447" s="19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191"/>
      <c r="H448" s="191"/>
      <c r="I448" s="191"/>
      <c r="J448" s="191"/>
      <c r="K448" s="191"/>
      <c r="L448" s="191"/>
      <c r="M448" s="191"/>
      <c r="N448" s="19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191"/>
      <c r="H449" s="191"/>
      <c r="I449" s="191"/>
      <c r="J449" s="191"/>
      <c r="K449" s="191"/>
      <c r="L449" s="191"/>
      <c r="M449" s="191"/>
      <c r="N449" s="19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191"/>
      <c r="H450" s="191"/>
      <c r="I450" s="191"/>
      <c r="J450" s="191"/>
      <c r="K450" s="191"/>
      <c r="L450" s="191"/>
      <c r="M450" s="191"/>
      <c r="N450" s="19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191"/>
      <c r="H451" s="191"/>
      <c r="I451" s="191"/>
      <c r="J451" s="191"/>
      <c r="K451" s="191"/>
      <c r="L451" s="191"/>
      <c r="M451" s="191"/>
      <c r="N451" s="19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191"/>
      <c r="H452" s="191"/>
      <c r="I452" s="191"/>
      <c r="J452" s="191"/>
      <c r="K452" s="191"/>
      <c r="L452" s="191"/>
      <c r="M452" s="191"/>
      <c r="N452" s="19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191"/>
      <c r="H453" s="191"/>
      <c r="I453" s="191"/>
      <c r="J453" s="191"/>
      <c r="K453" s="191"/>
      <c r="L453" s="191"/>
      <c r="M453" s="191"/>
      <c r="N453" s="19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191"/>
      <c r="H454" s="191"/>
      <c r="I454" s="191"/>
      <c r="J454" s="191"/>
      <c r="K454" s="191"/>
      <c r="L454" s="191"/>
      <c r="M454" s="191"/>
      <c r="N454" s="19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191"/>
      <c r="H455" s="191"/>
      <c r="I455" s="191"/>
      <c r="J455" s="191"/>
      <c r="K455" s="191"/>
      <c r="L455" s="191"/>
      <c r="M455" s="191"/>
      <c r="N455" s="19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191"/>
      <c r="H456" s="191"/>
      <c r="I456" s="191"/>
      <c r="J456" s="191"/>
      <c r="K456" s="191"/>
      <c r="L456" s="191"/>
      <c r="M456" s="191"/>
      <c r="N456" s="19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191"/>
      <c r="H457" s="191"/>
      <c r="I457" s="191"/>
      <c r="J457" s="191"/>
      <c r="K457" s="191"/>
      <c r="L457" s="191"/>
      <c r="M457" s="191"/>
      <c r="N457" s="19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191"/>
      <c r="H458" s="191"/>
      <c r="I458" s="191"/>
      <c r="J458" s="191"/>
      <c r="K458" s="191"/>
      <c r="L458" s="191"/>
      <c r="M458" s="191"/>
      <c r="N458" s="19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191"/>
      <c r="H459" s="191"/>
      <c r="I459" s="191"/>
      <c r="J459" s="191"/>
      <c r="K459" s="191"/>
      <c r="L459" s="191"/>
      <c r="M459" s="191"/>
      <c r="N459" s="19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191"/>
      <c r="H460" s="191"/>
      <c r="I460" s="191"/>
      <c r="J460" s="191"/>
      <c r="K460" s="191"/>
      <c r="L460" s="191"/>
      <c r="M460" s="191"/>
      <c r="N460" s="19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191"/>
      <c r="H461" s="191"/>
      <c r="I461" s="191"/>
      <c r="J461" s="191"/>
      <c r="K461" s="191"/>
      <c r="L461" s="191"/>
      <c r="M461" s="191"/>
      <c r="N461" s="19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191"/>
      <c r="H462" s="191"/>
      <c r="I462" s="191"/>
      <c r="J462" s="191"/>
      <c r="K462" s="191"/>
      <c r="L462" s="191"/>
      <c r="M462" s="191"/>
      <c r="N462" s="19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191"/>
      <c r="H463" s="191"/>
      <c r="I463" s="191"/>
      <c r="J463" s="191"/>
      <c r="K463" s="191"/>
      <c r="L463" s="191"/>
      <c r="M463" s="191"/>
      <c r="N463" s="19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191"/>
      <c r="H464" s="191"/>
      <c r="I464" s="191"/>
      <c r="J464" s="191"/>
      <c r="K464" s="191"/>
      <c r="L464" s="191"/>
      <c r="M464" s="191"/>
      <c r="N464" s="19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191"/>
      <c r="H465" s="191"/>
      <c r="I465" s="191"/>
      <c r="J465" s="191"/>
      <c r="K465" s="191"/>
      <c r="L465" s="191"/>
      <c r="M465" s="191"/>
      <c r="N465" s="19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191"/>
      <c r="H466" s="191"/>
      <c r="I466" s="191"/>
      <c r="J466" s="191"/>
      <c r="K466" s="191"/>
      <c r="L466" s="191"/>
      <c r="M466" s="191"/>
      <c r="N466" s="19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191"/>
      <c r="H467" s="191"/>
      <c r="I467" s="191"/>
      <c r="J467" s="191"/>
      <c r="K467" s="191"/>
      <c r="L467" s="191"/>
      <c r="M467" s="191"/>
      <c r="N467" s="19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191"/>
      <c r="H468" s="191"/>
      <c r="I468" s="191"/>
      <c r="J468" s="191"/>
      <c r="K468" s="191"/>
      <c r="L468" s="191"/>
      <c r="M468" s="191"/>
      <c r="N468" s="19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191"/>
      <c r="H469" s="191"/>
      <c r="I469" s="191"/>
      <c r="J469" s="191"/>
      <c r="K469" s="191"/>
      <c r="L469" s="191"/>
      <c r="M469" s="191"/>
      <c r="N469" s="19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191"/>
      <c r="H470" s="191"/>
      <c r="I470" s="191"/>
      <c r="J470" s="191"/>
      <c r="K470" s="191"/>
      <c r="L470" s="191"/>
      <c r="M470" s="191"/>
      <c r="N470" s="19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191"/>
      <c r="H471" s="191"/>
      <c r="I471" s="191"/>
      <c r="J471" s="191"/>
      <c r="K471" s="191"/>
      <c r="L471" s="191"/>
      <c r="M471" s="191"/>
      <c r="N471" s="19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191"/>
      <c r="H472" s="191"/>
      <c r="I472" s="191"/>
      <c r="J472" s="191"/>
      <c r="K472" s="191"/>
      <c r="L472" s="191"/>
      <c r="M472" s="191"/>
      <c r="N472" s="19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191"/>
      <c r="H473" s="191"/>
      <c r="I473" s="191"/>
      <c r="J473" s="191"/>
      <c r="K473" s="191"/>
      <c r="L473" s="191"/>
      <c r="M473" s="191"/>
      <c r="N473" s="19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191"/>
      <c r="H474" s="191"/>
      <c r="I474" s="191"/>
      <c r="J474" s="191"/>
      <c r="K474" s="191"/>
      <c r="L474" s="191"/>
      <c r="M474" s="191"/>
      <c r="N474" s="19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191"/>
      <c r="H475" s="191"/>
      <c r="I475" s="191"/>
      <c r="J475" s="191"/>
      <c r="K475" s="191"/>
      <c r="L475" s="191"/>
      <c r="M475" s="191"/>
      <c r="N475" s="19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191"/>
      <c r="H476" s="191"/>
      <c r="I476" s="191"/>
      <c r="J476" s="191"/>
      <c r="K476" s="191"/>
      <c r="L476" s="191"/>
      <c r="M476" s="191"/>
      <c r="N476" s="19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191"/>
      <c r="H477" s="191"/>
      <c r="I477" s="191"/>
      <c r="J477" s="191"/>
      <c r="K477" s="191"/>
      <c r="L477" s="191"/>
      <c r="M477" s="191"/>
      <c r="N477" s="19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191"/>
      <c r="H478" s="191"/>
      <c r="I478" s="191"/>
      <c r="J478" s="191"/>
      <c r="K478" s="191"/>
      <c r="L478" s="191"/>
      <c r="M478" s="191"/>
      <c r="N478" s="19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191"/>
      <c r="H479" s="191"/>
      <c r="I479" s="191"/>
      <c r="J479" s="191"/>
      <c r="K479" s="191"/>
      <c r="L479" s="191"/>
      <c r="M479" s="191"/>
      <c r="N479" s="19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191"/>
      <c r="H480" s="191"/>
      <c r="I480" s="191"/>
      <c r="J480" s="191"/>
      <c r="K480" s="191"/>
      <c r="L480" s="191"/>
      <c r="M480" s="191"/>
      <c r="N480" s="19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191"/>
      <c r="H481" s="191"/>
      <c r="I481" s="191"/>
      <c r="J481" s="191"/>
      <c r="K481" s="191"/>
      <c r="L481" s="191"/>
      <c r="M481" s="191"/>
      <c r="N481" s="19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191"/>
      <c r="H482" s="191"/>
      <c r="I482" s="191"/>
      <c r="J482" s="191"/>
      <c r="K482" s="191"/>
      <c r="L482" s="191"/>
      <c r="M482" s="191"/>
      <c r="N482" s="19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191"/>
      <c r="H483" s="191"/>
      <c r="I483" s="191"/>
      <c r="J483" s="191"/>
      <c r="K483" s="191"/>
      <c r="L483" s="191"/>
      <c r="M483" s="191"/>
      <c r="N483" s="19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191"/>
      <c r="H484" s="191"/>
      <c r="I484" s="191"/>
      <c r="J484" s="191"/>
      <c r="K484" s="191"/>
      <c r="L484" s="191"/>
      <c r="M484" s="191"/>
      <c r="N484" s="19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191"/>
      <c r="H485" s="191"/>
      <c r="I485" s="191"/>
      <c r="J485" s="191"/>
      <c r="K485" s="191"/>
      <c r="L485" s="191"/>
      <c r="M485" s="191"/>
      <c r="N485" s="19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191"/>
      <c r="H486" s="191"/>
      <c r="I486" s="191"/>
      <c r="J486" s="191"/>
      <c r="K486" s="191"/>
      <c r="L486" s="191"/>
      <c r="M486" s="191"/>
      <c r="N486" s="19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191"/>
      <c r="H487" s="191"/>
      <c r="I487" s="191"/>
      <c r="J487" s="191"/>
      <c r="K487" s="191"/>
      <c r="L487" s="191"/>
      <c r="M487" s="191"/>
      <c r="N487" s="19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191"/>
      <c r="H488" s="191"/>
      <c r="I488" s="191"/>
      <c r="J488" s="191"/>
      <c r="K488" s="191"/>
      <c r="L488" s="191"/>
      <c r="M488" s="191"/>
      <c r="N488" s="19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191"/>
      <c r="H489" s="191"/>
      <c r="I489" s="191"/>
      <c r="J489" s="191"/>
      <c r="K489" s="191"/>
      <c r="L489" s="191"/>
      <c r="M489" s="191"/>
      <c r="N489" s="19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191"/>
      <c r="H490" s="191"/>
      <c r="I490" s="191"/>
      <c r="J490" s="191"/>
      <c r="K490" s="191"/>
      <c r="L490" s="191"/>
      <c r="M490" s="191"/>
      <c r="N490" s="19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191"/>
      <c r="H491" s="191"/>
      <c r="I491" s="191"/>
      <c r="J491" s="191"/>
      <c r="K491" s="191"/>
      <c r="L491" s="191"/>
      <c r="M491" s="191"/>
      <c r="N491" s="19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191"/>
      <c r="H492" s="191"/>
      <c r="I492" s="191"/>
      <c r="J492" s="191"/>
      <c r="K492" s="191"/>
      <c r="L492" s="191"/>
      <c r="M492" s="191"/>
      <c r="N492" s="19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191"/>
      <c r="H493" s="191"/>
      <c r="I493" s="191"/>
      <c r="J493" s="191"/>
      <c r="K493" s="191"/>
      <c r="L493" s="191"/>
      <c r="M493" s="191"/>
      <c r="N493" s="19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191"/>
      <c r="H494" s="191"/>
      <c r="I494" s="191"/>
      <c r="J494" s="191"/>
      <c r="K494" s="191"/>
      <c r="L494" s="191"/>
      <c r="M494" s="191"/>
      <c r="N494" s="19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191"/>
      <c r="H495" s="191"/>
      <c r="I495" s="191"/>
      <c r="J495" s="191"/>
      <c r="K495" s="191"/>
      <c r="L495" s="191"/>
      <c r="M495" s="191"/>
      <c r="N495" s="19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191"/>
      <c r="H496" s="191"/>
      <c r="I496" s="191"/>
      <c r="J496" s="191"/>
      <c r="K496" s="191"/>
      <c r="L496" s="191"/>
      <c r="M496" s="191"/>
      <c r="N496" s="19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191"/>
      <c r="H497" s="191"/>
      <c r="I497" s="191"/>
      <c r="J497" s="191"/>
      <c r="K497" s="191"/>
      <c r="L497" s="191"/>
      <c r="M497" s="191"/>
      <c r="N497" s="19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191"/>
      <c r="H498" s="191"/>
      <c r="I498" s="191"/>
      <c r="J498" s="191"/>
      <c r="K498" s="191"/>
      <c r="L498" s="191"/>
      <c r="M498" s="191"/>
      <c r="N498" s="19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191"/>
      <c r="H499" s="191"/>
      <c r="I499" s="191"/>
      <c r="J499" s="191"/>
      <c r="K499" s="191"/>
      <c r="L499" s="191"/>
      <c r="M499" s="191"/>
      <c r="N499" s="19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191"/>
      <c r="H500" s="191"/>
      <c r="I500" s="191"/>
      <c r="J500" s="191"/>
      <c r="K500" s="191"/>
      <c r="L500" s="191"/>
      <c r="M500" s="191"/>
      <c r="N500" s="19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191"/>
      <c r="H501" s="191"/>
      <c r="I501" s="191"/>
      <c r="J501" s="191"/>
      <c r="K501" s="191"/>
      <c r="L501" s="191"/>
      <c r="M501" s="191"/>
      <c r="N501" s="19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191"/>
      <c r="H502" s="191"/>
      <c r="I502" s="191"/>
      <c r="J502" s="191"/>
      <c r="K502" s="191"/>
      <c r="L502" s="191"/>
      <c r="M502" s="191"/>
      <c r="N502" s="19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191"/>
      <c r="H503" s="191"/>
      <c r="I503" s="191"/>
      <c r="J503" s="191"/>
      <c r="K503" s="191"/>
      <c r="L503" s="191"/>
      <c r="M503" s="191"/>
      <c r="N503" s="19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191"/>
      <c r="H504" s="191"/>
      <c r="I504" s="191"/>
      <c r="J504" s="191"/>
      <c r="K504" s="191"/>
      <c r="L504" s="191"/>
      <c r="M504" s="191"/>
      <c r="N504" s="19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191"/>
      <c r="H505" s="191"/>
      <c r="I505" s="191"/>
      <c r="J505" s="191"/>
      <c r="K505" s="191"/>
      <c r="L505" s="191"/>
      <c r="M505" s="191"/>
      <c r="N505" s="19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191"/>
      <c r="H506" s="191"/>
      <c r="I506" s="191"/>
      <c r="J506" s="191"/>
      <c r="K506" s="191"/>
      <c r="L506" s="191"/>
      <c r="M506" s="191"/>
      <c r="N506" s="19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191"/>
      <c r="H507" s="191"/>
      <c r="I507" s="191"/>
      <c r="J507" s="191"/>
      <c r="K507" s="191"/>
      <c r="L507" s="191"/>
      <c r="M507" s="191"/>
      <c r="N507" s="19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191"/>
      <c r="H508" s="191"/>
      <c r="I508" s="191"/>
      <c r="J508" s="191"/>
      <c r="K508" s="191"/>
      <c r="L508" s="191"/>
      <c r="M508" s="191"/>
      <c r="N508" s="19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191"/>
      <c r="H509" s="191"/>
      <c r="I509" s="191"/>
      <c r="J509" s="191"/>
      <c r="K509" s="191"/>
      <c r="L509" s="191"/>
      <c r="M509" s="191"/>
      <c r="N509" s="19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191"/>
      <c r="H510" s="191"/>
      <c r="I510" s="191"/>
      <c r="J510" s="191"/>
      <c r="K510" s="191"/>
      <c r="L510" s="191"/>
      <c r="M510" s="191"/>
      <c r="N510" s="19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191"/>
      <c r="H511" s="191"/>
      <c r="I511" s="191"/>
      <c r="J511" s="191"/>
      <c r="K511" s="191"/>
      <c r="L511" s="191"/>
      <c r="M511" s="191"/>
      <c r="N511" s="19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191"/>
      <c r="H512" s="191"/>
      <c r="I512" s="191"/>
      <c r="J512" s="191"/>
      <c r="K512" s="191"/>
      <c r="L512" s="191"/>
      <c r="M512" s="191"/>
      <c r="N512" s="19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191"/>
      <c r="H513" s="191"/>
      <c r="I513" s="191"/>
      <c r="J513" s="191"/>
      <c r="K513" s="191"/>
      <c r="L513" s="191"/>
      <c r="M513" s="191"/>
      <c r="N513" s="19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191"/>
      <c r="H514" s="191"/>
      <c r="I514" s="191"/>
      <c r="J514" s="191"/>
      <c r="K514" s="191"/>
      <c r="L514" s="191"/>
      <c r="M514" s="191"/>
      <c r="N514" s="19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191"/>
      <c r="H515" s="191"/>
      <c r="I515" s="191"/>
      <c r="J515" s="191"/>
      <c r="K515" s="191"/>
      <c r="L515" s="191"/>
      <c r="M515" s="191"/>
      <c r="N515" s="19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191"/>
      <c r="H516" s="191"/>
      <c r="I516" s="191"/>
      <c r="J516" s="191"/>
      <c r="K516" s="191"/>
      <c r="L516" s="191"/>
      <c r="M516" s="191"/>
      <c r="N516" s="19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191"/>
      <c r="H517" s="191"/>
      <c r="I517" s="191"/>
      <c r="J517" s="191"/>
      <c r="K517" s="191"/>
      <c r="L517" s="191"/>
      <c r="M517" s="191"/>
      <c r="N517" s="19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191"/>
      <c r="H518" s="191"/>
      <c r="I518" s="191"/>
      <c r="J518" s="191"/>
      <c r="K518" s="191"/>
      <c r="L518" s="191"/>
      <c r="M518" s="191"/>
      <c r="N518" s="19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191"/>
      <c r="H519" s="191"/>
      <c r="I519" s="191"/>
      <c r="J519" s="191"/>
      <c r="K519" s="191"/>
      <c r="L519" s="191"/>
      <c r="M519" s="191"/>
      <c r="N519" s="19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191"/>
      <c r="H520" s="191"/>
      <c r="I520" s="191"/>
      <c r="J520" s="191"/>
      <c r="K520" s="191"/>
      <c r="L520" s="191"/>
      <c r="M520" s="191"/>
      <c r="N520" s="19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191"/>
      <c r="H521" s="191"/>
      <c r="I521" s="191"/>
      <c r="J521" s="191"/>
      <c r="K521" s="191"/>
      <c r="L521" s="191"/>
      <c r="M521" s="191"/>
      <c r="N521" s="19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191"/>
      <c r="H522" s="191"/>
      <c r="I522" s="191"/>
      <c r="J522" s="191"/>
      <c r="K522" s="191"/>
      <c r="L522" s="191"/>
      <c r="M522" s="191"/>
      <c r="N522" s="19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191"/>
      <c r="H523" s="191"/>
      <c r="I523" s="191"/>
      <c r="J523" s="191"/>
      <c r="K523" s="191"/>
      <c r="L523" s="191"/>
      <c r="M523" s="191"/>
      <c r="N523" s="19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191"/>
      <c r="H524" s="191"/>
      <c r="I524" s="191"/>
      <c r="J524" s="191"/>
      <c r="K524" s="191"/>
      <c r="L524" s="191"/>
      <c r="M524" s="191"/>
      <c r="N524" s="19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191"/>
      <c r="H525" s="191"/>
      <c r="I525" s="191"/>
      <c r="J525" s="191"/>
      <c r="K525" s="191"/>
      <c r="L525" s="191"/>
      <c r="M525" s="191"/>
      <c r="N525" s="19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191"/>
      <c r="H526" s="191"/>
      <c r="I526" s="191"/>
      <c r="J526" s="191"/>
      <c r="K526" s="191"/>
      <c r="L526" s="191"/>
      <c r="M526" s="191"/>
      <c r="N526" s="19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191"/>
      <c r="H527" s="191"/>
      <c r="I527" s="191"/>
      <c r="J527" s="191"/>
      <c r="K527" s="191"/>
      <c r="L527" s="191"/>
      <c r="M527" s="191"/>
      <c r="N527" s="19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191"/>
      <c r="H528" s="191"/>
      <c r="I528" s="191"/>
      <c r="J528" s="191"/>
      <c r="K528" s="191"/>
      <c r="L528" s="191"/>
      <c r="M528" s="191"/>
      <c r="N528" s="19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191"/>
      <c r="H529" s="191"/>
      <c r="I529" s="191"/>
      <c r="J529" s="191"/>
      <c r="K529" s="191"/>
      <c r="L529" s="191"/>
      <c r="M529" s="191"/>
      <c r="N529" s="19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191"/>
      <c r="H530" s="191"/>
      <c r="I530" s="191"/>
      <c r="J530" s="191"/>
      <c r="K530" s="191"/>
      <c r="L530" s="191"/>
      <c r="M530" s="191"/>
      <c r="N530" s="19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191"/>
      <c r="H531" s="191"/>
      <c r="I531" s="191"/>
      <c r="J531" s="191"/>
      <c r="K531" s="191"/>
      <c r="L531" s="191"/>
      <c r="M531" s="191"/>
      <c r="N531" s="19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191"/>
      <c r="H532" s="191"/>
      <c r="I532" s="191"/>
      <c r="J532" s="191"/>
      <c r="K532" s="191"/>
      <c r="L532" s="191"/>
      <c r="M532" s="191"/>
      <c r="N532" s="19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191"/>
      <c r="H533" s="191"/>
      <c r="I533" s="191"/>
      <c r="J533" s="191"/>
      <c r="K533" s="191"/>
      <c r="L533" s="191"/>
      <c r="M533" s="191"/>
      <c r="N533" s="19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191"/>
      <c r="H534" s="191"/>
      <c r="I534" s="191"/>
      <c r="J534" s="191"/>
      <c r="K534" s="191"/>
      <c r="L534" s="191"/>
      <c r="M534" s="191"/>
      <c r="N534" s="19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191"/>
      <c r="H535" s="191"/>
      <c r="I535" s="191"/>
      <c r="J535" s="191"/>
      <c r="K535" s="191"/>
      <c r="L535" s="191"/>
      <c r="M535" s="191"/>
      <c r="N535" s="19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191"/>
      <c r="H536" s="191"/>
      <c r="I536" s="191"/>
      <c r="J536" s="191"/>
      <c r="K536" s="191"/>
      <c r="L536" s="191"/>
      <c r="M536" s="191"/>
      <c r="N536" s="19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191"/>
      <c r="H537" s="191"/>
      <c r="I537" s="191"/>
      <c r="J537" s="191"/>
      <c r="K537" s="191"/>
      <c r="L537" s="191"/>
      <c r="M537" s="191"/>
      <c r="N537" s="19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191"/>
      <c r="H538" s="191"/>
      <c r="I538" s="191"/>
      <c r="J538" s="191"/>
      <c r="K538" s="191"/>
      <c r="L538" s="191"/>
      <c r="M538" s="191"/>
      <c r="N538" s="19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191"/>
      <c r="H539" s="191"/>
      <c r="I539" s="191"/>
      <c r="J539" s="191"/>
      <c r="K539" s="191"/>
      <c r="L539" s="191"/>
      <c r="M539" s="191"/>
      <c r="N539" s="19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191"/>
      <c r="H540" s="191"/>
      <c r="I540" s="191"/>
      <c r="J540" s="191"/>
      <c r="K540" s="191"/>
      <c r="L540" s="191"/>
      <c r="M540" s="191"/>
      <c r="N540" s="19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191"/>
      <c r="H541" s="191"/>
      <c r="I541" s="191"/>
      <c r="J541" s="191"/>
      <c r="K541" s="191"/>
      <c r="L541" s="191"/>
      <c r="M541" s="191"/>
      <c r="N541" s="19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191"/>
      <c r="H542" s="191"/>
      <c r="I542" s="191"/>
      <c r="J542" s="191"/>
      <c r="K542" s="191"/>
      <c r="L542" s="191"/>
      <c r="M542" s="191"/>
      <c r="N542" s="19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191"/>
      <c r="H543" s="191"/>
      <c r="I543" s="191"/>
      <c r="J543" s="191"/>
      <c r="K543" s="191"/>
      <c r="L543" s="191"/>
      <c r="M543" s="191"/>
      <c r="N543" s="19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191"/>
      <c r="H544" s="191"/>
      <c r="I544" s="191"/>
      <c r="J544" s="191"/>
      <c r="K544" s="191"/>
      <c r="L544" s="191"/>
      <c r="M544" s="191"/>
      <c r="N544" s="19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191"/>
      <c r="H545" s="191"/>
      <c r="I545" s="191"/>
      <c r="J545" s="191"/>
      <c r="K545" s="191"/>
      <c r="L545" s="191"/>
      <c r="M545" s="191"/>
      <c r="N545" s="19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191"/>
      <c r="H546" s="191"/>
      <c r="I546" s="191"/>
      <c r="J546" s="191"/>
      <c r="K546" s="191"/>
      <c r="L546" s="191"/>
      <c r="M546" s="191"/>
      <c r="N546" s="19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191"/>
      <c r="H547" s="191"/>
      <c r="I547" s="191"/>
      <c r="J547" s="191"/>
      <c r="K547" s="191"/>
      <c r="L547" s="191"/>
      <c r="M547" s="191"/>
      <c r="N547" s="19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191"/>
      <c r="H548" s="191"/>
      <c r="I548" s="191"/>
      <c r="J548" s="191"/>
      <c r="K548" s="191"/>
      <c r="L548" s="191"/>
      <c r="M548" s="191"/>
      <c r="N548" s="19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191"/>
      <c r="H549" s="191"/>
      <c r="I549" s="191"/>
      <c r="J549" s="191"/>
      <c r="K549" s="191"/>
      <c r="L549" s="191"/>
      <c r="M549" s="191"/>
      <c r="N549" s="19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191"/>
      <c r="H550" s="191"/>
      <c r="I550" s="191"/>
      <c r="J550" s="191"/>
      <c r="K550" s="191"/>
      <c r="L550" s="191"/>
      <c r="M550" s="191"/>
      <c r="N550" s="19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191"/>
      <c r="H551" s="191"/>
      <c r="I551" s="191"/>
      <c r="J551" s="191"/>
      <c r="K551" s="191"/>
      <c r="L551" s="191"/>
      <c r="M551" s="191"/>
      <c r="N551" s="19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191"/>
      <c r="H552" s="191"/>
      <c r="I552" s="191"/>
      <c r="J552" s="191"/>
      <c r="K552" s="191"/>
      <c r="L552" s="191"/>
      <c r="M552" s="191"/>
      <c r="N552" s="19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191"/>
      <c r="H553" s="191"/>
      <c r="I553" s="191"/>
      <c r="J553" s="191"/>
      <c r="K553" s="191"/>
      <c r="L553" s="191"/>
      <c r="M553" s="191"/>
      <c r="N553" s="19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191"/>
      <c r="H554" s="191"/>
      <c r="I554" s="191"/>
      <c r="J554" s="191"/>
      <c r="K554" s="191"/>
      <c r="L554" s="191"/>
      <c r="M554" s="191"/>
      <c r="N554" s="19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191"/>
      <c r="H555" s="191"/>
      <c r="I555" s="191"/>
      <c r="J555" s="191"/>
      <c r="K555" s="191"/>
      <c r="L555" s="191"/>
      <c r="M555" s="191"/>
      <c r="N555" s="19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191"/>
      <c r="H556" s="191"/>
      <c r="I556" s="191"/>
      <c r="J556" s="191"/>
      <c r="K556" s="191"/>
      <c r="L556" s="191"/>
      <c r="M556" s="191"/>
      <c r="N556" s="19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191"/>
      <c r="H557" s="191"/>
      <c r="I557" s="191"/>
      <c r="J557" s="191"/>
      <c r="K557" s="191"/>
      <c r="L557" s="191"/>
      <c r="M557" s="191"/>
      <c r="N557" s="19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191"/>
      <c r="H558" s="191"/>
      <c r="I558" s="191"/>
      <c r="J558" s="191"/>
      <c r="K558" s="191"/>
      <c r="L558" s="191"/>
      <c r="M558" s="191"/>
      <c r="N558" s="19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191"/>
      <c r="H559" s="191"/>
      <c r="I559" s="191"/>
      <c r="J559" s="191"/>
      <c r="K559" s="191"/>
      <c r="L559" s="191"/>
      <c r="M559" s="191"/>
      <c r="N559" s="19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191"/>
      <c r="H560" s="191"/>
      <c r="I560" s="191"/>
      <c r="J560" s="191"/>
      <c r="K560" s="191"/>
      <c r="L560" s="191"/>
      <c r="M560" s="191"/>
      <c r="N560" s="19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191"/>
      <c r="H561" s="191"/>
      <c r="I561" s="191"/>
      <c r="J561" s="191"/>
      <c r="K561" s="191"/>
      <c r="L561" s="191"/>
      <c r="M561" s="191"/>
      <c r="N561" s="19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191"/>
      <c r="H562" s="191"/>
      <c r="I562" s="191"/>
      <c r="J562" s="191"/>
      <c r="K562" s="191"/>
      <c r="L562" s="191"/>
      <c r="M562" s="191"/>
      <c r="N562" s="19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191"/>
      <c r="H563" s="191"/>
      <c r="I563" s="191"/>
      <c r="J563" s="191"/>
      <c r="K563" s="191"/>
      <c r="L563" s="191"/>
      <c r="M563" s="191"/>
      <c r="N563" s="19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191"/>
      <c r="H564" s="191"/>
      <c r="I564" s="191"/>
      <c r="J564" s="191"/>
      <c r="K564" s="191"/>
      <c r="L564" s="191"/>
      <c r="M564" s="191"/>
      <c r="N564" s="19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191"/>
      <c r="H565" s="191"/>
      <c r="I565" s="191"/>
      <c r="J565" s="191"/>
      <c r="K565" s="191"/>
      <c r="L565" s="191"/>
      <c r="M565" s="191"/>
      <c r="N565" s="19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191"/>
      <c r="H566" s="191"/>
      <c r="I566" s="191"/>
      <c r="J566" s="191"/>
      <c r="K566" s="191"/>
      <c r="L566" s="191"/>
      <c r="M566" s="191"/>
      <c r="N566" s="19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5" max="5" width="17.63"/>
    <col customWidth="1" min="13" max="13" width="19.0"/>
    <col customWidth="1" min="14" max="14" width="12.25"/>
    <col customWidth="1" min="15" max="15" width="18.5"/>
  </cols>
  <sheetData>
    <row r="1">
      <c r="A1" s="9"/>
      <c r="B1" s="258" t="s">
        <v>0</v>
      </c>
      <c r="C1" s="205">
        <f>AVERAGE(C98:C118)</f>
        <v>1005.607143</v>
      </c>
      <c r="D1" s="9"/>
      <c r="E1" s="258" t="s">
        <v>0</v>
      </c>
      <c r="F1" s="205">
        <f>AVERAGE(F98:F118)</f>
        <v>1824.761905</v>
      </c>
      <c r="G1" s="193">
        <f>STDEV(F74:F93)</f>
        <v>30.16690588</v>
      </c>
      <c r="H1" s="9"/>
      <c r="I1" s="9"/>
      <c r="J1" s="9"/>
      <c r="K1" s="9"/>
      <c r="L1" s="9"/>
      <c r="M1" s="9"/>
      <c r="N1" s="9"/>
      <c r="O1" s="9"/>
      <c r="P1" s="193" t="s">
        <v>1</v>
      </c>
      <c r="Q1" s="193" t="s">
        <v>2</v>
      </c>
      <c r="R1" s="193" t="s">
        <v>3</v>
      </c>
      <c r="S1" s="9"/>
      <c r="T1" s="193" t="s">
        <v>5</v>
      </c>
      <c r="U1" s="193" t="s">
        <v>189</v>
      </c>
      <c r="V1" s="193" t="s">
        <v>14</v>
      </c>
      <c r="W1" s="193" t="s">
        <v>11</v>
      </c>
      <c r="X1" s="259" t="s">
        <v>12</v>
      </c>
      <c r="Y1" s="9" t="s">
        <v>14</v>
      </c>
      <c r="Z1" s="9"/>
      <c r="AA1" s="9"/>
      <c r="AB1" s="9"/>
      <c r="AC1" s="9"/>
    </row>
    <row r="2">
      <c r="A2" s="9"/>
      <c r="B2" s="260" t="s">
        <v>20</v>
      </c>
      <c r="C2" s="208">
        <f>AVERAGE(C88:C118)</f>
        <v>1026.01129</v>
      </c>
      <c r="D2" s="9"/>
      <c r="E2" s="260" t="s">
        <v>20</v>
      </c>
      <c r="F2" s="208">
        <f>AVERAGE(F88:F118)</f>
        <v>1880.445161</v>
      </c>
      <c r="G2" s="9"/>
      <c r="H2" s="209"/>
      <c r="I2" s="209"/>
      <c r="J2" s="209"/>
      <c r="K2" s="209"/>
      <c r="L2" s="9"/>
      <c r="M2" s="193" t="s">
        <v>23</v>
      </c>
      <c r="N2" s="210">
        <f>CORREL(C88:C118,F88:F118)</f>
        <v>0.9565113111</v>
      </c>
      <c r="O2" s="193" t="s">
        <v>25</v>
      </c>
      <c r="P2" s="199">
        <f>AVERAGE(K88:K117)</f>
        <v>0.5455663959</v>
      </c>
      <c r="Q2" s="199">
        <f>MAX(K88:K117)</f>
        <v>0.5649607365</v>
      </c>
      <c r="R2" s="199">
        <f>MIN(K88:K116)</f>
        <v>0.5230084117</v>
      </c>
      <c r="S2" s="255">
        <f t="shared" ref="S2:S5" si="1">Q2-R2</f>
        <v>0.04195232485</v>
      </c>
      <c r="T2" s="193">
        <f>MATCH(MAX(K11:K116), K11:K116, 0)</f>
        <v>53</v>
      </c>
      <c r="U2" s="193">
        <f t="array" ref="U2">INDEX(C11:C116, MATCH(MAX(K11:K116), K11:K116, 0))</f>
        <v>1064</v>
      </c>
      <c r="V2" s="193">
        <f t="array" ref="V2">INDEX(F11:F116, MATCH(MAX(K11:K116), K11:K116, 0))</f>
        <v>1861.5</v>
      </c>
      <c r="W2" s="195">
        <f t="shared" ref="W2:W3" si="2">U2/V2</f>
        <v>0.5715820575</v>
      </c>
      <c r="X2" s="193" t="s">
        <v>2</v>
      </c>
      <c r="Y2" s="200">
        <v>2711.0</v>
      </c>
      <c r="Z2" s="9"/>
      <c r="AA2" s="9"/>
      <c r="AB2" s="9"/>
      <c r="AC2" s="9"/>
    </row>
    <row r="3">
      <c r="A3" s="193">
        <f>STDEV(C75:C93)</f>
        <v>22.93669651</v>
      </c>
      <c r="B3" s="212" t="s">
        <v>61</v>
      </c>
      <c r="C3" s="212">
        <f>max(C98:C118)</f>
        <v>1060</v>
      </c>
      <c r="D3" s="213">
        <f>C1+A3*2</f>
        <v>1051.480536</v>
      </c>
      <c r="E3" s="212" t="s">
        <v>61</v>
      </c>
      <c r="F3" s="212">
        <f>max(F98:F118)</f>
        <v>1940.5</v>
      </c>
      <c r="G3" s="213">
        <f>F1+G1*2</f>
        <v>1885.095717</v>
      </c>
      <c r="H3" s="209"/>
      <c r="I3" s="209"/>
      <c r="J3" s="209"/>
      <c r="K3" s="209"/>
      <c r="L3" s="9"/>
      <c r="M3" s="193" t="s">
        <v>64</v>
      </c>
      <c r="N3" s="210">
        <f>CORREL(C58:C118,F58:F118)</f>
        <v>0.9359147463</v>
      </c>
      <c r="O3" s="193" t="s">
        <v>67</v>
      </c>
      <c r="P3" s="199">
        <f>AVERAGE((K58:K117))</f>
        <v>0.5469769416</v>
      </c>
      <c r="Q3" s="199">
        <f>MAX(K58:K117)</f>
        <v>0.5715820575</v>
      </c>
      <c r="R3" s="199">
        <f>MIN(K58:K116)</f>
        <v>0.5230084117</v>
      </c>
      <c r="S3" s="255">
        <f t="shared" si="1"/>
        <v>0.0485736458</v>
      </c>
      <c r="T3" s="193">
        <f>MATCH(Min(K11:K116), K11:K116, 0)</f>
        <v>19</v>
      </c>
      <c r="U3" s="193">
        <f t="array" ref="U3">INDEX(C11:C116, MATCH(Min(K11:K116), K11:K116, 0))</f>
        <v>889.05</v>
      </c>
      <c r="V3" s="193">
        <f t="array" ref="V3">INDEX(F11:F116, MATCH(MIN(K11:K116), K11:K116, 0))</f>
        <v>1758.9</v>
      </c>
      <c r="W3" s="195">
        <f t="shared" si="2"/>
        <v>0.5054579567</v>
      </c>
      <c r="X3" s="193" t="s">
        <v>3</v>
      </c>
      <c r="Y3" s="9"/>
      <c r="Z3" s="9"/>
      <c r="AA3" s="9"/>
      <c r="AB3" s="9"/>
      <c r="AC3" s="9"/>
    </row>
    <row r="4">
      <c r="A4" s="9"/>
      <c r="B4" s="212" t="s">
        <v>73</v>
      </c>
      <c r="C4" s="212">
        <f>MIN(C98:C118)</f>
        <v>948.3</v>
      </c>
      <c r="D4" s="213">
        <f>C1-A3*2</f>
        <v>959.7337498</v>
      </c>
      <c r="E4" s="212" t="s">
        <v>73</v>
      </c>
      <c r="F4" s="212">
        <f>MIN(F98:F118)</f>
        <v>1731</v>
      </c>
      <c r="G4" s="213">
        <f>F1-G1*2</f>
        <v>1764.428093</v>
      </c>
      <c r="H4" s="209"/>
      <c r="I4" s="209"/>
      <c r="J4" s="209"/>
      <c r="K4" s="209"/>
      <c r="L4" s="9"/>
      <c r="M4" s="193" t="s">
        <v>77</v>
      </c>
      <c r="N4" s="210">
        <f>CORREL(C28:C118,F28:F118)</f>
        <v>0.9320949012</v>
      </c>
      <c r="O4" s="193" t="s">
        <v>79</v>
      </c>
      <c r="P4" s="199">
        <f>AVERAGE(K28:K117)</f>
        <v>0.5435689238</v>
      </c>
      <c r="Q4" s="199">
        <f>MAX(K28:K117)</f>
        <v>0.5715820575</v>
      </c>
      <c r="R4" s="199">
        <f>MIN(K28:K116)</f>
        <v>0.5054579567</v>
      </c>
      <c r="S4" s="255">
        <f t="shared" si="1"/>
        <v>0.0661241008</v>
      </c>
      <c r="T4" s="9"/>
      <c r="U4" s="9"/>
      <c r="V4" s="9"/>
      <c r="W4" s="191"/>
      <c r="X4" s="9"/>
      <c r="Y4" s="9"/>
      <c r="Z4" s="9"/>
      <c r="AA4" s="9"/>
      <c r="AB4" s="9"/>
      <c r="AC4" s="9"/>
    </row>
    <row r="5">
      <c r="A5" s="9"/>
      <c r="B5" s="212" t="s">
        <v>81</v>
      </c>
      <c r="C5" s="212">
        <f>max(C108:C118)</f>
        <v>1043.2</v>
      </c>
      <c r="D5" s="213">
        <f>C1+A3</f>
        <v>1028.543839</v>
      </c>
      <c r="E5" s="212" t="s">
        <v>81</v>
      </c>
      <c r="F5" s="212">
        <f>max(F108:F118)</f>
        <v>1846.5</v>
      </c>
      <c r="G5" s="213">
        <f>F1+G1</f>
        <v>1854.928811</v>
      </c>
      <c r="H5" s="9"/>
      <c r="I5" s="9"/>
      <c r="J5" s="9"/>
      <c r="K5" s="9"/>
      <c r="L5" s="9"/>
      <c r="M5" s="193" t="s">
        <v>82</v>
      </c>
      <c r="N5" s="210">
        <f>CORREL(C11:C118,F11:F118)</f>
        <v>0.9306221301</v>
      </c>
      <c r="O5" s="193" t="s">
        <v>83</v>
      </c>
      <c r="P5" s="199">
        <f>AVERAGE(K11:K117)</f>
        <v>0.5403825529</v>
      </c>
      <c r="Q5" s="199">
        <f>MAX(K11:K117)</f>
        <v>0.5715820575</v>
      </c>
      <c r="R5" s="199">
        <f>MIN(K11:K116)</f>
        <v>0.5054579567</v>
      </c>
      <c r="S5" s="255">
        <f t="shared" si="1"/>
        <v>0.0661241008</v>
      </c>
      <c r="T5" s="261" t="s">
        <v>189</v>
      </c>
      <c r="U5" s="261">
        <v>2.0</v>
      </c>
      <c r="V5" s="261">
        <f>U2*U7*U5</f>
        <v>425600</v>
      </c>
      <c r="W5" s="262">
        <f>V2*U6*U8</f>
        <v>558450</v>
      </c>
      <c r="X5" s="9"/>
      <c r="Y5" s="9"/>
      <c r="Z5" s="9"/>
      <c r="AA5" s="9"/>
      <c r="AB5" s="9"/>
      <c r="AC5" s="9"/>
    </row>
    <row r="6">
      <c r="A6" s="9"/>
      <c r="B6" s="212" t="s">
        <v>87</v>
      </c>
      <c r="C6" s="212">
        <f>MIN(C108:C118)</f>
        <v>948.3</v>
      </c>
      <c r="D6" s="213">
        <f>C1-A3</f>
        <v>982.6704463</v>
      </c>
      <c r="E6" s="212" t="s">
        <v>87</v>
      </c>
      <c r="F6" s="212">
        <f>MIN(F108:F118)</f>
        <v>1731</v>
      </c>
      <c r="G6" s="213">
        <f>F1-G1</f>
        <v>1794.594999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261" t="s">
        <v>14</v>
      </c>
      <c r="U6" s="261">
        <v>1.0</v>
      </c>
      <c r="V6" s="261">
        <f>U3*U5*U7</f>
        <v>355620</v>
      </c>
      <c r="W6" s="261">
        <f>V3*U6*U8</f>
        <v>527670</v>
      </c>
      <c r="X6" s="9"/>
      <c r="Y6" s="9"/>
      <c r="Z6" s="9"/>
      <c r="AA6" s="9"/>
      <c r="AB6" s="9"/>
      <c r="AC6" s="9"/>
    </row>
    <row r="7">
      <c r="A7" s="9"/>
      <c r="B7" s="193" t="s">
        <v>88</v>
      </c>
      <c r="C7" s="193">
        <f>max(C88:C118)</f>
        <v>1087.4</v>
      </c>
      <c r="D7" s="9"/>
      <c r="E7" s="193" t="s">
        <v>88</v>
      </c>
      <c r="F7" s="193">
        <f>max(F88:F118)</f>
        <v>2021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93" t="s">
        <v>189</v>
      </c>
      <c r="U7" s="193">
        <v>200.0</v>
      </c>
      <c r="V7" s="9"/>
      <c r="W7" s="9"/>
      <c r="X7" s="9"/>
      <c r="Y7" s="9"/>
      <c r="Z7" s="9"/>
      <c r="AA7" s="9"/>
      <c r="AB7" s="9"/>
      <c r="AC7" s="9"/>
    </row>
    <row r="8">
      <c r="A8" s="9"/>
      <c r="B8" s="212" t="s">
        <v>90</v>
      </c>
      <c r="C8" s="215">
        <f>AVERAGE(C98:C118)</f>
        <v>1005.607143</v>
      </c>
      <c r="D8" s="9"/>
      <c r="E8" s="212" t="s">
        <v>90</v>
      </c>
      <c r="F8" s="215">
        <f>AVERAGE(F98:F118)</f>
        <v>1824.761905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93" t="s">
        <v>14</v>
      </c>
      <c r="U8" s="193">
        <v>300.0</v>
      </c>
      <c r="V8" s="9"/>
      <c r="W8" s="9"/>
      <c r="X8" s="9"/>
      <c r="Y8" s="9"/>
      <c r="Z8" s="9"/>
      <c r="AA8" s="9"/>
      <c r="AB8" s="9"/>
      <c r="AC8" s="9"/>
    </row>
    <row r="9">
      <c r="A9" s="9"/>
      <c r="B9" s="216" t="s">
        <v>129</v>
      </c>
      <c r="C9" s="9"/>
      <c r="D9" s="9"/>
      <c r="E9" s="216" t="s">
        <v>130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9"/>
      <c r="B10" s="193" t="str">
        <f>IFERROR(__xludf.DUMMYFUNCTION("GOOGLEFINANCE(B9,""price"",TODAY()-165,TODAY())"),"Date")</f>
        <v>Date</v>
      </c>
      <c r="C10" s="193" t="str">
        <f>IFERROR(__xludf.DUMMYFUNCTION("""COMPUTED_VALUE"""),"Close")</f>
        <v>Close</v>
      </c>
      <c r="D10" s="9"/>
      <c r="E10" s="193" t="str">
        <f>IFERROR(__xludf.DUMMYFUNCTION("GOOGLEFINANCE(E9,""price"",TODAY()-165,TODAY())"),"Date")</f>
        <v>Date</v>
      </c>
      <c r="F10" s="193" t="str">
        <f>IFERROR(__xludf.DUMMYFUNCTION("""COMPUTED_VALUE"""),"Close")</f>
        <v>Close</v>
      </c>
      <c r="G10" s="9"/>
      <c r="H10" s="7" t="s">
        <v>92</v>
      </c>
      <c r="I10" s="7" t="s">
        <v>93</v>
      </c>
      <c r="J10" s="7" t="s">
        <v>94</v>
      </c>
      <c r="K10" s="193" t="s">
        <v>92</v>
      </c>
      <c r="L10" s="193" t="s">
        <v>191</v>
      </c>
      <c r="M10" s="193" t="s">
        <v>192</v>
      </c>
      <c r="N10" s="193" t="s">
        <v>193</v>
      </c>
      <c r="O10" s="193" t="s">
        <v>194</v>
      </c>
      <c r="P10" s="193" t="s">
        <v>99</v>
      </c>
      <c r="Q10" s="9"/>
      <c r="R10" s="9"/>
      <c r="S10" s="9"/>
      <c r="T10" s="9"/>
      <c r="U10" s="9"/>
      <c r="V10" s="9"/>
      <c r="W10" s="9"/>
      <c r="X10" s="9"/>
      <c r="Y10" s="193" t="s">
        <v>1</v>
      </c>
      <c r="Z10" s="263" t="s">
        <v>195</v>
      </c>
      <c r="AA10" s="263" t="s">
        <v>196</v>
      </c>
      <c r="AB10" s="9"/>
      <c r="AC10" s="9"/>
    </row>
    <row r="11">
      <c r="A11" s="9"/>
      <c r="B11" s="217">
        <f>IFERROR(__xludf.DUMMYFUNCTION("""COMPUTED_VALUE"""),46147.64583333333)</f>
        <v>46147.64583</v>
      </c>
      <c r="C11" s="193">
        <f>IFERROR(__xludf.DUMMYFUNCTION("""COMPUTED_VALUE"""),958.6)</f>
        <v>958.6</v>
      </c>
      <c r="D11" s="9"/>
      <c r="E11" s="217">
        <f>IFERROR(__xludf.DUMMYFUNCTION("""COMPUTED_VALUE"""),46147.64583333333)</f>
        <v>46147.64583</v>
      </c>
      <c r="F11" s="193">
        <f>IFERROR(__xludf.DUMMYFUNCTION("""COMPUTED_VALUE"""),1794.6)</f>
        <v>1794.6</v>
      </c>
      <c r="G11" s="9"/>
      <c r="H11" s="29">
        <f t="shared" ref="H11:H118" si="3">C11/F11</f>
        <v>0.5341580296</v>
      </c>
      <c r="I11" s="1">
        <f t="shared" ref="I11:I118" si="4">C11-F11</f>
        <v>-836</v>
      </c>
      <c r="J11" s="113">
        <f t="shared" ref="J11:J118" si="5">((I11-$I$129)/$I$130)</f>
        <v>0.3337001191</v>
      </c>
      <c r="K11" s="199">
        <f t="shared" ref="K11:K116" si="6">C11/F11</f>
        <v>0.5341580296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193">
        <f>V5-V6</f>
        <v>69980</v>
      </c>
      <c r="W11" s="195">
        <f>W6-W5</f>
        <v>-30780</v>
      </c>
      <c r="X11" s="262">
        <f>V11+W11</f>
        <v>39200</v>
      </c>
      <c r="Y11" s="193" t="s">
        <v>101</v>
      </c>
      <c r="Z11" s="264">
        <f>AVERAGE(C88,C118)</f>
        <v>1020.425</v>
      </c>
      <c r="AA11" s="264">
        <f>AVERAGE(F88,F118)</f>
        <v>1872.5</v>
      </c>
      <c r="AB11" s="9"/>
      <c r="AC11" s="9"/>
    </row>
    <row r="12">
      <c r="A12" s="9"/>
      <c r="B12" s="217">
        <f>IFERROR(__xludf.DUMMYFUNCTION("""COMPUTED_VALUE"""),46148.64583333333)</f>
        <v>46148.64583</v>
      </c>
      <c r="C12" s="193">
        <f>IFERROR(__xludf.DUMMYFUNCTION("""COMPUTED_VALUE"""),980.75)</f>
        <v>980.75</v>
      </c>
      <c r="D12" s="9"/>
      <c r="E12" s="217">
        <f>IFERROR(__xludf.DUMMYFUNCTION("""COMPUTED_VALUE"""),46148.64583333333)</f>
        <v>46148.64583</v>
      </c>
      <c r="F12" s="193">
        <f>IFERROR(__xludf.DUMMYFUNCTION("""COMPUTED_VALUE"""),1836.1)</f>
        <v>1836.1</v>
      </c>
      <c r="G12" s="9"/>
      <c r="H12" s="29">
        <f t="shared" si="3"/>
        <v>0.5341484669</v>
      </c>
      <c r="I12" s="1">
        <f t="shared" si="4"/>
        <v>-855.35</v>
      </c>
      <c r="J12" s="113">
        <f t="shared" si="5"/>
        <v>-0.03300677941</v>
      </c>
      <c r="K12" s="199">
        <f t="shared" si="6"/>
        <v>0.5341484669</v>
      </c>
      <c r="L12" s="9"/>
      <c r="M12" s="9"/>
      <c r="N12" s="9"/>
      <c r="O12" s="9"/>
      <c r="P12" s="9"/>
      <c r="Q12" s="9"/>
      <c r="R12" s="9"/>
      <c r="S12" s="9"/>
      <c r="T12" s="193" t="s">
        <v>103</v>
      </c>
      <c r="U12" s="265">
        <f>S2/3</f>
        <v>0.01398410828</v>
      </c>
      <c r="V12" s="9"/>
      <c r="W12" s="9"/>
      <c r="X12" s="9"/>
      <c r="Y12" s="193" t="s">
        <v>104</v>
      </c>
      <c r="Z12" s="264">
        <f>AVERAGE(C58,C118)</f>
        <v>993.225</v>
      </c>
      <c r="AA12" s="264">
        <f>AVERAGE(F58,F118)</f>
        <v>1825.7</v>
      </c>
      <c r="AB12" s="9"/>
      <c r="AC12" s="9"/>
    </row>
    <row r="13">
      <c r="A13" s="9"/>
      <c r="B13" s="217">
        <f>IFERROR(__xludf.DUMMYFUNCTION("""COMPUTED_VALUE"""),46149.64583333333)</f>
        <v>46149.64583</v>
      </c>
      <c r="C13" s="193">
        <f>IFERROR(__xludf.DUMMYFUNCTION("""COMPUTED_VALUE"""),972.75)</f>
        <v>972.75</v>
      </c>
      <c r="D13" s="9"/>
      <c r="E13" s="217">
        <f>IFERROR(__xludf.DUMMYFUNCTION("""COMPUTED_VALUE"""),46149.64583333333)</f>
        <v>46149.64583</v>
      </c>
      <c r="F13" s="193">
        <f>IFERROR(__xludf.DUMMYFUNCTION("""COMPUTED_VALUE"""),1824.5)</f>
        <v>1824.5</v>
      </c>
      <c r="G13" s="9"/>
      <c r="H13" s="29">
        <f t="shared" si="3"/>
        <v>0.5331597698</v>
      </c>
      <c r="I13" s="1">
        <f t="shared" si="4"/>
        <v>-851.75</v>
      </c>
      <c r="J13" s="113">
        <f t="shared" si="5"/>
        <v>0.03521775985</v>
      </c>
      <c r="K13" s="199">
        <f t="shared" si="6"/>
        <v>0.5331597698</v>
      </c>
      <c r="L13" s="9"/>
      <c r="M13" s="9"/>
      <c r="N13" s="9"/>
      <c r="O13" s="209"/>
      <c r="P13" s="9"/>
      <c r="Q13" s="9"/>
      <c r="R13" s="9"/>
      <c r="S13" s="9"/>
      <c r="T13" s="266"/>
      <c r="U13" s="118">
        <f>(X11*U12)/S2</f>
        <v>13066.66667</v>
      </c>
      <c r="V13" s="266"/>
      <c r="W13" s="266"/>
      <c r="X13" s="267">
        <f>X11/(R2/U12)</f>
        <v>1048.122807</v>
      </c>
      <c r="Y13" s="193" t="s">
        <v>105</v>
      </c>
      <c r="Z13" s="264">
        <f>AVERAGE(C28,C118)</f>
        <v>936.05</v>
      </c>
      <c r="AA13" s="264">
        <f>AVERAGE(F28,F118)</f>
        <v>1763.45</v>
      </c>
      <c r="AB13" s="9"/>
      <c r="AC13" s="9"/>
    </row>
    <row r="14">
      <c r="A14" s="9"/>
      <c r="B14" s="217">
        <f>IFERROR(__xludf.DUMMYFUNCTION("""COMPUTED_VALUE"""),46150.64583333333)</f>
        <v>46150.64583</v>
      </c>
      <c r="C14" s="193">
        <f>IFERROR(__xludf.DUMMYFUNCTION("""COMPUTED_VALUE"""),955.35)</f>
        <v>955.35</v>
      </c>
      <c r="D14" s="9"/>
      <c r="E14" s="217">
        <f>IFERROR(__xludf.DUMMYFUNCTION("""COMPUTED_VALUE"""),46150.64583333333)</f>
        <v>46150.64583</v>
      </c>
      <c r="F14" s="193">
        <f>IFERROR(__xludf.DUMMYFUNCTION("""COMPUTED_VALUE"""),1818.3)</f>
        <v>1818.3</v>
      </c>
      <c r="G14" s="9"/>
      <c r="H14" s="29">
        <f t="shared" si="3"/>
        <v>0.5254083485</v>
      </c>
      <c r="I14" s="1">
        <f t="shared" si="4"/>
        <v>-862.95</v>
      </c>
      <c r="J14" s="113">
        <f t="shared" si="5"/>
        <v>-0.1770363623</v>
      </c>
      <c r="K14" s="199">
        <f t="shared" si="6"/>
        <v>0.5254083485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9"/>
      <c r="B15" s="217">
        <f>IFERROR(__xludf.DUMMYFUNCTION("""COMPUTED_VALUE"""),46153.64583333333)</f>
        <v>46153.64583</v>
      </c>
      <c r="C15" s="193">
        <f>IFERROR(__xludf.DUMMYFUNCTION("""COMPUTED_VALUE"""),936.05)</f>
        <v>936.05</v>
      </c>
      <c r="D15" s="9"/>
      <c r="E15" s="217">
        <f>IFERROR(__xludf.DUMMYFUNCTION("""COMPUTED_VALUE"""),46153.64583333333)</f>
        <v>46153.64583</v>
      </c>
      <c r="F15" s="193">
        <f>IFERROR(__xludf.DUMMYFUNCTION("""COMPUTED_VALUE"""),1794.2)</f>
        <v>1794.2</v>
      </c>
      <c r="G15" s="9"/>
      <c r="H15" s="29">
        <f t="shared" si="3"/>
        <v>0.5217088396</v>
      </c>
      <c r="I15" s="1">
        <f t="shared" si="4"/>
        <v>-858.15</v>
      </c>
      <c r="J15" s="113">
        <f t="shared" si="5"/>
        <v>-0.08607030995</v>
      </c>
      <c r="K15" s="199">
        <f t="shared" si="6"/>
        <v>0.5217088396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217">
        <f>IFERROR(__xludf.DUMMYFUNCTION("""COMPUTED_VALUE"""),46154.64583333333)</f>
        <v>46154.64583</v>
      </c>
      <c r="C16" s="193">
        <f>IFERROR(__xludf.DUMMYFUNCTION("""COMPUTED_VALUE"""),904.2)</f>
        <v>904.2</v>
      </c>
      <c r="D16" s="9"/>
      <c r="E16" s="217">
        <f>IFERROR(__xludf.DUMMYFUNCTION("""COMPUTED_VALUE"""),46154.64583333333)</f>
        <v>46154.64583</v>
      </c>
      <c r="F16" s="193">
        <f>IFERROR(__xludf.DUMMYFUNCTION("""COMPUTED_VALUE"""),1744.8)</f>
        <v>1744.8</v>
      </c>
      <c r="G16" s="9"/>
      <c r="H16" s="29">
        <f t="shared" si="3"/>
        <v>0.5182255846</v>
      </c>
      <c r="I16" s="1">
        <f t="shared" si="4"/>
        <v>-840.6</v>
      </c>
      <c r="J16" s="113">
        <f t="shared" si="5"/>
        <v>0.246524319</v>
      </c>
      <c r="K16" s="199">
        <f t="shared" si="6"/>
        <v>0.5182255846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217">
        <f>IFERROR(__xludf.DUMMYFUNCTION("""COMPUTED_VALUE"""),46155.64583333333)</f>
        <v>46155.64583</v>
      </c>
      <c r="C17" s="193">
        <f>IFERROR(__xludf.DUMMYFUNCTION("""COMPUTED_VALUE"""),896.15)</f>
        <v>896.15</v>
      </c>
      <c r="D17" s="9"/>
      <c r="E17" s="217">
        <f>IFERROR(__xludf.DUMMYFUNCTION("""COMPUTED_VALUE"""),46155.64583333333)</f>
        <v>46155.64583</v>
      </c>
      <c r="F17" s="193">
        <f>IFERROR(__xludf.DUMMYFUNCTION("""COMPUTED_VALUE"""),1728.9)</f>
        <v>1728.9</v>
      </c>
      <c r="G17" s="9"/>
      <c r="H17" s="29">
        <f t="shared" si="3"/>
        <v>0.5183353577</v>
      </c>
      <c r="I17" s="1">
        <f t="shared" si="4"/>
        <v>-832.75</v>
      </c>
      <c r="J17" s="113">
        <f t="shared" si="5"/>
        <v>0.3952917171</v>
      </c>
      <c r="K17" s="199">
        <f t="shared" si="6"/>
        <v>0.5183353577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217">
        <f>IFERROR(__xludf.DUMMYFUNCTION("""COMPUTED_VALUE"""),46156.64583333333)</f>
        <v>46156.64583</v>
      </c>
      <c r="C18" s="193">
        <f>IFERROR(__xludf.DUMMYFUNCTION("""COMPUTED_VALUE"""),912.15)</f>
        <v>912.15</v>
      </c>
      <c r="D18" s="9"/>
      <c r="E18" s="217">
        <f>IFERROR(__xludf.DUMMYFUNCTION("""COMPUTED_VALUE"""),46156.64583333333)</f>
        <v>46156.64583</v>
      </c>
      <c r="F18" s="193">
        <f>IFERROR(__xludf.DUMMYFUNCTION("""COMPUTED_VALUE"""),1740.2)</f>
        <v>1740.2</v>
      </c>
      <c r="G18" s="9"/>
      <c r="H18" s="29">
        <f t="shared" si="3"/>
        <v>0.5241638892</v>
      </c>
      <c r="I18" s="1">
        <f t="shared" si="4"/>
        <v>-828.05</v>
      </c>
      <c r="J18" s="113">
        <f t="shared" si="5"/>
        <v>0.4843626433</v>
      </c>
      <c r="K18" s="199">
        <f t="shared" si="6"/>
        <v>0.5241638892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217">
        <f>IFERROR(__xludf.DUMMYFUNCTION("""COMPUTED_VALUE"""),46157.64583333333)</f>
        <v>46157.64583</v>
      </c>
      <c r="C19" s="193">
        <f>IFERROR(__xludf.DUMMYFUNCTION("""COMPUTED_VALUE"""),910.45)</f>
        <v>910.45</v>
      </c>
      <c r="D19" s="9"/>
      <c r="E19" s="217">
        <f>IFERROR(__xludf.DUMMYFUNCTION("""COMPUTED_VALUE"""),46157.64583333333)</f>
        <v>46157.64583</v>
      </c>
      <c r="F19" s="193">
        <f>IFERROR(__xludf.DUMMYFUNCTION("""COMPUTED_VALUE"""),1728.1)</f>
        <v>1728.1</v>
      </c>
      <c r="G19" s="9"/>
      <c r="H19" s="29">
        <f t="shared" si="3"/>
        <v>0.526850298</v>
      </c>
      <c r="I19" s="1">
        <f t="shared" si="4"/>
        <v>-817.65</v>
      </c>
      <c r="J19" s="113">
        <f t="shared" si="5"/>
        <v>0.6814557568</v>
      </c>
      <c r="K19" s="199">
        <f t="shared" si="6"/>
        <v>0.526850298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217">
        <f>IFERROR(__xludf.DUMMYFUNCTION("""COMPUTED_VALUE"""),46160.64583333333)</f>
        <v>46160.64583</v>
      </c>
      <c r="C20" s="193">
        <f>IFERROR(__xludf.DUMMYFUNCTION("""COMPUTED_VALUE"""),921.1)</f>
        <v>921.1</v>
      </c>
      <c r="D20" s="9"/>
      <c r="E20" s="217">
        <f>IFERROR(__xludf.DUMMYFUNCTION("""COMPUTED_VALUE"""),46160.64583333333)</f>
        <v>46160.64583</v>
      </c>
      <c r="F20" s="193">
        <f>IFERROR(__xludf.DUMMYFUNCTION("""COMPUTED_VALUE"""),1753.1)</f>
        <v>1753.1</v>
      </c>
      <c r="G20" s="9"/>
      <c r="H20" s="29">
        <f t="shared" si="3"/>
        <v>0.5254121271</v>
      </c>
      <c r="I20" s="1">
        <f t="shared" si="4"/>
        <v>-832</v>
      </c>
      <c r="J20" s="113">
        <f t="shared" si="5"/>
        <v>0.4095051628</v>
      </c>
      <c r="K20" s="199">
        <f t="shared" si="6"/>
        <v>0.5254121271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217">
        <f>IFERROR(__xludf.DUMMYFUNCTION("""COMPUTED_VALUE"""),46161.64583333333)</f>
        <v>46161.64583</v>
      </c>
      <c r="C21" s="193">
        <f>IFERROR(__xludf.DUMMYFUNCTION("""COMPUTED_VALUE"""),923.55)</f>
        <v>923.55</v>
      </c>
      <c r="D21" s="9"/>
      <c r="E21" s="217">
        <f>IFERROR(__xludf.DUMMYFUNCTION("""COMPUTED_VALUE"""),46161.64583333333)</f>
        <v>46161.64583</v>
      </c>
      <c r="F21" s="193">
        <f>IFERROR(__xludf.DUMMYFUNCTION("""COMPUTED_VALUE"""),1749.8)</f>
        <v>1749.8</v>
      </c>
      <c r="G21" s="9"/>
      <c r="H21" s="29">
        <f t="shared" si="3"/>
        <v>0.5278031775</v>
      </c>
      <c r="I21" s="1">
        <f t="shared" si="4"/>
        <v>-826.25</v>
      </c>
      <c r="J21" s="113">
        <f t="shared" si="5"/>
        <v>0.518474913</v>
      </c>
      <c r="K21" s="199">
        <f t="shared" si="6"/>
        <v>0.5278031775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217">
        <f>IFERROR(__xludf.DUMMYFUNCTION("""COMPUTED_VALUE"""),46162.64583333333)</f>
        <v>46162.64583</v>
      </c>
      <c r="C22" s="193">
        <f>IFERROR(__xludf.DUMMYFUNCTION("""COMPUTED_VALUE"""),923.1)</f>
        <v>923.1</v>
      </c>
      <c r="D22" s="9"/>
      <c r="E22" s="217">
        <f>IFERROR(__xludf.DUMMYFUNCTION("""COMPUTED_VALUE"""),46162.64583333333)</f>
        <v>46162.64583</v>
      </c>
      <c r="F22" s="193">
        <f>IFERROR(__xludf.DUMMYFUNCTION("""COMPUTED_VALUE"""),1772.0)</f>
        <v>1772</v>
      </c>
      <c r="G22" s="9"/>
      <c r="H22" s="29">
        <f t="shared" si="3"/>
        <v>0.5209367946</v>
      </c>
      <c r="I22" s="1">
        <f t="shared" si="4"/>
        <v>-848.9</v>
      </c>
      <c r="J22" s="113">
        <f t="shared" si="5"/>
        <v>0.08922885343</v>
      </c>
      <c r="K22" s="199">
        <f t="shared" si="6"/>
        <v>0.5209367946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217">
        <f>IFERROR(__xludf.DUMMYFUNCTION("""COMPUTED_VALUE"""),46163.64583333333)</f>
        <v>46163.64583</v>
      </c>
      <c r="C23" s="193">
        <f>IFERROR(__xludf.DUMMYFUNCTION("""COMPUTED_VALUE"""),907.65)</f>
        <v>907.65</v>
      </c>
      <c r="D23" s="9"/>
      <c r="E23" s="217">
        <f>IFERROR(__xludf.DUMMYFUNCTION("""COMPUTED_VALUE"""),46163.64583333333)</f>
        <v>46163.64583</v>
      </c>
      <c r="F23" s="193">
        <f>IFERROR(__xludf.DUMMYFUNCTION("""COMPUTED_VALUE"""),1752.2)</f>
        <v>1752.2</v>
      </c>
      <c r="G23" s="9"/>
      <c r="H23" s="29">
        <f t="shared" si="3"/>
        <v>0.5180059354</v>
      </c>
      <c r="I23" s="1">
        <f t="shared" si="4"/>
        <v>-844.55</v>
      </c>
      <c r="J23" s="113">
        <f t="shared" si="5"/>
        <v>0.1716668384</v>
      </c>
      <c r="K23" s="199">
        <f t="shared" si="6"/>
        <v>0.5180059354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217">
        <f>IFERROR(__xludf.DUMMYFUNCTION("""COMPUTED_VALUE"""),46164.64583333333)</f>
        <v>46164.64583</v>
      </c>
      <c r="C24" s="193">
        <f>IFERROR(__xludf.DUMMYFUNCTION("""COMPUTED_VALUE"""),916.55)</f>
        <v>916.55</v>
      </c>
      <c r="D24" s="9"/>
      <c r="E24" s="217">
        <f>IFERROR(__xludf.DUMMYFUNCTION("""COMPUTED_VALUE"""),46164.64583333333)</f>
        <v>46164.64583</v>
      </c>
      <c r="F24" s="193">
        <f>IFERROR(__xludf.DUMMYFUNCTION("""COMPUTED_VALUE"""),1766.0)</f>
        <v>1766</v>
      </c>
      <c r="G24" s="9"/>
      <c r="H24" s="29">
        <f t="shared" si="3"/>
        <v>0.518997735</v>
      </c>
      <c r="I24" s="1">
        <f t="shared" si="4"/>
        <v>-849.45</v>
      </c>
      <c r="J24" s="113">
        <f t="shared" si="5"/>
        <v>0.07880565994</v>
      </c>
      <c r="K24" s="199">
        <f t="shared" si="6"/>
        <v>0.518997735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217">
        <f>IFERROR(__xludf.DUMMYFUNCTION("""COMPUTED_VALUE"""),46167.64583333333)</f>
        <v>46167.64583</v>
      </c>
      <c r="C25" s="193">
        <f>IFERROR(__xludf.DUMMYFUNCTION("""COMPUTED_VALUE"""),941.9)</f>
        <v>941.9</v>
      </c>
      <c r="D25" s="9"/>
      <c r="E25" s="217">
        <f>IFERROR(__xludf.DUMMYFUNCTION("""COMPUTED_VALUE"""),46167.64583333333)</f>
        <v>46167.64583</v>
      </c>
      <c r="F25" s="193">
        <f>IFERROR(__xludf.DUMMYFUNCTION("""COMPUTED_VALUE"""),1807.4)</f>
        <v>1807.4</v>
      </c>
      <c r="G25" s="9"/>
      <c r="H25" s="29">
        <f t="shared" si="3"/>
        <v>0.5211353325</v>
      </c>
      <c r="I25" s="1">
        <f t="shared" si="4"/>
        <v>-865.5</v>
      </c>
      <c r="J25" s="113">
        <f t="shared" si="5"/>
        <v>-0.2253620776</v>
      </c>
      <c r="K25" s="199">
        <f t="shared" si="6"/>
        <v>0.5211353325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217">
        <f>IFERROR(__xludf.DUMMYFUNCTION("""COMPUTED_VALUE"""),46168.64583333333)</f>
        <v>46168.64583</v>
      </c>
      <c r="C26" s="193">
        <f>IFERROR(__xludf.DUMMYFUNCTION("""COMPUTED_VALUE"""),930.2)</f>
        <v>930.2</v>
      </c>
      <c r="D26" s="9"/>
      <c r="E26" s="217">
        <f>IFERROR(__xludf.DUMMYFUNCTION("""COMPUTED_VALUE"""),46168.64583333333)</f>
        <v>46168.64583</v>
      </c>
      <c r="F26" s="193">
        <f>IFERROR(__xludf.DUMMYFUNCTION("""COMPUTED_VALUE"""),1800.7)</f>
        <v>1800.7</v>
      </c>
      <c r="G26" s="9"/>
      <c r="H26" s="29">
        <f t="shared" si="3"/>
        <v>0.5165768868</v>
      </c>
      <c r="I26" s="1">
        <f t="shared" si="4"/>
        <v>-870.5</v>
      </c>
      <c r="J26" s="113">
        <f t="shared" si="5"/>
        <v>-0.3201183821</v>
      </c>
      <c r="K26" s="199">
        <f t="shared" si="6"/>
        <v>0.5165768868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217">
        <f>IFERROR(__xludf.DUMMYFUNCTION("""COMPUTED_VALUE"""),46169.64583333333)</f>
        <v>46169.64583</v>
      </c>
      <c r="C27" s="193">
        <f>IFERROR(__xludf.DUMMYFUNCTION("""COMPUTED_VALUE"""),931.15)</f>
        <v>931.15</v>
      </c>
      <c r="D27" s="9"/>
      <c r="E27" s="217">
        <f>IFERROR(__xludf.DUMMYFUNCTION("""COMPUTED_VALUE"""),46169.64583333333)</f>
        <v>46169.64583</v>
      </c>
      <c r="F27" s="193">
        <f>IFERROR(__xludf.DUMMYFUNCTION("""COMPUTED_VALUE"""),1809.1)</f>
        <v>1809.1</v>
      </c>
      <c r="G27" s="9"/>
      <c r="H27" s="29">
        <f t="shared" si="3"/>
        <v>0.5147034437</v>
      </c>
      <c r="I27" s="1">
        <f t="shared" si="4"/>
        <v>-877.95</v>
      </c>
      <c r="J27" s="113">
        <f t="shared" si="5"/>
        <v>-0.4613052759</v>
      </c>
      <c r="K27" s="199">
        <f t="shared" si="6"/>
        <v>0.5147034437</v>
      </c>
      <c r="L27" s="9"/>
      <c r="M27" s="9"/>
      <c r="N27" s="9"/>
      <c r="O27" s="9"/>
      <c r="P27" s="9"/>
      <c r="Q27" s="9"/>
      <c r="R27" s="212" t="s">
        <v>112</v>
      </c>
      <c r="S27" s="229">
        <f>AVERAGE(K88:K118)</f>
        <v>0.5459163829</v>
      </c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217">
        <f>IFERROR(__xludf.DUMMYFUNCTION("""COMPUTED_VALUE"""),46171.64583333333)</f>
        <v>46171.64583</v>
      </c>
      <c r="C28" s="193">
        <f>IFERROR(__xludf.DUMMYFUNCTION("""COMPUTED_VALUE"""),908.25)</f>
        <v>908.25</v>
      </c>
      <c r="D28" s="9"/>
      <c r="E28" s="217">
        <f>IFERROR(__xludf.DUMMYFUNCTION("""COMPUTED_VALUE"""),46171.64583333333)</f>
        <v>46171.64583</v>
      </c>
      <c r="F28" s="193">
        <f>IFERROR(__xludf.DUMMYFUNCTION("""COMPUTED_VALUE"""),1783.6)</f>
        <v>1783.6</v>
      </c>
      <c r="G28" s="9"/>
      <c r="H28" s="29">
        <f t="shared" si="3"/>
        <v>0.5092229199</v>
      </c>
      <c r="I28" s="1">
        <f t="shared" si="4"/>
        <v>-875.35</v>
      </c>
      <c r="J28" s="113">
        <f t="shared" si="5"/>
        <v>-0.4120319975</v>
      </c>
      <c r="K28" s="199">
        <f t="shared" si="6"/>
        <v>0.5092229199</v>
      </c>
      <c r="L28" s="9"/>
      <c r="M28" s="9"/>
      <c r="N28" s="9"/>
      <c r="O28" s="9"/>
      <c r="P28" s="9"/>
      <c r="Q28" s="9"/>
      <c r="R28" s="212" t="s">
        <v>113</v>
      </c>
      <c r="S28" s="229">
        <f>MAX(K88:K118)</f>
        <v>0.5649607365</v>
      </c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217">
        <f>IFERROR(__xludf.DUMMYFUNCTION("""COMPUTED_VALUE"""),46174.64583333333)</f>
        <v>46174.64583</v>
      </c>
      <c r="C29" s="193">
        <f>IFERROR(__xludf.DUMMYFUNCTION("""COMPUTED_VALUE"""),889.05)</f>
        <v>889.05</v>
      </c>
      <c r="D29" s="9"/>
      <c r="E29" s="217">
        <f>IFERROR(__xludf.DUMMYFUNCTION("""COMPUTED_VALUE"""),46174.64583333333)</f>
        <v>46174.64583</v>
      </c>
      <c r="F29" s="193">
        <f>IFERROR(__xludf.DUMMYFUNCTION("""COMPUTED_VALUE"""),1758.9)</f>
        <v>1758.9</v>
      </c>
      <c r="G29" s="9"/>
      <c r="H29" s="29">
        <f t="shared" si="3"/>
        <v>0.5054579567</v>
      </c>
      <c r="I29" s="1">
        <f t="shared" si="4"/>
        <v>-869.85</v>
      </c>
      <c r="J29" s="113">
        <f t="shared" si="5"/>
        <v>-0.3078000626</v>
      </c>
      <c r="K29" s="199">
        <f t="shared" si="6"/>
        <v>0.5054579567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217">
        <f>IFERROR(__xludf.DUMMYFUNCTION("""COMPUTED_VALUE"""),46175.64583333333)</f>
        <v>46175.64583</v>
      </c>
      <c r="C30" s="193">
        <f>IFERROR(__xludf.DUMMYFUNCTION("""COMPUTED_VALUE"""),882.0)</f>
        <v>882</v>
      </c>
      <c r="D30" s="9"/>
      <c r="E30" s="217">
        <f>IFERROR(__xludf.DUMMYFUNCTION("""COMPUTED_VALUE"""),46175.64583333333)</f>
        <v>46175.64583</v>
      </c>
      <c r="F30" s="193">
        <f>IFERROR(__xludf.DUMMYFUNCTION("""COMPUTED_VALUE"""),1741.4)</f>
        <v>1741.4</v>
      </c>
      <c r="G30" s="9"/>
      <c r="H30" s="29">
        <f t="shared" si="3"/>
        <v>0.5064890318</v>
      </c>
      <c r="I30" s="1">
        <f t="shared" si="4"/>
        <v>-859.4</v>
      </c>
      <c r="J30" s="113">
        <f t="shared" si="5"/>
        <v>-0.1097593861</v>
      </c>
      <c r="K30" s="199">
        <f t="shared" si="6"/>
        <v>0.5064890318</v>
      </c>
      <c r="L30" s="193">
        <f t="shared" ref="L30:L120" si="7">AVERAGE(C11:C30)</f>
        <v>925.0475</v>
      </c>
      <c r="M30" s="210">
        <f t="shared" ref="M30:M120" si="8">(C30-L30)/C30</f>
        <v>-0.04880668934</v>
      </c>
      <c r="N30" s="213">
        <f t="shared" ref="N30:N120" si="9">AVERAGE(F11:F30)</f>
        <v>1775.195</v>
      </c>
      <c r="O30" s="210">
        <f t="shared" ref="O30:O120" si="10">(F30-N30)/F30</f>
        <v>-0.01940679913</v>
      </c>
      <c r="P30" s="210">
        <f t="shared" ref="P30:P120" si="11">M30-O30</f>
        <v>-0.02939989022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217">
        <f>IFERROR(__xludf.DUMMYFUNCTION("""COMPUTED_VALUE"""),46176.64583333333)</f>
        <v>46176.64583</v>
      </c>
      <c r="C31" s="193">
        <f>IFERROR(__xludf.DUMMYFUNCTION("""COMPUTED_VALUE"""),876.8)</f>
        <v>876.8</v>
      </c>
      <c r="D31" s="9"/>
      <c r="E31" s="217">
        <f>IFERROR(__xludf.DUMMYFUNCTION("""COMPUTED_VALUE"""),46176.64583333333)</f>
        <v>46176.64583</v>
      </c>
      <c r="F31" s="193">
        <f>IFERROR(__xludf.DUMMYFUNCTION("""COMPUTED_VALUE"""),1734.4)</f>
        <v>1734.4</v>
      </c>
      <c r="G31" s="9"/>
      <c r="H31" s="29">
        <f t="shared" si="3"/>
        <v>0.5055350554</v>
      </c>
      <c r="I31" s="1">
        <f t="shared" si="4"/>
        <v>-857.6</v>
      </c>
      <c r="J31" s="113">
        <f t="shared" si="5"/>
        <v>-0.07564711645</v>
      </c>
      <c r="K31" s="199">
        <f t="shared" si="6"/>
        <v>0.5055350554</v>
      </c>
      <c r="L31" s="213">
        <f t="shared" si="7"/>
        <v>920.9575</v>
      </c>
      <c r="M31" s="210">
        <f t="shared" si="8"/>
        <v>-0.05036211223</v>
      </c>
      <c r="N31" s="213">
        <f t="shared" si="9"/>
        <v>1772.185</v>
      </c>
      <c r="O31" s="210">
        <f t="shared" si="10"/>
        <v>-0.02178563192</v>
      </c>
      <c r="P31" s="210">
        <f t="shared" si="11"/>
        <v>-0.02857648031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217">
        <f>IFERROR(__xludf.DUMMYFUNCTION("""COMPUTED_VALUE"""),46177.64583333333)</f>
        <v>46177.64583</v>
      </c>
      <c r="C32" s="193">
        <f>IFERROR(__xludf.DUMMYFUNCTION("""COMPUTED_VALUE"""),874.4)</f>
        <v>874.4</v>
      </c>
      <c r="D32" s="9"/>
      <c r="E32" s="217">
        <f>IFERROR(__xludf.DUMMYFUNCTION("""COMPUTED_VALUE"""),46177.64583333333)</f>
        <v>46177.64583</v>
      </c>
      <c r="F32" s="193">
        <f>IFERROR(__xludf.DUMMYFUNCTION("""COMPUTED_VALUE"""),1709.8)</f>
        <v>1709.8</v>
      </c>
      <c r="G32" s="9"/>
      <c r="H32" s="29">
        <f t="shared" si="3"/>
        <v>0.5114048427</v>
      </c>
      <c r="I32" s="1">
        <f t="shared" si="4"/>
        <v>-835.4</v>
      </c>
      <c r="J32" s="113">
        <f t="shared" si="5"/>
        <v>0.3450708757</v>
      </c>
      <c r="K32" s="199">
        <f t="shared" si="6"/>
        <v>0.5114048427</v>
      </c>
      <c r="L32" s="213">
        <f t="shared" si="7"/>
        <v>915.64</v>
      </c>
      <c r="M32" s="210">
        <f t="shared" si="8"/>
        <v>-0.04716376944</v>
      </c>
      <c r="N32" s="213">
        <f t="shared" si="9"/>
        <v>1765.87</v>
      </c>
      <c r="O32" s="210">
        <f t="shared" si="10"/>
        <v>-0.03279330916</v>
      </c>
      <c r="P32" s="210">
        <f t="shared" si="11"/>
        <v>-0.01437046028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217">
        <f>IFERROR(__xludf.DUMMYFUNCTION("""COMPUTED_VALUE"""),46178.64583333333)</f>
        <v>46178.64583</v>
      </c>
      <c r="C33" s="193">
        <f>IFERROR(__xludf.DUMMYFUNCTION("""COMPUTED_VALUE"""),889.4)</f>
        <v>889.4</v>
      </c>
      <c r="D33" s="9"/>
      <c r="E33" s="217">
        <f>IFERROR(__xludf.DUMMYFUNCTION("""COMPUTED_VALUE"""),46178.64583333333)</f>
        <v>46178.64583</v>
      </c>
      <c r="F33" s="193">
        <f>IFERROR(__xludf.DUMMYFUNCTION("""COMPUTED_VALUE"""),1703.2)</f>
        <v>1703.2</v>
      </c>
      <c r="G33" s="9"/>
      <c r="H33" s="29">
        <f t="shared" si="3"/>
        <v>0.5221935181</v>
      </c>
      <c r="I33" s="1">
        <f t="shared" si="4"/>
        <v>-813.8</v>
      </c>
      <c r="J33" s="113">
        <f t="shared" si="5"/>
        <v>0.7544181112</v>
      </c>
      <c r="K33" s="199">
        <f t="shared" si="6"/>
        <v>0.5221935181</v>
      </c>
      <c r="L33" s="213">
        <f t="shared" si="7"/>
        <v>911.4725</v>
      </c>
      <c r="M33" s="210">
        <f t="shared" si="8"/>
        <v>-0.02481729256</v>
      </c>
      <c r="N33" s="213">
        <f t="shared" si="9"/>
        <v>1759.805</v>
      </c>
      <c r="O33" s="210">
        <f t="shared" si="10"/>
        <v>-0.03323449977</v>
      </c>
      <c r="P33" s="210">
        <f t="shared" si="11"/>
        <v>0.008417207208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217">
        <f>IFERROR(__xludf.DUMMYFUNCTION("""COMPUTED_VALUE"""),46181.64583333333)</f>
        <v>46181.64583</v>
      </c>
      <c r="C34" s="193">
        <f>IFERROR(__xludf.DUMMYFUNCTION("""COMPUTED_VALUE"""),871.1)</f>
        <v>871.1</v>
      </c>
      <c r="D34" s="9"/>
      <c r="E34" s="217">
        <f>IFERROR(__xludf.DUMMYFUNCTION("""COMPUTED_VALUE"""),46181.64583333333)</f>
        <v>46181.64583</v>
      </c>
      <c r="F34" s="193">
        <f>IFERROR(__xludf.DUMMYFUNCTION("""COMPUTED_VALUE"""),1674.6)</f>
        <v>1674.6</v>
      </c>
      <c r="G34" s="9"/>
      <c r="H34" s="29">
        <f t="shared" si="3"/>
        <v>0.5201839245</v>
      </c>
      <c r="I34" s="1">
        <f t="shared" si="4"/>
        <v>-803.5</v>
      </c>
      <c r="J34" s="113">
        <f t="shared" si="5"/>
        <v>0.9496160986</v>
      </c>
      <c r="K34" s="199">
        <f t="shared" si="6"/>
        <v>0.5201839245</v>
      </c>
      <c r="L34" s="213">
        <f t="shared" si="7"/>
        <v>907.26</v>
      </c>
      <c r="M34" s="210">
        <f t="shared" si="8"/>
        <v>-0.04151073356</v>
      </c>
      <c r="N34" s="213">
        <f t="shared" si="9"/>
        <v>1752.62</v>
      </c>
      <c r="O34" s="210">
        <f t="shared" si="10"/>
        <v>-0.0465902305</v>
      </c>
      <c r="P34" s="210">
        <f t="shared" si="11"/>
        <v>0.005079496948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217">
        <f>IFERROR(__xludf.DUMMYFUNCTION("""COMPUTED_VALUE"""),46182.64583333333)</f>
        <v>46182.64583</v>
      </c>
      <c r="C35" s="193">
        <f>IFERROR(__xludf.DUMMYFUNCTION("""COMPUTED_VALUE"""),886.9)</f>
        <v>886.9</v>
      </c>
      <c r="D35" s="9"/>
      <c r="E35" s="217">
        <f>IFERROR(__xludf.DUMMYFUNCTION("""COMPUTED_VALUE"""),46182.64583333333)</f>
        <v>46182.64583</v>
      </c>
      <c r="F35" s="193">
        <f>IFERROR(__xludf.DUMMYFUNCTION("""COMPUTED_VALUE"""),1693.1)</f>
        <v>1693.1</v>
      </c>
      <c r="G35" s="9"/>
      <c r="H35" s="29">
        <f t="shared" si="3"/>
        <v>0.5238320241</v>
      </c>
      <c r="I35" s="1">
        <f t="shared" si="4"/>
        <v>-806.2</v>
      </c>
      <c r="J35" s="113">
        <f t="shared" si="5"/>
        <v>0.8984476941</v>
      </c>
      <c r="K35" s="199">
        <f t="shared" si="6"/>
        <v>0.5238320241</v>
      </c>
      <c r="L35" s="213">
        <f t="shared" si="7"/>
        <v>904.8025</v>
      </c>
      <c r="M35" s="210">
        <f t="shared" si="8"/>
        <v>-0.02018547751</v>
      </c>
      <c r="N35" s="213">
        <f t="shared" si="9"/>
        <v>1747.565</v>
      </c>
      <c r="O35" s="210">
        <f t="shared" si="10"/>
        <v>-0.03216880279</v>
      </c>
      <c r="P35" s="210">
        <f t="shared" si="11"/>
        <v>0.01198332528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217">
        <f>IFERROR(__xludf.DUMMYFUNCTION("""COMPUTED_VALUE"""),46183.64583333333)</f>
        <v>46183.64583</v>
      </c>
      <c r="C36" s="193">
        <f>IFERROR(__xludf.DUMMYFUNCTION("""COMPUTED_VALUE"""),884.1)</f>
        <v>884.1</v>
      </c>
      <c r="D36" s="9"/>
      <c r="E36" s="217">
        <f>IFERROR(__xludf.DUMMYFUNCTION("""COMPUTED_VALUE"""),46183.64583333333)</f>
        <v>46183.64583</v>
      </c>
      <c r="F36" s="193">
        <f>IFERROR(__xludf.DUMMYFUNCTION("""COMPUTED_VALUE"""),1664.2)</f>
        <v>1664.2</v>
      </c>
      <c r="G36" s="9"/>
      <c r="H36" s="29">
        <f t="shared" si="3"/>
        <v>0.5312462444</v>
      </c>
      <c r="I36" s="1">
        <f t="shared" si="4"/>
        <v>-780.1</v>
      </c>
      <c r="J36" s="113">
        <f t="shared" si="5"/>
        <v>1.393075604</v>
      </c>
      <c r="K36" s="199">
        <f t="shared" si="6"/>
        <v>0.5312462444</v>
      </c>
      <c r="L36" s="213">
        <f t="shared" si="7"/>
        <v>903.7975</v>
      </c>
      <c r="M36" s="210">
        <f t="shared" si="8"/>
        <v>-0.02227971949</v>
      </c>
      <c r="N36" s="213">
        <f t="shared" si="9"/>
        <v>1743.535</v>
      </c>
      <c r="O36" s="210">
        <f t="shared" si="10"/>
        <v>-0.0476715539</v>
      </c>
      <c r="P36" s="210">
        <f t="shared" si="11"/>
        <v>0.02539183441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217">
        <f>IFERROR(__xludf.DUMMYFUNCTION("""COMPUTED_VALUE"""),46184.64583333333)</f>
        <v>46184.64583</v>
      </c>
      <c r="C37" s="193">
        <f>IFERROR(__xludf.DUMMYFUNCTION("""COMPUTED_VALUE"""),870.55)</f>
        <v>870.55</v>
      </c>
      <c r="D37" s="9"/>
      <c r="E37" s="217">
        <f>IFERROR(__xludf.DUMMYFUNCTION("""COMPUTED_VALUE"""),46184.64583333333)</f>
        <v>46184.64583</v>
      </c>
      <c r="F37" s="193">
        <f>IFERROR(__xludf.DUMMYFUNCTION("""COMPUTED_VALUE"""),1645.1)</f>
        <v>1645.1</v>
      </c>
      <c r="G37" s="9"/>
      <c r="H37" s="29">
        <f t="shared" si="3"/>
        <v>0.5291775576</v>
      </c>
      <c r="I37" s="1">
        <f t="shared" si="4"/>
        <v>-774.55</v>
      </c>
      <c r="J37" s="113">
        <f t="shared" si="5"/>
        <v>1.498255102</v>
      </c>
      <c r="K37" s="199">
        <f t="shared" si="6"/>
        <v>0.5291775576</v>
      </c>
      <c r="L37" s="213">
        <f t="shared" si="7"/>
        <v>902.5175</v>
      </c>
      <c r="M37" s="210">
        <f t="shared" si="8"/>
        <v>-0.03672103842</v>
      </c>
      <c r="N37" s="213">
        <f t="shared" si="9"/>
        <v>1739.345</v>
      </c>
      <c r="O37" s="210">
        <f t="shared" si="10"/>
        <v>-0.05728831074</v>
      </c>
      <c r="P37" s="210">
        <f t="shared" si="11"/>
        <v>0.02056727232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217">
        <f>IFERROR(__xludf.DUMMYFUNCTION("""COMPUTED_VALUE"""),46185.64583333333)</f>
        <v>46185.64583</v>
      </c>
      <c r="C38" s="193">
        <f>IFERROR(__xludf.DUMMYFUNCTION("""COMPUTED_VALUE"""),918.3)</f>
        <v>918.3</v>
      </c>
      <c r="D38" s="9"/>
      <c r="E38" s="217">
        <f>IFERROR(__xludf.DUMMYFUNCTION("""COMPUTED_VALUE"""),46185.64583333333)</f>
        <v>46185.64583</v>
      </c>
      <c r="F38" s="193">
        <f>IFERROR(__xludf.DUMMYFUNCTION("""COMPUTED_VALUE"""),1689.1)</f>
        <v>1689.1</v>
      </c>
      <c r="G38" s="9"/>
      <c r="H38" s="29">
        <f t="shared" si="3"/>
        <v>0.5436623054</v>
      </c>
      <c r="I38" s="1">
        <f t="shared" si="4"/>
        <v>-770.8</v>
      </c>
      <c r="J38" s="113">
        <f t="shared" si="5"/>
        <v>1.56932233</v>
      </c>
      <c r="K38" s="199">
        <f t="shared" si="6"/>
        <v>0.5436623054</v>
      </c>
      <c r="L38" s="213">
        <f t="shared" si="7"/>
        <v>902.825</v>
      </c>
      <c r="M38" s="210">
        <f t="shared" si="8"/>
        <v>0.01685179135</v>
      </c>
      <c r="N38" s="213">
        <f t="shared" si="9"/>
        <v>1736.79</v>
      </c>
      <c r="O38" s="210">
        <f t="shared" si="10"/>
        <v>-0.02823397075</v>
      </c>
      <c r="P38" s="210">
        <f t="shared" si="11"/>
        <v>0.04508576211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217">
        <f>IFERROR(__xludf.DUMMYFUNCTION("""COMPUTED_VALUE"""),46188.64583333333)</f>
        <v>46188.64583</v>
      </c>
      <c r="C39" s="193">
        <f>IFERROR(__xludf.DUMMYFUNCTION("""COMPUTED_VALUE"""),942.3)</f>
        <v>942.3</v>
      </c>
      <c r="D39" s="9"/>
      <c r="E39" s="217">
        <f>IFERROR(__xludf.DUMMYFUNCTION("""COMPUTED_VALUE"""),46188.64583333333)</f>
        <v>46188.64583</v>
      </c>
      <c r="F39" s="193">
        <f>IFERROR(__xludf.DUMMYFUNCTION("""COMPUTED_VALUE"""),1750.2)</f>
        <v>1750.2</v>
      </c>
      <c r="G39" s="9"/>
      <c r="H39" s="29">
        <f t="shared" si="3"/>
        <v>0.5383956119</v>
      </c>
      <c r="I39" s="1">
        <f t="shared" si="4"/>
        <v>-807.9</v>
      </c>
      <c r="J39" s="113">
        <f t="shared" si="5"/>
        <v>0.8662305506</v>
      </c>
      <c r="K39" s="199">
        <f t="shared" si="6"/>
        <v>0.5383956119</v>
      </c>
      <c r="L39" s="213">
        <f t="shared" si="7"/>
        <v>904.4175</v>
      </c>
      <c r="M39" s="210">
        <f t="shared" si="8"/>
        <v>0.04020216492</v>
      </c>
      <c r="N39" s="213">
        <f t="shared" si="9"/>
        <v>1737.895</v>
      </c>
      <c r="O39" s="210">
        <f t="shared" si="10"/>
        <v>0.007030625071</v>
      </c>
      <c r="P39" s="210">
        <f t="shared" si="11"/>
        <v>0.03317153984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217">
        <f>IFERROR(__xludf.DUMMYFUNCTION("""COMPUTED_VALUE"""),46189.64583333333)</f>
        <v>46189.64583</v>
      </c>
      <c r="C40" s="193">
        <f>IFERROR(__xludf.DUMMYFUNCTION("""COMPUTED_VALUE"""),959.65)</f>
        <v>959.65</v>
      </c>
      <c r="D40" s="9"/>
      <c r="E40" s="217">
        <f>IFERROR(__xludf.DUMMYFUNCTION("""COMPUTED_VALUE"""),46189.64583333333)</f>
        <v>46189.64583</v>
      </c>
      <c r="F40" s="193">
        <f>IFERROR(__xludf.DUMMYFUNCTION("""COMPUTED_VALUE"""),1787.3)</f>
        <v>1787.3</v>
      </c>
      <c r="G40" s="9"/>
      <c r="H40" s="29">
        <f t="shared" si="3"/>
        <v>0.5369272086</v>
      </c>
      <c r="I40" s="1">
        <f t="shared" si="4"/>
        <v>-827.65</v>
      </c>
      <c r="J40" s="113">
        <f t="shared" si="5"/>
        <v>0.4919431477</v>
      </c>
      <c r="K40" s="199">
        <f t="shared" si="6"/>
        <v>0.5369272086</v>
      </c>
      <c r="L40" s="213">
        <f t="shared" si="7"/>
        <v>906.345</v>
      </c>
      <c r="M40" s="210">
        <f t="shared" si="8"/>
        <v>0.05554629292</v>
      </c>
      <c r="N40" s="213">
        <f t="shared" si="9"/>
        <v>1739.605</v>
      </c>
      <c r="O40" s="210">
        <f t="shared" si="10"/>
        <v>0.02668550327</v>
      </c>
      <c r="P40" s="210">
        <f t="shared" si="11"/>
        <v>0.02886078965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217">
        <f>IFERROR(__xludf.DUMMYFUNCTION("""COMPUTED_VALUE"""),46190.64583333333)</f>
        <v>46190.64583</v>
      </c>
      <c r="C41" s="193">
        <f>IFERROR(__xludf.DUMMYFUNCTION("""COMPUTED_VALUE"""),958.4)</f>
        <v>958.4</v>
      </c>
      <c r="D41" s="9"/>
      <c r="E41" s="217">
        <f>IFERROR(__xludf.DUMMYFUNCTION("""COMPUTED_VALUE"""),46190.64583333333)</f>
        <v>46190.64583</v>
      </c>
      <c r="F41" s="193">
        <f>IFERROR(__xludf.DUMMYFUNCTION("""COMPUTED_VALUE"""),1764.6)</f>
        <v>1764.6</v>
      </c>
      <c r="G41" s="9"/>
      <c r="H41" s="29">
        <f t="shared" si="3"/>
        <v>0.5431259209</v>
      </c>
      <c r="I41" s="1">
        <f t="shared" si="4"/>
        <v>-806.2</v>
      </c>
      <c r="J41" s="113">
        <f t="shared" si="5"/>
        <v>0.8984476941</v>
      </c>
      <c r="K41" s="199">
        <f t="shared" si="6"/>
        <v>0.5431259209</v>
      </c>
      <c r="L41" s="213">
        <f t="shared" si="7"/>
        <v>908.0875</v>
      </c>
      <c r="M41" s="210">
        <f t="shared" si="8"/>
        <v>0.05249634808</v>
      </c>
      <c r="N41" s="213">
        <f t="shared" si="9"/>
        <v>1740.345</v>
      </c>
      <c r="O41" s="210">
        <f t="shared" si="10"/>
        <v>0.01374532472</v>
      </c>
      <c r="P41" s="210">
        <f t="shared" si="11"/>
        <v>0.03875102336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217">
        <f>IFERROR(__xludf.DUMMYFUNCTION("""COMPUTED_VALUE"""),46191.64583333333)</f>
        <v>46191.64583</v>
      </c>
      <c r="C42" s="193">
        <f>IFERROR(__xludf.DUMMYFUNCTION("""COMPUTED_VALUE"""),958.85)</f>
        <v>958.85</v>
      </c>
      <c r="D42" s="9"/>
      <c r="E42" s="217">
        <f>IFERROR(__xludf.DUMMYFUNCTION("""COMPUTED_VALUE"""),46191.64583333333)</f>
        <v>46191.64583</v>
      </c>
      <c r="F42" s="193">
        <f>IFERROR(__xludf.DUMMYFUNCTION("""COMPUTED_VALUE"""),1771.7)</f>
        <v>1771.7</v>
      </c>
      <c r="G42" s="9"/>
      <c r="H42" s="29">
        <f t="shared" si="3"/>
        <v>0.541203364</v>
      </c>
      <c r="I42" s="1">
        <f t="shared" si="4"/>
        <v>-812.85</v>
      </c>
      <c r="J42" s="113">
        <f t="shared" si="5"/>
        <v>0.7724218091</v>
      </c>
      <c r="K42" s="199">
        <f t="shared" si="6"/>
        <v>0.541203364</v>
      </c>
      <c r="L42" s="213">
        <f t="shared" si="7"/>
        <v>909.875</v>
      </c>
      <c r="M42" s="210">
        <f t="shared" si="8"/>
        <v>0.05107681076</v>
      </c>
      <c r="N42" s="213">
        <f t="shared" si="9"/>
        <v>1740.33</v>
      </c>
      <c r="O42" s="210">
        <f t="shared" si="10"/>
        <v>0.01770615793</v>
      </c>
      <c r="P42" s="210">
        <f t="shared" si="11"/>
        <v>0.03337065284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217">
        <f>IFERROR(__xludf.DUMMYFUNCTION("""COMPUTED_VALUE"""),46192.64583333333)</f>
        <v>46192.64583</v>
      </c>
      <c r="C43" s="193">
        <f>IFERROR(__xludf.DUMMYFUNCTION("""COMPUTED_VALUE"""),961.8)</f>
        <v>961.8</v>
      </c>
      <c r="D43" s="9"/>
      <c r="E43" s="217">
        <f>IFERROR(__xludf.DUMMYFUNCTION("""COMPUTED_VALUE"""),46192.64583333333)</f>
        <v>46192.64583</v>
      </c>
      <c r="F43" s="193">
        <f>IFERROR(__xludf.DUMMYFUNCTION("""COMPUTED_VALUE"""),1769.4)</f>
        <v>1769.4</v>
      </c>
      <c r="G43" s="9"/>
      <c r="H43" s="29">
        <f t="shared" si="3"/>
        <v>0.5435740929</v>
      </c>
      <c r="I43" s="1">
        <f t="shared" si="4"/>
        <v>-807.6</v>
      </c>
      <c r="J43" s="113">
        <f t="shared" si="5"/>
        <v>0.8719159289</v>
      </c>
      <c r="K43" s="199">
        <f t="shared" si="6"/>
        <v>0.5435740929</v>
      </c>
      <c r="L43" s="213">
        <f t="shared" si="7"/>
        <v>912.5825</v>
      </c>
      <c r="M43" s="210">
        <f t="shared" si="8"/>
        <v>0.05117228114</v>
      </c>
      <c r="N43" s="213">
        <f t="shared" si="9"/>
        <v>1741.19</v>
      </c>
      <c r="O43" s="210">
        <f t="shared" si="10"/>
        <v>0.0159432576</v>
      </c>
      <c r="P43" s="210">
        <f t="shared" si="11"/>
        <v>0.03522902354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217">
        <f>IFERROR(__xludf.DUMMYFUNCTION("""COMPUTED_VALUE"""),46195.64583333333)</f>
        <v>46195.64583</v>
      </c>
      <c r="C44" s="193">
        <f>IFERROR(__xludf.DUMMYFUNCTION("""COMPUTED_VALUE"""),968.3)</f>
        <v>968.3</v>
      </c>
      <c r="D44" s="9"/>
      <c r="E44" s="217">
        <f>IFERROR(__xludf.DUMMYFUNCTION("""COMPUTED_VALUE"""),46195.64583333333)</f>
        <v>46195.64583</v>
      </c>
      <c r="F44" s="193">
        <f>IFERROR(__xludf.DUMMYFUNCTION("""COMPUTED_VALUE"""),1782.2)</f>
        <v>1782.2</v>
      </c>
      <c r="G44" s="9"/>
      <c r="H44" s="29">
        <f t="shared" si="3"/>
        <v>0.5433172483</v>
      </c>
      <c r="I44" s="1">
        <f t="shared" si="4"/>
        <v>-813.9</v>
      </c>
      <c r="J44" s="113">
        <f t="shared" si="5"/>
        <v>0.7525229852</v>
      </c>
      <c r="K44" s="199">
        <f t="shared" si="6"/>
        <v>0.5433172483</v>
      </c>
      <c r="L44" s="213">
        <f t="shared" si="7"/>
        <v>915.17</v>
      </c>
      <c r="M44" s="210">
        <f t="shared" si="8"/>
        <v>0.05486935867</v>
      </c>
      <c r="N44" s="213">
        <f t="shared" si="9"/>
        <v>1742</v>
      </c>
      <c r="O44" s="210">
        <f t="shared" si="10"/>
        <v>0.02255639098</v>
      </c>
      <c r="P44" s="210">
        <f t="shared" si="11"/>
        <v>0.03231296769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217">
        <f>IFERROR(__xludf.DUMMYFUNCTION("""COMPUTED_VALUE"""),46196.64583333333)</f>
        <v>46196.64583</v>
      </c>
      <c r="C45" s="193">
        <f>IFERROR(__xludf.DUMMYFUNCTION("""COMPUTED_VALUE"""),962.4)</f>
        <v>962.4</v>
      </c>
      <c r="D45" s="9"/>
      <c r="E45" s="217">
        <f>IFERROR(__xludf.DUMMYFUNCTION("""COMPUTED_VALUE"""),46196.64583333333)</f>
        <v>46196.64583</v>
      </c>
      <c r="F45" s="193">
        <f>IFERROR(__xludf.DUMMYFUNCTION("""COMPUTED_VALUE"""),1765.0)</f>
        <v>1765</v>
      </c>
      <c r="G45" s="9"/>
      <c r="H45" s="29">
        <f t="shared" si="3"/>
        <v>0.5452691218</v>
      </c>
      <c r="I45" s="1">
        <f t="shared" si="4"/>
        <v>-802.6</v>
      </c>
      <c r="J45" s="113">
        <f t="shared" si="5"/>
        <v>0.9666722334</v>
      </c>
      <c r="K45" s="199">
        <f t="shared" si="6"/>
        <v>0.5452691218</v>
      </c>
      <c r="L45" s="213">
        <f t="shared" si="7"/>
        <v>916.195</v>
      </c>
      <c r="M45" s="210">
        <f t="shared" si="8"/>
        <v>0.04801018288</v>
      </c>
      <c r="N45" s="213">
        <f t="shared" si="9"/>
        <v>1739.88</v>
      </c>
      <c r="O45" s="210">
        <f t="shared" si="10"/>
        <v>0.01423229462</v>
      </c>
      <c r="P45" s="210">
        <f t="shared" si="11"/>
        <v>0.03377788826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217">
        <f>IFERROR(__xludf.DUMMYFUNCTION("""COMPUTED_VALUE"""),46197.64583333333)</f>
        <v>46197.64583</v>
      </c>
      <c r="C46" s="193">
        <f>IFERROR(__xludf.DUMMYFUNCTION("""COMPUTED_VALUE"""),990.95)</f>
        <v>990.95</v>
      </c>
      <c r="D46" s="9"/>
      <c r="E46" s="217">
        <f>IFERROR(__xludf.DUMMYFUNCTION("""COMPUTED_VALUE"""),46197.64583333333)</f>
        <v>46197.64583</v>
      </c>
      <c r="F46" s="193">
        <f>IFERROR(__xludf.DUMMYFUNCTION("""COMPUTED_VALUE"""),1780.5)</f>
        <v>1780.5</v>
      </c>
      <c r="G46" s="9"/>
      <c r="H46" s="29">
        <f t="shared" si="3"/>
        <v>0.5565571469</v>
      </c>
      <c r="I46" s="1">
        <f t="shared" si="4"/>
        <v>-789.55</v>
      </c>
      <c r="J46" s="113">
        <f t="shared" si="5"/>
        <v>1.213986188</v>
      </c>
      <c r="K46" s="199">
        <f t="shared" si="6"/>
        <v>0.5565571469</v>
      </c>
      <c r="L46" s="213">
        <f t="shared" si="7"/>
        <v>919.2325</v>
      </c>
      <c r="M46" s="210">
        <f t="shared" si="8"/>
        <v>0.07237247086</v>
      </c>
      <c r="N46" s="213">
        <f t="shared" si="9"/>
        <v>1738.87</v>
      </c>
      <c r="O46" s="210">
        <f t="shared" si="10"/>
        <v>0.02338107273</v>
      </c>
      <c r="P46" s="210">
        <f t="shared" si="11"/>
        <v>0.04899139813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217">
        <f>IFERROR(__xludf.DUMMYFUNCTION("""COMPUTED_VALUE"""),46198.64583333333)</f>
        <v>46198.64583</v>
      </c>
      <c r="C47" s="193">
        <f>IFERROR(__xludf.DUMMYFUNCTION("""COMPUTED_VALUE"""),980.4)</f>
        <v>980.4</v>
      </c>
      <c r="D47" s="9"/>
      <c r="E47" s="217">
        <f>IFERROR(__xludf.DUMMYFUNCTION("""COMPUTED_VALUE"""),46198.64583333333)</f>
        <v>46198.64583</v>
      </c>
      <c r="F47" s="193">
        <f>IFERROR(__xludf.DUMMYFUNCTION("""COMPUTED_VALUE"""),1764.6)</f>
        <v>1764.6</v>
      </c>
      <c r="G47" s="9"/>
      <c r="H47" s="29">
        <f t="shared" si="3"/>
        <v>0.5555933356</v>
      </c>
      <c r="I47" s="1">
        <f t="shared" si="4"/>
        <v>-784.2</v>
      </c>
      <c r="J47" s="113">
        <f t="shared" si="5"/>
        <v>1.315375434</v>
      </c>
      <c r="K47" s="199">
        <f t="shared" si="6"/>
        <v>0.5555933356</v>
      </c>
      <c r="L47" s="213">
        <f t="shared" si="7"/>
        <v>921.695</v>
      </c>
      <c r="M47" s="210">
        <f t="shared" si="8"/>
        <v>0.05987862097</v>
      </c>
      <c r="N47" s="213">
        <f t="shared" si="9"/>
        <v>1736.645</v>
      </c>
      <c r="O47" s="210">
        <f t="shared" si="10"/>
        <v>0.01584211719</v>
      </c>
      <c r="P47" s="210">
        <f t="shared" si="11"/>
        <v>0.04403650378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217">
        <f>IFERROR(__xludf.DUMMYFUNCTION("""COMPUTED_VALUE"""),46202.64583333333)</f>
        <v>46202.64583</v>
      </c>
      <c r="C48" s="193">
        <f>IFERROR(__xludf.DUMMYFUNCTION("""COMPUTED_VALUE"""),982.05)</f>
        <v>982.05</v>
      </c>
      <c r="D48" s="9"/>
      <c r="E48" s="217">
        <f>IFERROR(__xludf.DUMMYFUNCTION("""COMPUTED_VALUE"""),46202.64583333333)</f>
        <v>46202.64583</v>
      </c>
      <c r="F48" s="193">
        <f>IFERROR(__xludf.DUMMYFUNCTION("""COMPUTED_VALUE"""),1759.3)</f>
        <v>1759.3</v>
      </c>
      <c r="G48" s="9"/>
      <c r="H48" s="29">
        <f t="shared" si="3"/>
        <v>0.5582049679</v>
      </c>
      <c r="I48" s="1">
        <f t="shared" si="4"/>
        <v>-777.25</v>
      </c>
      <c r="J48" s="113">
        <f t="shared" si="5"/>
        <v>1.447086697</v>
      </c>
      <c r="K48" s="199">
        <f t="shared" si="6"/>
        <v>0.5582049679</v>
      </c>
      <c r="L48" s="213">
        <f t="shared" si="7"/>
        <v>925.385</v>
      </c>
      <c r="M48" s="210">
        <f t="shared" si="8"/>
        <v>0.05770072807</v>
      </c>
      <c r="N48" s="213">
        <f t="shared" si="9"/>
        <v>1735.43</v>
      </c>
      <c r="O48" s="210">
        <f t="shared" si="10"/>
        <v>0.01356789632</v>
      </c>
      <c r="P48" s="210">
        <f t="shared" si="11"/>
        <v>0.04413283175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217">
        <f>IFERROR(__xludf.DUMMYFUNCTION("""COMPUTED_VALUE"""),46203.64583333333)</f>
        <v>46203.64583</v>
      </c>
      <c r="C49" s="193">
        <f>IFERROR(__xludf.DUMMYFUNCTION("""COMPUTED_VALUE"""),1004.75)</f>
        <v>1004.75</v>
      </c>
      <c r="D49" s="9"/>
      <c r="E49" s="217">
        <f>IFERROR(__xludf.DUMMYFUNCTION("""COMPUTED_VALUE"""),46203.64583333333)</f>
        <v>46203.64583</v>
      </c>
      <c r="F49" s="193">
        <f>IFERROR(__xludf.DUMMYFUNCTION("""COMPUTED_VALUE"""),1780.2)</f>
        <v>1780.2</v>
      </c>
      <c r="G49" s="9"/>
      <c r="H49" s="29">
        <f t="shared" si="3"/>
        <v>0.5644028761</v>
      </c>
      <c r="I49" s="1">
        <f t="shared" si="4"/>
        <v>-775.45</v>
      </c>
      <c r="J49" s="113">
        <f t="shared" si="5"/>
        <v>1.481198967</v>
      </c>
      <c r="K49" s="199">
        <f t="shared" si="6"/>
        <v>0.5644028761</v>
      </c>
      <c r="L49" s="213">
        <f t="shared" si="7"/>
        <v>931.17</v>
      </c>
      <c r="M49" s="210">
        <f t="shared" si="8"/>
        <v>0.0732321473</v>
      </c>
      <c r="N49" s="213">
        <f t="shared" si="9"/>
        <v>1736.495</v>
      </c>
      <c r="O49" s="210">
        <f t="shared" si="10"/>
        <v>0.02455061229</v>
      </c>
      <c r="P49" s="210">
        <f t="shared" si="11"/>
        <v>0.04868153501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217">
        <f>IFERROR(__xludf.DUMMYFUNCTION("""COMPUTED_VALUE"""),46204.64583333333)</f>
        <v>46204.64583</v>
      </c>
      <c r="C50" s="193">
        <f>IFERROR(__xludf.DUMMYFUNCTION("""COMPUTED_VALUE"""),1014.9)</f>
        <v>1014.9</v>
      </c>
      <c r="D50" s="9"/>
      <c r="E50" s="217">
        <f>IFERROR(__xludf.DUMMYFUNCTION("""COMPUTED_VALUE"""),46204.64583333333)</f>
        <v>46204.64583</v>
      </c>
      <c r="F50" s="193">
        <f>IFERROR(__xludf.DUMMYFUNCTION("""COMPUTED_VALUE"""),1797.6)</f>
        <v>1797.6</v>
      </c>
      <c r="G50" s="9"/>
      <c r="H50" s="29">
        <f t="shared" si="3"/>
        <v>0.5645861148</v>
      </c>
      <c r="I50" s="1">
        <f t="shared" si="4"/>
        <v>-782.7</v>
      </c>
      <c r="J50" s="113">
        <f t="shared" si="5"/>
        <v>1.343802325</v>
      </c>
      <c r="K50" s="199">
        <f t="shared" si="6"/>
        <v>0.5645861148</v>
      </c>
      <c r="L50" s="213">
        <f t="shared" si="7"/>
        <v>937.815</v>
      </c>
      <c r="M50" s="210">
        <f t="shared" si="8"/>
        <v>0.07595329589</v>
      </c>
      <c r="N50" s="213">
        <f t="shared" si="9"/>
        <v>1739.305</v>
      </c>
      <c r="O50" s="210">
        <f t="shared" si="10"/>
        <v>0.03242935024</v>
      </c>
      <c r="P50" s="210">
        <f t="shared" si="11"/>
        <v>0.04352394565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217">
        <f>IFERROR(__xludf.DUMMYFUNCTION("""COMPUTED_VALUE"""),46205.64583333333)</f>
        <v>46205.64583</v>
      </c>
      <c r="C51" s="193">
        <f>IFERROR(__xludf.DUMMYFUNCTION("""COMPUTED_VALUE"""),1018.4)</f>
        <v>1018.4</v>
      </c>
      <c r="D51" s="9"/>
      <c r="E51" s="217">
        <f>IFERROR(__xludf.DUMMYFUNCTION("""COMPUTED_VALUE"""),46205.64583333333)</f>
        <v>46205.64583</v>
      </c>
      <c r="F51" s="193">
        <f>IFERROR(__xludf.DUMMYFUNCTION("""COMPUTED_VALUE"""),1855.7)</f>
        <v>1855.7</v>
      </c>
      <c r="G51" s="9"/>
      <c r="H51" s="29">
        <f t="shared" si="3"/>
        <v>0.5487956027</v>
      </c>
      <c r="I51" s="1">
        <f t="shared" si="4"/>
        <v>-837.3</v>
      </c>
      <c r="J51" s="113">
        <f t="shared" si="5"/>
        <v>0.3090634799</v>
      </c>
      <c r="K51" s="199">
        <f t="shared" si="6"/>
        <v>0.5487956027</v>
      </c>
      <c r="L51" s="213">
        <f t="shared" si="7"/>
        <v>944.895</v>
      </c>
      <c r="M51" s="210">
        <f t="shared" si="8"/>
        <v>0.07217694423</v>
      </c>
      <c r="N51" s="213">
        <f t="shared" si="9"/>
        <v>1745.37</v>
      </c>
      <c r="O51" s="210">
        <f t="shared" si="10"/>
        <v>0.05945465323</v>
      </c>
      <c r="P51" s="210">
        <f t="shared" si="11"/>
        <v>0.012722291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217">
        <f>IFERROR(__xludf.DUMMYFUNCTION("""COMPUTED_VALUE"""),46206.64583333333)</f>
        <v>46206.64583</v>
      </c>
      <c r="C52" s="193">
        <f>IFERROR(__xludf.DUMMYFUNCTION("""COMPUTED_VALUE"""),1031.4)</f>
        <v>1031.4</v>
      </c>
      <c r="D52" s="9"/>
      <c r="E52" s="217">
        <f>IFERROR(__xludf.DUMMYFUNCTION("""COMPUTED_VALUE"""),46206.64583333333)</f>
        <v>46206.64583</v>
      </c>
      <c r="F52" s="193">
        <f>IFERROR(__xludf.DUMMYFUNCTION("""COMPUTED_VALUE"""),1895.6)</f>
        <v>1895.6</v>
      </c>
      <c r="G52" s="9"/>
      <c r="H52" s="29">
        <f t="shared" si="3"/>
        <v>0.5441021313</v>
      </c>
      <c r="I52" s="1">
        <f t="shared" si="4"/>
        <v>-864.2</v>
      </c>
      <c r="J52" s="113">
        <f t="shared" si="5"/>
        <v>-0.2007254384</v>
      </c>
      <c r="K52" s="199">
        <f t="shared" si="6"/>
        <v>0.5441021313</v>
      </c>
      <c r="L52" s="213">
        <f t="shared" si="7"/>
        <v>952.745</v>
      </c>
      <c r="M52" s="210">
        <f t="shared" si="8"/>
        <v>0.07626042273</v>
      </c>
      <c r="N52" s="213">
        <f t="shared" si="9"/>
        <v>1754.66</v>
      </c>
      <c r="O52" s="210">
        <f t="shared" si="10"/>
        <v>0.07435112893</v>
      </c>
      <c r="P52" s="210">
        <f t="shared" si="11"/>
        <v>0.001909293796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217">
        <f>IFERROR(__xludf.DUMMYFUNCTION("""COMPUTED_VALUE"""),46209.64583333333)</f>
        <v>46209.64583</v>
      </c>
      <c r="C53" s="193">
        <f>IFERROR(__xludf.DUMMYFUNCTION("""COMPUTED_VALUE"""),1029.1)</f>
        <v>1029.1</v>
      </c>
      <c r="D53" s="9"/>
      <c r="E53" s="217">
        <f>IFERROR(__xludf.DUMMYFUNCTION("""COMPUTED_VALUE"""),46209.64583333333)</f>
        <v>46209.64583</v>
      </c>
      <c r="F53" s="193">
        <f>IFERROR(__xludf.DUMMYFUNCTION("""COMPUTED_VALUE"""),1870.7)</f>
        <v>1870.7</v>
      </c>
      <c r="G53" s="9"/>
      <c r="H53" s="29">
        <f t="shared" si="3"/>
        <v>0.5501149302</v>
      </c>
      <c r="I53" s="1">
        <f t="shared" si="4"/>
        <v>-841.6</v>
      </c>
      <c r="J53" s="113">
        <f t="shared" si="5"/>
        <v>0.2275730581</v>
      </c>
      <c r="K53" s="199">
        <f t="shared" si="6"/>
        <v>0.5501149302</v>
      </c>
      <c r="L53" s="213">
        <f t="shared" si="7"/>
        <v>959.73</v>
      </c>
      <c r="M53" s="210">
        <f t="shared" si="8"/>
        <v>0.06740841512</v>
      </c>
      <c r="N53" s="213">
        <f t="shared" si="9"/>
        <v>1763.035</v>
      </c>
      <c r="O53" s="210">
        <f t="shared" si="10"/>
        <v>0.05755332229</v>
      </c>
      <c r="P53" s="210">
        <f t="shared" si="11"/>
        <v>0.009855092834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217">
        <f>IFERROR(__xludf.DUMMYFUNCTION("""COMPUTED_VALUE"""),46210.64583333333)</f>
        <v>46210.64583</v>
      </c>
      <c r="C54" s="193">
        <f>IFERROR(__xludf.DUMMYFUNCTION("""COMPUTED_VALUE"""),1042.5)</f>
        <v>1042.5</v>
      </c>
      <c r="D54" s="9"/>
      <c r="E54" s="217">
        <f>IFERROR(__xludf.DUMMYFUNCTION("""COMPUTED_VALUE"""),46210.64583333333)</f>
        <v>46210.64583</v>
      </c>
      <c r="F54" s="193">
        <f>IFERROR(__xludf.DUMMYFUNCTION("""COMPUTED_VALUE"""),1885.3)</f>
        <v>1885.3</v>
      </c>
      <c r="G54" s="9"/>
      <c r="H54" s="29">
        <f t="shared" si="3"/>
        <v>0.5529623933</v>
      </c>
      <c r="I54" s="1">
        <f t="shared" si="4"/>
        <v>-842.8</v>
      </c>
      <c r="J54" s="113">
        <f t="shared" si="5"/>
        <v>0.204831545</v>
      </c>
      <c r="K54" s="199">
        <f t="shared" si="6"/>
        <v>0.5529623933</v>
      </c>
      <c r="L54" s="213">
        <f t="shared" si="7"/>
        <v>968.3</v>
      </c>
      <c r="M54" s="210">
        <f t="shared" si="8"/>
        <v>0.07117505995</v>
      </c>
      <c r="N54" s="213">
        <f t="shared" si="9"/>
        <v>1773.57</v>
      </c>
      <c r="O54" s="210">
        <f t="shared" si="10"/>
        <v>0.05926377765</v>
      </c>
      <c r="P54" s="210">
        <f t="shared" si="11"/>
        <v>0.0119112823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217">
        <f>IFERROR(__xludf.DUMMYFUNCTION("""COMPUTED_VALUE"""),46211.64583333333)</f>
        <v>46211.64583</v>
      </c>
      <c r="C55" s="193">
        <f>IFERROR(__xludf.DUMMYFUNCTION("""COMPUTED_VALUE"""),1010.4)</f>
        <v>1010.4</v>
      </c>
      <c r="D55" s="9"/>
      <c r="E55" s="217">
        <f>IFERROR(__xludf.DUMMYFUNCTION("""COMPUTED_VALUE"""),46211.64583333333)</f>
        <v>46211.64583</v>
      </c>
      <c r="F55" s="193">
        <f>IFERROR(__xludf.DUMMYFUNCTION("""COMPUTED_VALUE"""),1854.9)</f>
        <v>1854.9</v>
      </c>
      <c r="G55" s="9"/>
      <c r="H55" s="29">
        <f t="shared" si="3"/>
        <v>0.5447193919</v>
      </c>
      <c r="I55" s="1">
        <f t="shared" si="4"/>
        <v>-844.5</v>
      </c>
      <c r="J55" s="113">
        <f t="shared" si="5"/>
        <v>0.1726144014</v>
      </c>
      <c r="K55" s="199">
        <f t="shared" si="6"/>
        <v>0.5447193919</v>
      </c>
      <c r="L55" s="213">
        <f t="shared" si="7"/>
        <v>974.475</v>
      </c>
      <c r="M55" s="210">
        <f t="shared" si="8"/>
        <v>0.03555522565</v>
      </c>
      <c r="N55" s="213">
        <f t="shared" si="9"/>
        <v>1781.66</v>
      </c>
      <c r="O55" s="210">
        <f t="shared" si="10"/>
        <v>0.03948460833</v>
      </c>
      <c r="P55" s="210">
        <f t="shared" si="11"/>
        <v>-0.003929382681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217">
        <f>IFERROR(__xludf.DUMMYFUNCTION("""COMPUTED_VALUE"""),46212.64583333333)</f>
        <v>46212.64583</v>
      </c>
      <c r="C56" s="193">
        <f>IFERROR(__xludf.DUMMYFUNCTION("""COMPUTED_VALUE"""),1003.8)</f>
        <v>1003.8</v>
      </c>
      <c r="D56" s="9"/>
      <c r="E56" s="217">
        <f>IFERROR(__xludf.DUMMYFUNCTION("""COMPUTED_VALUE"""),46212.64583333333)</f>
        <v>46212.64583</v>
      </c>
      <c r="F56" s="193">
        <f>IFERROR(__xludf.DUMMYFUNCTION("""COMPUTED_VALUE"""),1895.0)</f>
        <v>1895</v>
      </c>
      <c r="G56" s="9"/>
      <c r="H56" s="29">
        <f t="shared" si="3"/>
        <v>0.5297097625</v>
      </c>
      <c r="I56" s="1">
        <f t="shared" si="4"/>
        <v>-891.2</v>
      </c>
      <c r="J56" s="113">
        <f t="shared" si="5"/>
        <v>-0.7124094829</v>
      </c>
      <c r="K56" s="199">
        <f t="shared" si="6"/>
        <v>0.5297097625</v>
      </c>
      <c r="L56" s="213">
        <f t="shared" si="7"/>
        <v>980.46</v>
      </c>
      <c r="M56" s="210">
        <f t="shared" si="8"/>
        <v>0.02325164375</v>
      </c>
      <c r="N56" s="213">
        <f t="shared" si="9"/>
        <v>1793.2</v>
      </c>
      <c r="O56" s="210">
        <f t="shared" si="10"/>
        <v>0.05372031662</v>
      </c>
      <c r="P56" s="210">
        <f t="shared" si="11"/>
        <v>-0.03046867287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217">
        <f>IFERROR(__xludf.DUMMYFUNCTION("""COMPUTED_VALUE"""),46213.64583333333)</f>
        <v>46213.64583</v>
      </c>
      <c r="C57" s="193">
        <f>IFERROR(__xludf.DUMMYFUNCTION("""COMPUTED_VALUE"""),1020.5)</f>
        <v>1020.5</v>
      </c>
      <c r="D57" s="9"/>
      <c r="E57" s="217">
        <f>IFERROR(__xludf.DUMMYFUNCTION("""COMPUTED_VALUE"""),46213.64583333333)</f>
        <v>46213.64583</v>
      </c>
      <c r="F57" s="193">
        <f>IFERROR(__xludf.DUMMYFUNCTION("""COMPUTED_VALUE"""),1916.0)</f>
        <v>1916</v>
      </c>
      <c r="G57" s="9"/>
      <c r="H57" s="29">
        <f t="shared" si="3"/>
        <v>0.5326200418</v>
      </c>
      <c r="I57" s="1">
        <f t="shared" si="4"/>
        <v>-895.5</v>
      </c>
      <c r="J57" s="113">
        <f t="shared" si="5"/>
        <v>-0.7938999048</v>
      </c>
      <c r="K57" s="199">
        <f t="shared" si="6"/>
        <v>0.5326200418</v>
      </c>
      <c r="L57" s="213">
        <f t="shared" si="7"/>
        <v>987.9575</v>
      </c>
      <c r="M57" s="210">
        <f t="shared" si="8"/>
        <v>0.03188878001</v>
      </c>
      <c r="N57" s="213">
        <f t="shared" si="9"/>
        <v>1806.745</v>
      </c>
      <c r="O57" s="210">
        <f t="shared" si="10"/>
        <v>0.05702244259</v>
      </c>
      <c r="P57" s="210">
        <f t="shared" si="11"/>
        <v>-0.02513366258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217">
        <f>IFERROR(__xludf.DUMMYFUNCTION("""COMPUTED_VALUE"""),46216.64583333333)</f>
        <v>46216.64583</v>
      </c>
      <c r="C58" s="193">
        <f>IFERROR(__xludf.DUMMYFUNCTION("""COMPUTED_VALUE"""),1022.6)</f>
        <v>1022.6</v>
      </c>
      <c r="D58" s="9"/>
      <c r="E58" s="217">
        <f>IFERROR(__xludf.DUMMYFUNCTION("""COMPUTED_VALUE"""),46216.64583333333)</f>
        <v>46216.64583</v>
      </c>
      <c r="F58" s="193">
        <f>IFERROR(__xludf.DUMMYFUNCTION("""COMPUTED_VALUE"""),1908.1)</f>
        <v>1908.1</v>
      </c>
      <c r="G58" s="9"/>
      <c r="H58" s="29">
        <f t="shared" si="3"/>
        <v>0.5359257901</v>
      </c>
      <c r="I58" s="1">
        <f t="shared" si="4"/>
        <v>-885.5</v>
      </c>
      <c r="J58" s="113">
        <f t="shared" si="5"/>
        <v>-0.6043872957</v>
      </c>
      <c r="K58" s="199">
        <f t="shared" si="6"/>
        <v>0.5359257901</v>
      </c>
      <c r="L58" s="213">
        <f t="shared" si="7"/>
        <v>993.1725</v>
      </c>
      <c r="M58" s="210">
        <f t="shared" si="8"/>
        <v>0.02877713671</v>
      </c>
      <c r="N58" s="213">
        <f t="shared" si="9"/>
        <v>1817.695</v>
      </c>
      <c r="O58" s="210">
        <f t="shared" si="10"/>
        <v>0.04737959226</v>
      </c>
      <c r="P58" s="210">
        <f t="shared" si="11"/>
        <v>-0.01860245555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217">
        <f>IFERROR(__xludf.DUMMYFUNCTION("""COMPUTED_VALUE"""),46217.64583333333)</f>
        <v>46217.64583</v>
      </c>
      <c r="C59" s="193">
        <f>IFERROR(__xludf.DUMMYFUNCTION("""COMPUTED_VALUE"""),1006.6)</f>
        <v>1006.6</v>
      </c>
      <c r="D59" s="9"/>
      <c r="E59" s="217">
        <f>IFERROR(__xludf.DUMMYFUNCTION("""COMPUTED_VALUE"""),46217.64583333333)</f>
        <v>46217.64583</v>
      </c>
      <c r="F59" s="193">
        <f>IFERROR(__xludf.DUMMYFUNCTION("""COMPUTED_VALUE"""),1869.2)</f>
        <v>1869.2</v>
      </c>
      <c r="G59" s="9"/>
      <c r="H59" s="29">
        <f t="shared" si="3"/>
        <v>0.5385191526</v>
      </c>
      <c r="I59" s="1">
        <f t="shared" si="4"/>
        <v>-862.6</v>
      </c>
      <c r="J59" s="113">
        <f t="shared" si="5"/>
        <v>-0.170403421</v>
      </c>
      <c r="K59" s="199">
        <f t="shared" si="6"/>
        <v>0.5385191526</v>
      </c>
      <c r="L59" s="213">
        <f t="shared" si="7"/>
        <v>996.3875</v>
      </c>
      <c r="M59" s="210">
        <f t="shared" si="8"/>
        <v>0.01014553944</v>
      </c>
      <c r="N59" s="213">
        <f t="shared" si="9"/>
        <v>1823.645</v>
      </c>
      <c r="O59" s="210">
        <f t="shared" si="10"/>
        <v>0.02437138883</v>
      </c>
      <c r="P59" s="210">
        <f t="shared" si="11"/>
        <v>-0.01422584939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217">
        <f>IFERROR(__xludf.DUMMYFUNCTION("""COMPUTED_VALUE"""),46218.64583333333)</f>
        <v>46218.64583</v>
      </c>
      <c r="C60" s="193">
        <f>IFERROR(__xludf.DUMMYFUNCTION("""COMPUTED_VALUE"""),1021.3)</f>
        <v>1021.3</v>
      </c>
      <c r="D60" s="9"/>
      <c r="E60" s="217">
        <f>IFERROR(__xludf.DUMMYFUNCTION("""COMPUTED_VALUE"""),46218.64583333333)</f>
        <v>46218.64583</v>
      </c>
      <c r="F60" s="193">
        <f>IFERROR(__xludf.DUMMYFUNCTION("""COMPUTED_VALUE"""),1849.6)</f>
        <v>1849.6</v>
      </c>
      <c r="G60" s="9"/>
      <c r="H60" s="29">
        <f t="shared" si="3"/>
        <v>0.5521734429</v>
      </c>
      <c r="I60" s="1">
        <f t="shared" si="4"/>
        <v>-828.3</v>
      </c>
      <c r="J60" s="113">
        <f t="shared" si="5"/>
        <v>0.4796248281</v>
      </c>
      <c r="K60" s="199">
        <f t="shared" si="6"/>
        <v>0.5521734429</v>
      </c>
      <c r="L60" s="213">
        <f t="shared" si="7"/>
        <v>999.47</v>
      </c>
      <c r="M60" s="210">
        <f t="shared" si="8"/>
        <v>0.0213747185</v>
      </c>
      <c r="N60" s="213">
        <f t="shared" si="9"/>
        <v>1826.76</v>
      </c>
      <c r="O60" s="210">
        <f t="shared" si="10"/>
        <v>0.01234861592</v>
      </c>
      <c r="P60" s="210">
        <f t="shared" si="11"/>
        <v>0.009026102579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217">
        <f>IFERROR(__xludf.DUMMYFUNCTION("""COMPUTED_VALUE"""),46219.64583333333)</f>
        <v>46219.64583</v>
      </c>
      <c r="C61" s="193">
        <f>IFERROR(__xludf.DUMMYFUNCTION("""COMPUTED_VALUE"""),1037.6)</f>
        <v>1037.6</v>
      </c>
      <c r="D61" s="9"/>
      <c r="E61" s="217">
        <f>IFERROR(__xludf.DUMMYFUNCTION("""COMPUTED_VALUE"""),46219.64583333333)</f>
        <v>46219.64583</v>
      </c>
      <c r="F61" s="193">
        <f>IFERROR(__xludf.DUMMYFUNCTION("""COMPUTED_VALUE"""),1838.6)</f>
        <v>1838.6</v>
      </c>
      <c r="G61" s="9"/>
      <c r="H61" s="29">
        <f t="shared" si="3"/>
        <v>0.5643424345</v>
      </c>
      <c r="I61" s="1">
        <f t="shared" si="4"/>
        <v>-801</v>
      </c>
      <c r="J61" s="113">
        <f t="shared" si="5"/>
        <v>0.9969942508</v>
      </c>
      <c r="K61" s="199">
        <f t="shared" si="6"/>
        <v>0.5643424345</v>
      </c>
      <c r="L61" s="213">
        <f t="shared" si="7"/>
        <v>1003.43</v>
      </c>
      <c r="M61" s="210">
        <f t="shared" si="8"/>
        <v>0.03293176561</v>
      </c>
      <c r="N61" s="213">
        <f t="shared" si="9"/>
        <v>1830.46</v>
      </c>
      <c r="O61" s="210">
        <f t="shared" si="10"/>
        <v>0.004427281627</v>
      </c>
      <c r="P61" s="210">
        <f t="shared" si="11"/>
        <v>0.02850448399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217">
        <f>IFERROR(__xludf.DUMMYFUNCTION("""COMPUTED_VALUE"""),46220.64583333333)</f>
        <v>46220.64583</v>
      </c>
      <c r="C62" s="193">
        <f>IFERROR(__xludf.DUMMYFUNCTION("""COMPUTED_VALUE"""),1056.3)</f>
        <v>1056.3</v>
      </c>
      <c r="D62" s="9"/>
      <c r="E62" s="217">
        <f>IFERROR(__xludf.DUMMYFUNCTION("""COMPUTED_VALUE"""),46220.64583333333)</f>
        <v>46220.64583</v>
      </c>
      <c r="F62" s="193">
        <f>IFERROR(__xludf.DUMMYFUNCTION("""COMPUTED_VALUE"""),1854.0)</f>
        <v>1854</v>
      </c>
      <c r="G62" s="9"/>
      <c r="H62" s="29">
        <f t="shared" si="3"/>
        <v>0.5697411003</v>
      </c>
      <c r="I62" s="1">
        <f t="shared" si="4"/>
        <v>-797.7</v>
      </c>
      <c r="J62" s="113">
        <f t="shared" si="5"/>
        <v>1.059533412</v>
      </c>
      <c r="K62" s="199">
        <f t="shared" si="6"/>
        <v>0.5697411003</v>
      </c>
      <c r="L62" s="213">
        <f t="shared" si="7"/>
        <v>1008.3025</v>
      </c>
      <c r="M62" s="210">
        <f t="shared" si="8"/>
        <v>0.04543926915</v>
      </c>
      <c r="N62" s="213">
        <f t="shared" si="9"/>
        <v>1834.575</v>
      </c>
      <c r="O62" s="210">
        <f t="shared" si="10"/>
        <v>0.01047734628</v>
      </c>
      <c r="P62" s="210">
        <f t="shared" si="11"/>
        <v>0.03496192287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217">
        <f>IFERROR(__xludf.DUMMYFUNCTION("""COMPUTED_VALUE"""),46223.64583333333)</f>
        <v>46223.64583</v>
      </c>
      <c r="C63" s="193">
        <f>IFERROR(__xludf.DUMMYFUNCTION("""COMPUTED_VALUE"""),1064.0)</f>
        <v>1064</v>
      </c>
      <c r="D63" s="9"/>
      <c r="E63" s="217">
        <f>IFERROR(__xludf.DUMMYFUNCTION("""COMPUTED_VALUE"""),46223.64583333333)</f>
        <v>46223.64583</v>
      </c>
      <c r="F63" s="193">
        <f>IFERROR(__xludf.DUMMYFUNCTION("""COMPUTED_VALUE"""),1861.5)</f>
        <v>1861.5</v>
      </c>
      <c r="G63" s="9"/>
      <c r="H63" s="29">
        <f t="shared" si="3"/>
        <v>0.5715820575</v>
      </c>
      <c r="I63" s="1">
        <f t="shared" si="4"/>
        <v>-797.5</v>
      </c>
      <c r="J63" s="113">
        <f t="shared" si="5"/>
        <v>1.063323664</v>
      </c>
      <c r="K63" s="199">
        <f t="shared" si="6"/>
        <v>0.5715820575</v>
      </c>
      <c r="L63" s="213">
        <f t="shared" si="7"/>
        <v>1013.4125</v>
      </c>
      <c r="M63" s="210">
        <f t="shared" si="8"/>
        <v>0.04754464286</v>
      </c>
      <c r="N63" s="213">
        <f t="shared" si="9"/>
        <v>1839.18</v>
      </c>
      <c r="O63" s="210">
        <f t="shared" si="10"/>
        <v>0.01199033038</v>
      </c>
      <c r="P63" s="210">
        <f t="shared" si="11"/>
        <v>0.03555431248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93">
        <v>30.0</v>
      </c>
      <c r="B64" s="217">
        <f>IFERROR(__xludf.DUMMYFUNCTION("""COMPUTED_VALUE"""),46224.64583333333)</f>
        <v>46224.64583</v>
      </c>
      <c r="C64" s="193">
        <f>IFERROR(__xludf.DUMMYFUNCTION("""COMPUTED_VALUE"""),1069.2)</f>
        <v>1069.2</v>
      </c>
      <c r="D64" s="9"/>
      <c r="E64" s="217">
        <f>IFERROR(__xludf.DUMMYFUNCTION("""COMPUTED_VALUE"""),46224.64583333333)</f>
        <v>46224.64583</v>
      </c>
      <c r="F64" s="193">
        <f>IFERROR(__xludf.DUMMYFUNCTION("""COMPUTED_VALUE"""),1900.6)</f>
        <v>1900.6</v>
      </c>
      <c r="G64" s="9"/>
      <c r="H64" s="29">
        <f t="shared" si="3"/>
        <v>0.5625591918</v>
      </c>
      <c r="I64" s="1">
        <f t="shared" si="4"/>
        <v>-831.4</v>
      </c>
      <c r="J64" s="113">
        <f t="shared" si="5"/>
        <v>0.4208759193</v>
      </c>
      <c r="K64" s="199">
        <f t="shared" si="6"/>
        <v>0.5625591918</v>
      </c>
      <c r="L64" s="213">
        <f t="shared" si="7"/>
        <v>1018.4575</v>
      </c>
      <c r="M64" s="210">
        <f t="shared" si="8"/>
        <v>0.0474583801</v>
      </c>
      <c r="N64" s="213">
        <f t="shared" si="9"/>
        <v>1845.1</v>
      </c>
      <c r="O64" s="210">
        <f t="shared" si="10"/>
        <v>0.02920130485</v>
      </c>
      <c r="P64" s="210">
        <f t="shared" si="11"/>
        <v>0.01825707525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217">
        <f>IFERROR(__xludf.DUMMYFUNCTION("""COMPUTED_VALUE"""),46225.64583333333)</f>
        <v>46225.64583</v>
      </c>
      <c r="C65" s="193">
        <f>IFERROR(__xludf.DUMMYFUNCTION("""COMPUTED_VALUE"""),1060.3)</f>
        <v>1060.3</v>
      </c>
      <c r="D65" s="9"/>
      <c r="E65" s="217">
        <f>IFERROR(__xludf.DUMMYFUNCTION("""COMPUTED_VALUE"""),46225.64583333333)</f>
        <v>46225.64583</v>
      </c>
      <c r="F65" s="193">
        <f>IFERROR(__xludf.DUMMYFUNCTION("""COMPUTED_VALUE"""),1876.4)</f>
        <v>1876.4</v>
      </c>
      <c r="G65" s="9"/>
      <c r="H65" s="29">
        <f t="shared" si="3"/>
        <v>0.5650714133</v>
      </c>
      <c r="I65" s="1">
        <f t="shared" si="4"/>
        <v>-816.1</v>
      </c>
      <c r="J65" s="113">
        <f t="shared" si="5"/>
        <v>0.7108302112</v>
      </c>
      <c r="K65" s="199">
        <f t="shared" si="6"/>
        <v>0.5650714133</v>
      </c>
      <c r="L65" s="213">
        <f t="shared" si="7"/>
        <v>1023.3525</v>
      </c>
      <c r="M65" s="210">
        <f t="shared" si="8"/>
        <v>0.03484626992</v>
      </c>
      <c r="N65" s="213">
        <f t="shared" si="9"/>
        <v>1850.67</v>
      </c>
      <c r="O65" s="210">
        <f t="shared" si="10"/>
        <v>0.01371242805</v>
      </c>
      <c r="P65" s="210">
        <f t="shared" si="11"/>
        <v>0.02113384187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217">
        <f>IFERROR(__xludf.DUMMYFUNCTION("""COMPUTED_VALUE"""),46226.64583333333)</f>
        <v>46226.64583</v>
      </c>
      <c r="C66" s="193">
        <f>IFERROR(__xludf.DUMMYFUNCTION("""COMPUTED_VALUE"""),1039.8)</f>
        <v>1039.8</v>
      </c>
      <c r="D66" s="9"/>
      <c r="E66" s="217">
        <f>IFERROR(__xludf.DUMMYFUNCTION("""COMPUTED_VALUE"""),46226.64583333333)</f>
        <v>46226.64583</v>
      </c>
      <c r="F66" s="193">
        <f>IFERROR(__xludf.DUMMYFUNCTION("""COMPUTED_VALUE"""),1889.4)</f>
        <v>1889.4</v>
      </c>
      <c r="G66" s="9"/>
      <c r="H66" s="29">
        <f t="shared" si="3"/>
        <v>0.5503334392</v>
      </c>
      <c r="I66" s="1">
        <f t="shared" si="4"/>
        <v>-849.6</v>
      </c>
      <c r="J66" s="113">
        <f t="shared" si="5"/>
        <v>0.0759629708</v>
      </c>
      <c r="K66" s="199">
        <f t="shared" si="6"/>
        <v>0.5503334392</v>
      </c>
      <c r="L66" s="213">
        <f t="shared" si="7"/>
        <v>1025.795</v>
      </c>
      <c r="M66" s="210">
        <f t="shared" si="8"/>
        <v>0.01346893633</v>
      </c>
      <c r="N66" s="213">
        <f t="shared" si="9"/>
        <v>1856.115</v>
      </c>
      <c r="O66" s="210">
        <f t="shared" si="10"/>
        <v>0.01761670372</v>
      </c>
      <c r="P66" s="210">
        <f t="shared" si="11"/>
        <v>-0.004147767382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217">
        <f>IFERROR(__xludf.DUMMYFUNCTION("""COMPUTED_VALUE"""),46227.64583333333)</f>
        <v>46227.64583</v>
      </c>
      <c r="C67" s="193">
        <f>IFERROR(__xludf.DUMMYFUNCTION("""COMPUTED_VALUE"""),1012.8)</f>
        <v>1012.8</v>
      </c>
      <c r="D67" s="9"/>
      <c r="E67" s="217">
        <f>IFERROR(__xludf.DUMMYFUNCTION("""COMPUTED_VALUE"""),46227.64583333333)</f>
        <v>46227.64583</v>
      </c>
      <c r="F67" s="193">
        <f>IFERROR(__xludf.DUMMYFUNCTION("""COMPUTED_VALUE"""),1876.7)</f>
        <v>1876.7</v>
      </c>
      <c r="G67" s="9"/>
      <c r="H67" s="29">
        <f t="shared" si="3"/>
        <v>0.5396706986</v>
      </c>
      <c r="I67" s="1">
        <f t="shared" si="4"/>
        <v>-863.9</v>
      </c>
      <c r="J67" s="113">
        <f t="shared" si="5"/>
        <v>-0.1950400602</v>
      </c>
      <c r="K67" s="199">
        <f t="shared" si="6"/>
        <v>0.5396706986</v>
      </c>
      <c r="L67" s="213">
        <f t="shared" si="7"/>
        <v>1027.415</v>
      </c>
      <c r="M67" s="210">
        <f t="shared" si="8"/>
        <v>-0.01443029226</v>
      </c>
      <c r="N67" s="213">
        <f t="shared" si="9"/>
        <v>1861.72</v>
      </c>
      <c r="O67" s="210">
        <f t="shared" si="10"/>
        <v>0.007982096233</v>
      </c>
      <c r="P67" s="210">
        <f t="shared" si="11"/>
        <v>-0.02241238849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217">
        <f>IFERROR(__xludf.DUMMYFUNCTION("""COMPUTED_VALUE"""),46230.64583333333)</f>
        <v>46230.64583</v>
      </c>
      <c r="C68" s="193">
        <f>IFERROR(__xludf.DUMMYFUNCTION("""COMPUTED_VALUE"""),1048.3)</f>
        <v>1048.3</v>
      </c>
      <c r="D68" s="9"/>
      <c r="E68" s="217">
        <f>IFERROR(__xludf.DUMMYFUNCTION("""COMPUTED_VALUE"""),46230.64583333333)</f>
        <v>46230.64583</v>
      </c>
      <c r="F68" s="193">
        <f>IFERROR(__xludf.DUMMYFUNCTION("""COMPUTED_VALUE"""),1913.0)</f>
        <v>1913</v>
      </c>
      <c r="G68" s="9"/>
      <c r="H68" s="29">
        <f t="shared" si="3"/>
        <v>0.5479874543</v>
      </c>
      <c r="I68" s="1">
        <f t="shared" si="4"/>
        <v>-864.7</v>
      </c>
      <c r="J68" s="113">
        <f t="shared" si="5"/>
        <v>-0.2102010689</v>
      </c>
      <c r="K68" s="199">
        <f t="shared" si="6"/>
        <v>0.5479874543</v>
      </c>
      <c r="L68" s="213">
        <f t="shared" si="7"/>
        <v>1030.7275</v>
      </c>
      <c r="M68" s="210">
        <f t="shared" si="8"/>
        <v>0.01676285414</v>
      </c>
      <c r="N68" s="213">
        <f t="shared" si="9"/>
        <v>1869.405</v>
      </c>
      <c r="O68" s="210">
        <f t="shared" si="10"/>
        <v>0.02278881338</v>
      </c>
      <c r="P68" s="210">
        <f t="shared" si="11"/>
        <v>-0.006025959237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217">
        <f>IFERROR(__xludf.DUMMYFUNCTION("""COMPUTED_VALUE"""),46231.64583333333)</f>
        <v>46231.64583</v>
      </c>
      <c r="C69" s="193">
        <f>IFERROR(__xludf.DUMMYFUNCTION("""COMPUTED_VALUE"""),1048.4)</f>
        <v>1048.4</v>
      </c>
      <c r="D69" s="9"/>
      <c r="E69" s="217">
        <f>IFERROR(__xludf.DUMMYFUNCTION("""COMPUTED_VALUE"""),46231.64583333333)</f>
        <v>46231.64583</v>
      </c>
      <c r="F69" s="193">
        <f>IFERROR(__xludf.DUMMYFUNCTION("""COMPUTED_VALUE"""),1927.9)</f>
        <v>1927.9</v>
      </c>
      <c r="G69" s="9"/>
      <c r="H69" s="29">
        <f t="shared" si="3"/>
        <v>0.5438041392</v>
      </c>
      <c r="I69" s="1">
        <f t="shared" si="4"/>
        <v>-879.5</v>
      </c>
      <c r="J69" s="113">
        <f t="shared" si="5"/>
        <v>-0.4906797303</v>
      </c>
      <c r="K69" s="199">
        <f t="shared" si="6"/>
        <v>0.5438041392</v>
      </c>
      <c r="L69" s="213">
        <f t="shared" si="7"/>
        <v>1032.91</v>
      </c>
      <c r="M69" s="210">
        <f t="shared" si="8"/>
        <v>0.01477489508</v>
      </c>
      <c r="N69" s="213">
        <f t="shared" si="9"/>
        <v>1876.79</v>
      </c>
      <c r="O69" s="210">
        <f t="shared" si="10"/>
        <v>0.02651071114</v>
      </c>
      <c r="P69" s="210">
        <f t="shared" si="11"/>
        <v>-0.01173581606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217">
        <f>IFERROR(__xludf.DUMMYFUNCTION("""COMPUTED_VALUE"""),46232.64583333333)</f>
        <v>46232.64583</v>
      </c>
      <c r="C70" s="193">
        <f>IFERROR(__xludf.DUMMYFUNCTION("""COMPUTED_VALUE"""),1054.4)</f>
        <v>1054.4</v>
      </c>
      <c r="D70" s="9"/>
      <c r="E70" s="217">
        <f>IFERROR(__xludf.DUMMYFUNCTION("""COMPUTED_VALUE"""),46232.64583333333)</f>
        <v>46232.64583</v>
      </c>
      <c r="F70" s="193">
        <f>IFERROR(__xludf.DUMMYFUNCTION("""COMPUTED_VALUE"""),1924.4)</f>
        <v>1924.4</v>
      </c>
      <c r="G70" s="9"/>
      <c r="H70" s="29">
        <f t="shared" si="3"/>
        <v>0.5479110372</v>
      </c>
      <c r="I70" s="1">
        <f t="shared" si="4"/>
        <v>-870</v>
      </c>
      <c r="J70" s="113">
        <f t="shared" si="5"/>
        <v>-0.3106427517</v>
      </c>
      <c r="K70" s="199">
        <f t="shared" si="6"/>
        <v>0.5479110372</v>
      </c>
      <c r="L70" s="213">
        <f t="shared" si="7"/>
        <v>1034.885</v>
      </c>
      <c r="M70" s="210">
        <f t="shared" si="8"/>
        <v>0.0185081563</v>
      </c>
      <c r="N70" s="213">
        <f t="shared" si="9"/>
        <v>1883.13</v>
      </c>
      <c r="O70" s="210">
        <f t="shared" si="10"/>
        <v>0.0214456454</v>
      </c>
      <c r="P70" s="210">
        <f t="shared" si="11"/>
        <v>-0.002937489099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217">
        <f>IFERROR(__xludf.DUMMYFUNCTION("""COMPUTED_VALUE"""),46233.64583333333)</f>
        <v>46233.64583</v>
      </c>
      <c r="C71" s="193">
        <f>IFERROR(__xludf.DUMMYFUNCTION("""COMPUTED_VALUE"""),1053.5)</f>
        <v>1053.5</v>
      </c>
      <c r="D71" s="9"/>
      <c r="E71" s="217">
        <f>IFERROR(__xludf.DUMMYFUNCTION("""COMPUTED_VALUE"""),46233.64583333333)</f>
        <v>46233.64583</v>
      </c>
      <c r="F71" s="193">
        <f>IFERROR(__xludf.DUMMYFUNCTION("""COMPUTED_VALUE"""),1909.4)</f>
        <v>1909.4</v>
      </c>
      <c r="G71" s="9"/>
      <c r="H71" s="29">
        <f t="shared" si="3"/>
        <v>0.5517440034</v>
      </c>
      <c r="I71" s="1">
        <f t="shared" si="4"/>
        <v>-855.9</v>
      </c>
      <c r="J71" s="113">
        <f t="shared" si="5"/>
        <v>-0.04342997291</v>
      </c>
      <c r="K71" s="199">
        <f t="shared" si="6"/>
        <v>0.5517440034</v>
      </c>
      <c r="L71" s="213">
        <f t="shared" si="7"/>
        <v>1036.64</v>
      </c>
      <c r="M71" s="210">
        <f t="shared" si="8"/>
        <v>0.01600379687</v>
      </c>
      <c r="N71" s="213">
        <f t="shared" si="9"/>
        <v>1885.815</v>
      </c>
      <c r="O71" s="210">
        <f t="shared" si="10"/>
        <v>0.01235204776</v>
      </c>
      <c r="P71" s="210">
        <f t="shared" si="11"/>
        <v>0.003651749104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217">
        <f>IFERROR(__xludf.DUMMYFUNCTION("""COMPUTED_VALUE"""),46234.64583333333)</f>
        <v>46234.64583</v>
      </c>
      <c r="C72" s="193">
        <f>IFERROR(__xludf.DUMMYFUNCTION("""COMPUTED_VALUE"""),1141.2)</f>
        <v>1141.2</v>
      </c>
      <c r="D72" s="9"/>
      <c r="E72" s="217">
        <f>IFERROR(__xludf.DUMMYFUNCTION("""COMPUTED_VALUE"""),46234.64583333333)</f>
        <v>46234.64583</v>
      </c>
      <c r="F72" s="193">
        <f>IFERROR(__xludf.DUMMYFUNCTION("""COMPUTED_VALUE"""),2029.1)</f>
        <v>2029.1</v>
      </c>
      <c r="G72" s="9"/>
      <c r="H72" s="29">
        <f t="shared" si="3"/>
        <v>0.5624168351</v>
      </c>
      <c r="I72" s="1">
        <f t="shared" si="4"/>
        <v>-887.9</v>
      </c>
      <c r="J72" s="113">
        <f t="shared" si="5"/>
        <v>-0.6498703219</v>
      </c>
      <c r="K72" s="199">
        <f t="shared" si="6"/>
        <v>0.5624168351</v>
      </c>
      <c r="L72" s="213">
        <f t="shared" si="7"/>
        <v>1042.13</v>
      </c>
      <c r="M72" s="210">
        <f t="shared" si="8"/>
        <v>0.08681212758</v>
      </c>
      <c r="N72" s="213">
        <f t="shared" si="9"/>
        <v>1892.49</v>
      </c>
      <c r="O72" s="210">
        <f t="shared" si="10"/>
        <v>0.06732541521</v>
      </c>
      <c r="P72" s="210">
        <f t="shared" si="11"/>
        <v>0.01948671238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217">
        <f>IFERROR(__xludf.DUMMYFUNCTION("""COMPUTED_VALUE"""),46237.64583333333)</f>
        <v>46237.64583</v>
      </c>
      <c r="C73" s="193">
        <f>IFERROR(__xludf.DUMMYFUNCTION("""COMPUTED_VALUE"""),1153.0)</f>
        <v>1153</v>
      </c>
      <c r="D73" s="9"/>
      <c r="E73" s="217">
        <f>IFERROR(__xludf.DUMMYFUNCTION("""COMPUTED_VALUE"""),46237.64583333333)</f>
        <v>46237.64583</v>
      </c>
      <c r="F73" s="193">
        <f>IFERROR(__xludf.DUMMYFUNCTION("""COMPUTED_VALUE"""),2096.0)</f>
        <v>2096</v>
      </c>
      <c r="G73" s="9"/>
      <c r="H73" s="29">
        <f t="shared" si="3"/>
        <v>0.5500954198</v>
      </c>
      <c r="I73" s="1">
        <f t="shared" si="4"/>
        <v>-943</v>
      </c>
      <c r="J73" s="113">
        <f t="shared" si="5"/>
        <v>-1.694084798</v>
      </c>
      <c r="K73" s="199">
        <f t="shared" si="6"/>
        <v>0.5500954198</v>
      </c>
      <c r="L73" s="213">
        <f t="shared" si="7"/>
        <v>1048.325</v>
      </c>
      <c r="M73" s="210">
        <f t="shared" si="8"/>
        <v>0.09078490893</v>
      </c>
      <c r="N73" s="213">
        <f t="shared" si="9"/>
        <v>1903.755</v>
      </c>
      <c r="O73" s="210">
        <f t="shared" si="10"/>
        <v>0.09171994275</v>
      </c>
      <c r="P73" s="210">
        <f t="shared" si="11"/>
        <v>-0.0009350338149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93">
        <v>20.0</v>
      </c>
      <c r="B74" s="217">
        <f>IFERROR(__xludf.DUMMYFUNCTION("""COMPUTED_VALUE"""),46238.64583333333)</f>
        <v>46238.64583</v>
      </c>
      <c r="C74" s="193">
        <f>IFERROR(__xludf.DUMMYFUNCTION("""COMPUTED_VALUE"""),1149.0)</f>
        <v>1149</v>
      </c>
      <c r="D74" s="9"/>
      <c r="E74" s="217">
        <f>IFERROR(__xludf.DUMMYFUNCTION("""COMPUTED_VALUE"""),46238.64583333333)</f>
        <v>46238.64583</v>
      </c>
      <c r="F74" s="193">
        <f>IFERROR(__xludf.DUMMYFUNCTION("""COMPUTED_VALUE"""),2105.0)</f>
        <v>2105</v>
      </c>
      <c r="G74" s="9"/>
      <c r="H74" s="29">
        <f t="shared" si="3"/>
        <v>0.5458432304</v>
      </c>
      <c r="I74" s="1">
        <f t="shared" si="4"/>
        <v>-956</v>
      </c>
      <c r="J74" s="113">
        <f t="shared" si="5"/>
        <v>-1.94045119</v>
      </c>
      <c r="K74" s="199">
        <f t="shared" si="6"/>
        <v>0.5458432304</v>
      </c>
      <c r="L74" s="213">
        <f t="shared" si="7"/>
        <v>1053.65</v>
      </c>
      <c r="M74" s="210">
        <f t="shared" si="8"/>
        <v>0.08298520453</v>
      </c>
      <c r="N74" s="213">
        <f t="shared" si="9"/>
        <v>1914.74</v>
      </c>
      <c r="O74" s="210">
        <f t="shared" si="10"/>
        <v>0.0903847981</v>
      </c>
      <c r="P74" s="210">
        <f t="shared" si="11"/>
        <v>-0.007399593574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217">
        <f>IFERROR(__xludf.DUMMYFUNCTION("""COMPUTED_VALUE"""),46239.64583333333)</f>
        <v>46239.64583</v>
      </c>
      <c r="C75" s="193">
        <f>IFERROR(__xludf.DUMMYFUNCTION("""COMPUTED_VALUE"""),1158.8)</f>
        <v>1158.8</v>
      </c>
      <c r="D75" s="9"/>
      <c r="E75" s="217">
        <f>IFERROR(__xludf.DUMMYFUNCTION("""COMPUTED_VALUE"""),46239.64583333333)</f>
        <v>46239.64583</v>
      </c>
      <c r="F75" s="193">
        <f>IFERROR(__xludf.DUMMYFUNCTION("""COMPUTED_VALUE"""),2086.0)</f>
        <v>2086</v>
      </c>
      <c r="G75" s="9"/>
      <c r="H75" s="29">
        <f t="shared" si="3"/>
        <v>0.5555129434</v>
      </c>
      <c r="I75" s="1">
        <f t="shared" si="4"/>
        <v>-927.2</v>
      </c>
      <c r="J75" s="113">
        <f t="shared" si="5"/>
        <v>-1.394654876</v>
      </c>
      <c r="K75" s="199">
        <f t="shared" si="6"/>
        <v>0.5555129434</v>
      </c>
      <c r="L75" s="213">
        <f t="shared" si="7"/>
        <v>1061.07</v>
      </c>
      <c r="M75" s="210">
        <f t="shared" si="8"/>
        <v>0.08433724543</v>
      </c>
      <c r="N75" s="213">
        <f t="shared" si="9"/>
        <v>1926.295</v>
      </c>
      <c r="O75" s="210">
        <f t="shared" si="10"/>
        <v>0.07656040268</v>
      </c>
      <c r="P75" s="210">
        <f t="shared" si="11"/>
        <v>0.007776842742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217">
        <f>IFERROR(__xludf.DUMMYFUNCTION("""COMPUTED_VALUE"""),46240.64583333333)</f>
        <v>46240.64583</v>
      </c>
      <c r="C76" s="193">
        <f>IFERROR(__xludf.DUMMYFUNCTION("""COMPUTED_VALUE"""),1144.8)</f>
        <v>1144.8</v>
      </c>
      <c r="D76" s="9"/>
      <c r="E76" s="217">
        <f>IFERROR(__xludf.DUMMYFUNCTION("""COMPUTED_VALUE"""),46240.64583333333)</f>
        <v>46240.64583</v>
      </c>
      <c r="F76" s="193">
        <f>IFERROR(__xludf.DUMMYFUNCTION("""COMPUTED_VALUE"""),2086.0)</f>
        <v>2086</v>
      </c>
      <c r="G76" s="9"/>
      <c r="H76" s="29">
        <f t="shared" si="3"/>
        <v>0.548801534</v>
      </c>
      <c r="I76" s="1">
        <f t="shared" si="4"/>
        <v>-941.2</v>
      </c>
      <c r="J76" s="113">
        <f t="shared" si="5"/>
        <v>-1.659972528</v>
      </c>
      <c r="K76" s="199">
        <f t="shared" si="6"/>
        <v>0.548801534</v>
      </c>
      <c r="L76" s="213">
        <f t="shared" si="7"/>
        <v>1068.12</v>
      </c>
      <c r="M76" s="210">
        <f t="shared" si="8"/>
        <v>0.06698113208</v>
      </c>
      <c r="N76" s="213">
        <f t="shared" si="9"/>
        <v>1935.845</v>
      </c>
      <c r="O76" s="210">
        <f t="shared" si="10"/>
        <v>0.0719822627</v>
      </c>
      <c r="P76" s="210">
        <f t="shared" si="11"/>
        <v>-0.005001130628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217">
        <f>IFERROR(__xludf.DUMMYFUNCTION("""COMPUTED_VALUE"""),46241.64583333333)</f>
        <v>46241.64583</v>
      </c>
      <c r="C77" s="193">
        <f>IFERROR(__xludf.DUMMYFUNCTION("""COMPUTED_VALUE"""),1078.0)</f>
        <v>1078</v>
      </c>
      <c r="D77" s="9"/>
      <c r="E77" s="217">
        <f>IFERROR(__xludf.DUMMYFUNCTION("""COMPUTED_VALUE"""),46241.64583333333)</f>
        <v>46241.64583</v>
      </c>
      <c r="F77" s="193">
        <f>IFERROR(__xludf.DUMMYFUNCTION("""COMPUTED_VALUE"""),2008.9)</f>
        <v>2008.9</v>
      </c>
      <c r="G77" s="9"/>
      <c r="H77" s="29">
        <f t="shared" si="3"/>
        <v>0.5366120763</v>
      </c>
      <c r="I77" s="1">
        <f t="shared" si="4"/>
        <v>-930.9</v>
      </c>
      <c r="J77" s="113">
        <f t="shared" si="5"/>
        <v>-1.464774541</v>
      </c>
      <c r="K77" s="199">
        <f t="shared" si="6"/>
        <v>0.5366120763</v>
      </c>
      <c r="L77" s="213">
        <f t="shared" si="7"/>
        <v>1070.995</v>
      </c>
      <c r="M77" s="210">
        <f t="shared" si="8"/>
        <v>0.006498144712</v>
      </c>
      <c r="N77" s="213">
        <f t="shared" si="9"/>
        <v>1940.49</v>
      </c>
      <c r="O77" s="210">
        <f t="shared" si="10"/>
        <v>0.03405346209</v>
      </c>
      <c r="P77" s="210">
        <f t="shared" si="11"/>
        <v>-0.02755531738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217">
        <f>IFERROR(__xludf.DUMMYFUNCTION("""COMPUTED_VALUE"""),46244.64583333333)</f>
        <v>46244.64583</v>
      </c>
      <c r="C78" s="193">
        <f>IFERROR(__xludf.DUMMYFUNCTION("""COMPUTED_VALUE"""),1102.2)</f>
        <v>1102.2</v>
      </c>
      <c r="D78" s="9"/>
      <c r="E78" s="217">
        <f>IFERROR(__xludf.DUMMYFUNCTION("""COMPUTED_VALUE"""),46244.64583333333)</f>
        <v>46244.64583</v>
      </c>
      <c r="F78" s="193">
        <f>IFERROR(__xludf.DUMMYFUNCTION("""COMPUTED_VALUE"""),2021.3)</f>
        <v>2021.3</v>
      </c>
      <c r="G78" s="9"/>
      <c r="H78" s="29">
        <f t="shared" si="3"/>
        <v>0.5452926335</v>
      </c>
      <c r="I78" s="1">
        <f t="shared" si="4"/>
        <v>-919.1</v>
      </c>
      <c r="J78" s="113">
        <f t="shared" si="5"/>
        <v>-1.241149662</v>
      </c>
      <c r="K78" s="199">
        <f t="shared" si="6"/>
        <v>0.5452926335</v>
      </c>
      <c r="L78" s="213">
        <f t="shared" si="7"/>
        <v>1074.975</v>
      </c>
      <c r="M78" s="210">
        <f t="shared" si="8"/>
        <v>0.0247005988</v>
      </c>
      <c r="N78" s="213">
        <f t="shared" si="9"/>
        <v>1946.15</v>
      </c>
      <c r="O78" s="210">
        <f t="shared" si="10"/>
        <v>0.03717904319</v>
      </c>
      <c r="P78" s="210">
        <f t="shared" si="11"/>
        <v>-0.01247844439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217">
        <f>IFERROR(__xludf.DUMMYFUNCTION("""COMPUTED_VALUE"""),46245.64583333333)</f>
        <v>46245.64583</v>
      </c>
      <c r="C79" s="193">
        <f>IFERROR(__xludf.DUMMYFUNCTION("""COMPUTED_VALUE"""),1093.3)</f>
        <v>1093.3</v>
      </c>
      <c r="D79" s="9"/>
      <c r="E79" s="217">
        <f>IFERROR(__xludf.DUMMYFUNCTION("""COMPUTED_VALUE"""),46245.64583333333)</f>
        <v>46245.64583</v>
      </c>
      <c r="F79" s="193">
        <f>IFERROR(__xludf.DUMMYFUNCTION("""COMPUTED_VALUE"""),2032.0)</f>
        <v>2032</v>
      </c>
      <c r="G79" s="9"/>
      <c r="H79" s="29">
        <f t="shared" si="3"/>
        <v>0.5380413386</v>
      </c>
      <c r="I79" s="1">
        <f t="shared" si="4"/>
        <v>-938.7</v>
      </c>
      <c r="J79" s="113">
        <f t="shared" si="5"/>
        <v>-1.612594376</v>
      </c>
      <c r="K79" s="199">
        <f t="shared" si="6"/>
        <v>0.5380413386</v>
      </c>
      <c r="L79" s="213">
        <f t="shared" si="7"/>
        <v>1079.31</v>
      </c>
      <c r="M79" s="210">
        <f t="shared" si="8"/>
        <v>0.01279612183</v>
      </c>
      <c r="N79" s="213">
        <f t="shared" si="9"/>
        <v>1954.29</v>
      </c>
      <c r="O79" s="210">
        <f t="shared" si="10"/>
        <v>0.03824311024</v>
      </c>
      <c r="P79" s="210">
        <f t="shared" si="11"/>
        <v>-0.0254469884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217">
        <f>IFERROR(__xludf.DUMMYFUNCTION("""COMPUTED_VALUE"""),46246.64583333333)</f>
        <v>46246.64583</v>
      </c>
      <c r="C80" s="193">
        <f>IFERROR(__xludf.DUMMYFUNCTION("""COMPUTED_VALUE"""),1094.2)</f>
        <v>1094.2</v>
      </c>
      <c r="D80" s="9"/>
      <c r="E80" s="217">
        <f>IFERROR(__xludf.DUMMYFUNCTION("""COMPUTED_VALUE"""),46246.64583333333)</f>
        <v>46246.64583</v>
      </c>
      <c r="F80" s="193">
        <f>IFERROR(__xludf.DUMMYFUNCTION("""COMPUTED_VALUE"""),2020.5)</f>
        <v>2020.5</v>
      </c>
      <c r="G80" s="9"/>
      <c r="H80" s="29">
        <f t="shared" si="3"/>
        <v>0.5415491215</v>
      </c>
      <c r="I80" s="1">
        <f t="shared" si="4"/>
        <v>-926.3</v>
      </c>
      <c r="J80" s="113">
        <f t="shared" si="5"/>
        <v>-1.377598741</v>
      </c>
      <c r="K80" s="199">
        <f t="shared" si="6"/>
        <v>0.5415491215</v>
      </c>
      <c r="L80" s="213">
        <f t="shared" si="7"/>
        <v>1082.955</v>
      </c>
      <c r="M80" s="210">
        <f t="shared" si="8"/>
        <v>0.01027691464</v>
      </c>
      <c r="N80" s="213">
        <f t="shared" si="9"/>
        <v>1962.835</v>
      </c>
      <c r="O80" s="210">
        <f t="shared" si="10"/>
        <v>0.02853996536</v>
      </c>
      <c r="P80" s="210">
        <f t="shared" si="11"/>
        <v>-0.01826305071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217">
        <f>IFERROR(__xludf.DUMMYFUNCTION("""COMPUTED_VALUE"""),46247.64583333333)</f>
        <v>46247.64583</v>
      </c>
      <c r="C81" s="193">
        <f>IFERROR(__xludf.DUMMYFUNCTION("""COMPUTED_VALUE"""),1090.8)</f>
        <v>1090.8</v>
      </c>
      <c r="D81" s="9"/>
      <c r="E81" s="217">
        <f>IFERROR(__xludf.DUMMYFUNCTION("""COMPUTED_VALUE"""),46247.64583333333)</f>
        <v>46247.64583</v>
      </c>
      <c r="F81" s="193">
        <f>IFERROR(__xludf.DUMMYFUNCTION("""COMPUTED_VALUE"""),2025.0)</f>
        <v>2025</v>
      </c>
      <c r="G81" s="9"/>
      <c r="H81" s="29">
        <f t="shared" si="3"/>
        <v>0.5386666667</v>
      </c>
      <c r="I81" s="1">
        <f t="shared" si="4"/>
        <v>-934.2</v>
      </c>
      <c r="J81" s="113">
        <f t="shared" si="5"/>
        <v>-1.527313702</v>
      </c>
      <c r="K81" s="199">
        <f t="shared" si="6"/>
        <v>0.5386666667</v>
      </c>
      <c r="L81" s="213">
        <f t="shared" si="7"/>
        <v>1085.615</v>
      </c>
      <c r="M81" s="210">
        <f t="shared" si="8"/>
        <v>0.004753392006</v>
      </c>
      <c r="N81" s="213">
        <f t="shared" si="9"/>
        <v>1972.155</v>
      </c>
      <c r="O81" s="210">
        <f t="shared" si="10"/>
        <v>0.0260962963</v>
      </c>
      <c r="P81" s="210">
        <f t="shared" si="11"/>
        <v>-0.02134290429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217">
        <f>IFERROR(__xludf.DUMMYFUNCTION("""COMPUTED_VALUE"""),46248.64583333333)</f>
        <v>46248.64583</v>
      </c>
      <c r="C82" s="193">
        <f>IFERROR(__xludf.DUMMYFUNCTION("""COMPUTED_VALUE"""),1087.0)</f>
        <v>1087</v>
      </c>
      <c r="D82" s="9"/>
      <c r="E82" s="217">
        <f>IFERROR(__xludf.DUMMYFUNCTION("""COMPUTED_VALUE"""),46248.64583333333)</f>
        <v>46248.64583</v>
      </c>
      <c r="F82" s="193">
        <f>IFERROR(__xludf.DUMMYFUNCTION("""COMPUTED_VALUE"""),2008.3)</f>
        <v>2008.3</v>
      </c>
      <c r="G82" s="9"/>
      <c r="H82" s="29">
        <f t="shared" si="3"/>
        <v>0.5412537967</v>
      </c>
      <c r="I82" s="1">
        <f t="shared" si="4"/>
        <v>-921.3</v>
      </c>
      <c r="J82" s="113">
        <f t="shared" si="5"/>
        <v>-1.282842436</v>
      </c>
      <c r="K82" s="199">
        <f t="shared" si="6"/>
        <v>0.5412537967</v>
      </c>
      <c r="L82" s="213">
        <f t="shared" si="7"/>
        <v>1087.15</v>
      </c>
      <c r="M82" s="210">
        <f t="shared" si="8"/>
        <v>-0.0001379944802</v>
      </c>
      <c r="N82" s="213">
        <f t="shared" si="9"/>
        <v>1979.87</v>
      </c>
      <c r="O82" s="210">
        <f t="shared" si="10"/>
        <v>0.01415625156</v>
      </c>
      <c r="P82" s="210">
        <f t="shared" si="11"/>
        <v>-0.01429424604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217">
        <f>IFERROR(__xludf.DUMMYFUNCTION("""COMPUTED_VALUE"""),46251.64583333333)</f>
        <v>46251.64583</v>
      </c>
      <c r="C83" s="193">
        <f>IFERROR(__xludf.DUMMYFUNCTION("""COMPUTED_VALUE"""),1089.3)</f>
        <v>1089.3</v>
      </c>
      <c r="D83" s="9"/>
      <c r="E83" s="217">
        <f>IFERROR(__xludf.DUMMYFUNCTION("""COMPUTED_VALUE"""),46251.64583333333)</f>
        <v>46251.64583</v>
      </c>
      <c r="F83" s="193">
        <f>IFERROR(__xludf.DUMMYFUNCTION("""COMPUTED_VALUE"""),2005.0)</f>
        <v>2005</v>
      </c>
      <c r="G83" s="9"/>
      <c r="H83" s="29">
        <f t="shared" si="3"/>
        <v>0.5432917706</v>
      </c>
      <c r="I83" s="1">
        <f t="shared" si="4"/>
        <v>-915.7</v>
      </c>
      <c r="J83" s="113">
        <f t="shared" si="5"/>
        <v>-1.176715375</v>
      </c>
      <c r="K83" s="199">
        <f t="shared" si="6"/>
        <v>0.5432917706</v>
      </c>
      <c r="L83" s="213">
        <f t="shared" si="7"/>
        <v>1088.415</v>
      </c>
      <c r="M83" s="210">
        <f t="shared" si="8"/>
        <v>0.0008124483613</v>
      </c>
      <c r="N83" s="213">
        <f t="shared" si="9"/>
        <v>1987.045</v>
      </c>
      <c r="O83" s="210">
        <f t="shared" si="10"/>
        <v>0.008955112219</v>
      </c>
      <c r="P83" s="210">
        <f t="shared" si="11"/>
        <v>-0.008142663858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93">
        <v>10.0</v>
      </c>
      <c r="B84" s="217">
        <f>IFERROR(__xludf.DUMMYFUNCTION("""COMPUTED_VALUE"""),46252.64583333333)</f>
        <v>46252.64583</v>
      </c>
      <c r="C84" s="193">
        <f>IFERROR(__xludf.DUMMYFUNCTION("""COMPUTED_VALUE"""),1094.3)</f>
        <v>1094.3</v>
      </c>
      <c r="D84" s="9"/>
      <c r="E84" s="217">
        <f>IFERROR(__xludf.DUMMYFUNCTION("""COMPUTED_VALUE"""),46252.64583333333)</f>
        <v>46252.64583</v>
      </c>
      <c r="F84" s="193">
        <f>IFERROR(__xludf.DUMMYFUNCTION("""COMPUTED_VALUE"""),2011.2)</f>
        <v>2011.2</v>
      </c>
      <c r="G84" s="9"/>
      <c r="H84" s="29">
        <f t="shared" si="3"/>
        <v>0.5441030231</v>
      </c>
      <c r="I84" s="1">
        <f t="shared" si="4"/>
        <v>-916.9</v>
      </c>
      <c r="J84" s="113">
        <f t="shared" si="5"/>
        <v>-1.199456888</v>
      </c>
      <c r="K84" s="199">
        <f t="shared" si="6"/>
        <v>0.5441030231</v>
      </c>
      <c r="L84" s="213">
        <f t="shared" si="7"/>
        <v>1089.67</v>
      </c>
      <c r="M84" s="210">
        <f t="shared" si="8"/>
        <v>0.004231015261</v>
      </c>
      <c r="N84" s="213">
        <f t="shared" si="9"/>
        <v>1992.575</v>
      </c>
      <c r="O84" s="210">
        <f t="shared" si="10"/>
        <v>0.009260640414</v>
      </c>
      <c r="P84" s="210">
        <f t="shared" si="11"/>
        <v>-0.005029625153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217">
        <f>IFERROR(__xludf.DUMMYFUNCTION("""COMPUTED_VALUE"""),46253.64583333333)</f>
        <v>46253.64583</v>
      </c>
      <c r="C85" s="193">
        <f>IFERROR(__xludf.DUMMYFUNCTION("""COMPUTED_VALUE"""),1080.2)</f>
        <v>1080.2</v>
      </c>
      <c r="D85" s="9"/>
      <c r="E85" s="217">
        <f>IFERROR(__xludf.DUMMYFUNCTION("""COMPUTED_VALUE"""),46253.64583333333)</f>
        <v>46253.64583</v>
      </c>
      <c r="F85" s="193">
        <f>IFERROR(__xludf.DUMMYFUNCTION("""COMPUTED_VALUE"""),2012.0)</f>
        <v>2012</v>
      </c>
      <c r="G85" s="9"/>
      <c r="H85" s="29">
        <f t="shared" si="3"/>
        <v>0.5368787276</v>
      </c>
      <c r="I85" s="1">
        <f t="shared" si="4"/>
        <v>-931.8</v>
      </c>
      <c r="J85" s="113">
        <f t="shared" si="5"/>
        <v>-1.481830676</v>
      </c>
      <c r="K85" s="199">
        <f t="shared" si="6"/>
        <v>0.5368787276</v>
      </c>
      <c r="L85" s="213">
        <f t="shared" si="7"/>
        <v>1090.665</v>
      </c>
      <c r="M85" s="210">
        <f t="shared" si="8"/>
        <v>-0.009688020737</v>
      </c>
      <c r="N85" s="213">
        <f t="shared" si="9"/>
        <v>1999.355</v>
      </c>
      <c r="O85" s="210">
        <f t="shared" si="10"/>
        <v>0.006284791252</v>
      </c>
      <c r="P85" s="210">
        <f t="shared" si="11"/>
        <v>-0.01597281199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217">
        <f>IFERROR(__xludf.DUMMYFUNCTION("""COMPUTED_VALUE"""),46254.64583333333)</f>
        <v>46254.64583</v>
      </c>
      <c r="C86" s="193">
        <f>IFERROR(__xludf.DUMMYFUNCTION("""COMPUTED_VALUE"""),1095.0)</f>
        <v>1095</v>
      </c>
      <c r="D86" s="9"/>
      <c r="E86" s="217">
        <f>IFERROR(__xludf.DUMMYFUNCTION("""COMPUTED_VALUE"""),46254.64583333333)</f>
        <v>46254.64583</v>
      </c>
      <c r="F86" s="193">
        <f>IFERROR(__xludf.DUMMYFUNCTION("""COMPUTED_VALUE"""),2016.0)</f>
        <v>2016</v>
      </c>
      <c r="G86" s="9"/>
      <c r="H86" s="29">
        <f t="shared" si="3"/>
        <v>0.5431547619</v>
      </c>
      <c r="I86" s="1">
        <f t="shared" si="4"/>
        <v>-921</v>
      </c>
      <c r="J86" s="113">
        <f t="shared" si="5"/>
        <v>-1.277157058</v>
      </c>
      <c r="K86" s="199">
        <f t="shared" si="6"/>
        <v>0.5431547619</v>
      </c>
      <c r="L86" s="213">
        <f t="shared" si="7"/>
        <v>1093.425</v>
      </c>
      <c r="M86" s="210">
        <f t="shared" si="8"/>
        <v>0.001438356164</v>
      </c>
      <c r="N86" s="213">
        <f t="shared" si="9"/>
        <v>2005.685</v>
      </c>
      <c r="O86" s="210">
        <f t="shared" si="10"/>
        <v>0.00511656746</v>
      </c>
      <c r="P86" s="210">
        <f t="shared" si="11"/>
        <v>-0.003678211296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217">
        <f>IFERROR(__xludf.DUMMYFUNCTION("""COMPUTED_VALUE"""),46255.64583333333)</f>
        <v>46255.64583</v>
      </c>
      <c r="C87" s="193">
        <f>IFERROR(__xludf.DUMMYFUNCTION("""COMPUTED_VALUE"""),1095.0)</f>
        <v>1095</v>
      </c>
      <c r="D87" s="9"/>
      <c r="E87" s="217">
        <f>IFERROR(__xludf.DUMMYFUNCTION("""COMPUTED_VALUE"""),46255.64583333333)</f>
        <v>46255.64583</v>
      </c>
      <c r="F87" s="193">
        <f>IFERROR(__xludf.DUMMYFUNCTION("""COMPUTED_VALUE"""),2032.5)</f>
        <v>2032.5</v>
      </c>
      <c r="G87" s="9"/>
      <c r="H87" s="29">
        <f t="shared" si="3"/>
        <v>0.5387453875</v>
      </c>
      <c r="I87" s="1">
        <f t="shared" si="4"/>
        <v>-937.5</v>
      </c>
      <c r="J87" s="113">
        <f t="shared" si="5"/>
        <v>-1.589852863</v>
      </c>
      <c r="K87" s="199">
        <f t="shared" si="6"/>
        <v>0.5387453875</v>
      </c>
      <c r="L87" s="213">
        <f t="shared" si="7"/>
        <v>1097.535</v>
      </c>
      <c r="M87" s="210">
        <f t="shared" si="8"/>
        <v>-0.002315068493</v>
      </c>
      <c r="N87" s="213">
        <f t="shared" si="9"/>
        <v>2013.475</v>
      </c>
      <c r="O87" s="210">
        <f t="shared" si="10"/>
        <v>0.009360393604</v>
      </c>
      <c r="P87" s="210">
        <f t="shared" si="11"/>
        <v>-0.0116754621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217">
        <f>IFERROR(__xludf.DUMMYFUNCTION("""COMPUTED_VALUE"""),46258.64583333333)</f>
        <v>46258.64583</v>
      </c>
      <c r="C88" s="193">
        <f>IFERROR(__xludf.DUMMYFUNCTION("""COMPUTED_VALUE"""),1077.0)</f>
        <v>1077</v>
      </c>
      <c r="D88" s="9"/>
      <c r="E88" s="217">
        <f>IFERROR(__xludf.DUMMYFUNCTION("""COMPUTED_VALUE"""),46258.64583333333)</f>
        <v>46258.64583</v>
      </c>
      <c r="F88" s="193">
        <f>IFERROR(__xludf.DUMMYFUNCTION("""COMPUTED_VALUE"""),2001.7)</f>
        <v>2001.7</v>
      </c>
      <c r="G88" s="9"/>
      <c r="H88" s="29">
        <f t="shared" si="3"/>
        <v>0.5380426637</v>
      </c>
      <c r="I88" s="1">
        <f t="shared" si="4"/>
        <v>-924.7</v>
      </c>
      <c r="J88" s="113">
        <f t="shared" si="5"/>
        <v>-1.347276723</v>
      </c>
      <c r="K88" s="199">
        <f t="shared" si="6"/>
        <v>0.5380426637</v>
      </c>
      <c r="L88" s="213">
        <f t="shared" si="7"/>
        <v>1098.97</v>
      </c>
      <c r="M88" s="210">
        <f t="shared" si="8"/>
        <v>-0.0203992572</v>
      </c>
      <c r="N88" s="213">
        <f t="shared" si="9"/>
        <v>2017.91</v>
      </c>
      <c r="O88" s="210">
        <f t="shared" si="10"/>
        <v>-0.008098116601</v>
      </c>
      <c r="P88" s="210">
        <f t="shared" si="11"/>
        <v>-0.0123011406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217">
        <f>IFERROR(__xludf.DUMMYFUNCTION("""COMPUTED_VALUE"""),46259.64583333333)</f>
        <v>46259.64583</v>
      </c>
      <c r="C89" s="193">
        <f>IFERROR(__xludf.DUMMYFUNCTION("""COMPUTED_VALUE"""),1087.4)</f>
        <v>1087.4</v>
      </c>
      <c r="D89" s="9"/>
      <c r="E89" s="217">
        <f>IFERROR(__xludf.DUMMYFUNCTION("""COMPUTED_VALUE"""),46259.64583333333)</f>
        <v>46259.64583</v>
      </c>
      <c r="F89" s="193">
        <f>IFERROR(__xludf.DUMMYFUNCTION("""COMPUTED_VALUE"""),2004.0)</f>
        <v>2004</v>
      </c>
      <c r="G89" s="9"/>
      <c r="H89" s="29">
        <f t="shared" si="3"/>
        <v>0.5426147705</v>
      </c>
      <c r="I89" s="1">
        <f t="shared" si="4"/>
        <v>-916.6</v>
      </c>
      <c r="J89" s="113">
        <f t="shared" si="5"/>
        <v>-1.19377151</v>
      </c>
      <c r="K89" s="199">
        <f t="shared" si="6"/>
        <v>0.5426147705</v>
      </c>
      <c r="L89" s="213">
        <f t="shared" si="7"/>
        <v>1100.92</v>
      </c>
      <c r="M89" s="210">
        <f t="shared" si="8"/>
        <v>-0.0124333272</v>
      </c>
      <c r="N89" s="213">
        <f t="shared" si="9"/>
        <v>2021.715</v>
      </c>
      <c r="O89" s="210">
        <f t="shared" si="10"/>
        <v>-0.008839820359</v>
      </c>
      <c r="P89" s="210">
        <f t="shared" si="11"/>
        <v>-0.003593506843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217">
        <f>IFERROR(__xludf.DUMMYFUNCTION("""COMPUTED_VALUE"""),46260.64583333333)</f>
        <v>46260.64583</v>
      </c>
      <c r="C90" s="193">
        <f>IFERROR(__xludf.DUMMYFUNCTION("""COMPUTED_VALUE"""),1085.0)</f>
        <v>1085</v>
      </c>
      <c r="D90" s="209"/>
      <c r="E90" s="217">
        <f>IFERROR(__xludf.DUMMYFUNCTION("""COMPUTED_VALUE"""),46260.64583333333)</f>
        <v>46260.64583</v>
      </c>
      <c r="F90" s="193">
        <f>IFERROR(__xludf.DUMMYFUNCTION("""COMPUTED_VALUE"""),2010.0)</f>
        <v>2010</v>
      </c>
      <c r="G90" s="9"/>
      <c r="H90" s="29">
        <f t="shared" si="3"/>
        <v>0.539800995</v>
      </c>
      <c r="I90" s="1">
        <f t="shared" si="4"/>
        <v>-925</v>
      </c>
      <c r="J90" s="113">
        <f t="shared" si="5"/>
        <v>-1.352962102</v>
      </c>
      <c r="K90" s="199">
        <f t="shared" si="6"/>
        <v>0.539800995</v>
      </c>
      <c r="L90" s="213">
        <f t="shared" si="7"/>
        <v>1102.45</v>
      </c>
      <c r="M90" s="210">
        <f t="shared" si="8"/>
        <v>-0.01608294931</v>
      </c>
      <c r="N90" s="213">
        <f t="shared" si="9"/>
        <v>2025.995</v>
      </c>
      <c r="O90" s="210">
        <f t="shared" si="10"/>
        <v>-0.007957711443</v>
      </c>
      <c r="P90" s="210">
        <f t="shared" si="11"/>
        <v>-0.008125237866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217">
        <f>IFERROR(__xludf.DUMMYFUNCTION("""COMPUTED_VALUE"""),46261.64583333333)</f>
        <v>46261.64583</v>
      </c>
      <c r="C91" s="193">
        <f>IFERROR(__xludf.DUMMYFUNCTION("""COMPUTED_VALUE"""),1083.0)</f>
        <v>1083</v>
      </c>
      <c r="D91" s="9"/>
      <c r="E91" s="217">
        <f>IFERROR(__xludf.DUMMYFUNCTION("""COMPUTED_VALUE"""),46261.64583333333)</f>
        <v>46261.64583</v>
      </c>
      <c r="F91" s="193">
        <f>IFERROR(__xludf.DUMMYFUNCTION("""COMPUTED_VALUE"""),2011.0)</f>
        <v>2011</v>
      </c>
      <c r="G91" s="9"/>
      <c r="H91" s="29">
        <f t="shared" si="3"/>
        <v>0.5385380408</v>
      </c>
      <c r="I91" s="1">
        <f t="shared" si="4"/>
        <v>-928</v>
      </c>
      <c r="J91" s="113">
        <f t="shared" si="5"/>
        <v>-1.409815884</v>
      </c>
      <c r="K91" s="199">
        <f t="shared" si="6"/>
        <v>0.5385380408</v>
      </c>
      <c r="L91" s="213">
        <f t="shared" si="7"/>
        <v>1103.925</v>
      </c>
      <c r="M91" s="210">
        <f t="shared" si="8"/>
        <v>-0.01932132964</v>
      </c>
      <c r="N91" s="213">
        <f t="shared" si="9"/>
        <v>2031.075</v>
      </c>
      <c r="O91" s="210">
        <f t="shared" si="10"/>
        <v>-0.009982595724</v>
      </c>
      <c r="P91" s="210">
        <f t="shared" si="11"/>
        <v>-0.009338733916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217">
        <f>IFERROR(__xludf.DUMMYFUNCTION("""COMPUTED_VALUE"""),46262.64583333333)</f>
        <v>46262.64583</v>
      </c>
      <c r="C92" s="193">
        <f>IFERROR(__xludf.DUMMYFUNCTION("""COMPUTED_VALUE"""),1079.9)</f>
        <v>1079.9</v>
      </c>
      <c r="D92" s="9"/>
      <c r="E92" s="217">
        <f>IFERROR(__xludf.DUMMYFUNCTION("""COMPUTED_VALUE"""),46262.64583333333)</f>
        <v>46262.64583</v>
      </c>
      <c r="F92" s="193">
        <f>IFERROR(__xludf.DUMMYFUNCTION("""COMPUTED_VALUE"""),2002.0)</f>
        <v>2002</v>
      </c>
      <c r="G92" s="9"/>
      <c r="H92" s="29">
        <f t="shared" si="3"/>
        <v>0.5394105894</v>
      </c>
      <c r="I92" s="1">
        <f t="shared" si="4"/>
        <v>-922.1</v>
      </c>
      <c r="J92" s="113">
        <f t="shared" si="5"/>
        <v>-1.298003445</v>
      </c>
      <c r="K92" s="199">
        <f t="shared" si="6"/>
        <v>0.5394105894</v>
      </c>
      <c r="L92" s="213">
        <f t="shared" si="7"/>
        <v>1100.86</v>
      </c>
      <c r="M92" s="210">
        <f t="shared" si="8"/>
        <v>-0.01940920456</v>
      </c>
      <c r="N92" s="213">
        <f t="shared" si="9"/>
        <v>2029.72</v>
      </c>
      <c r="O92" s="210">
        <f t="shared" si="10"/>
        <v>-0.01384615385</v>
      </c>
      <c r="P92" s="210">
        <f t="shared" si="11"/>
        <v>-0.00556305071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217">
        <f>IFERROR(__xludf.DUMMYFUNCTION("""COMPUTED_VALUE"""),46265.64583333333)</f>
        <v>46265.64583</v>
      </c>
      <c r="C93" s="193">
        <f>IFERROR(__xludf.DUMMYFUNCTION("""COMPUTED_VALUE"""),1057.0)</f>
        <v>1057</v>
      </c>
      <c r="D93" s="9"/>
      <c r="E93" s="217">
        <f>IFERROR(__xludf.DUMMYFUNCTION("""COMPUTED_VALUE"""),46265.64583333333)</f>
        <v>46265.64583</v>
      </c>
      <c r="F93" s="193">
        <f>IFERROR(__xludf.DUMMYFUNCTION("""COMPUTED_VALUE"""),2021.0)</f>
        <v>2021</v>
      </c>
      <c r="G93" s="9"/>
      <c r="H93" s="29">
        <f t="shared" si="3"/>
        <v>0.5230084117</v>
      </c>
      <c r="I93" s="1">
        <f t="shared" si="4"/>
        <v>-964</v>
      </c>
      <c r="J93" s="113">
        <f t="shared" si="5"/>
        <v>-2.092061277</v>
      </c>
      <c r="K93" s="199">
        <f t="shared" si="6"/>
        <v>0.5230084117</v>
      </c>
      <c r="L93" s="213">
        <f t="shared" si="7"/>
        <v>1096.06</v>
      </c>
      <c r="M93" s="210">
        <f t="shared" si="8"/>
        <v>-0.03695364238</v>
      </c>
      <c r="N93" s="213">
        <f t="shared" si="9"/>
        <v>2025.97</v>
      </c>
      <c r="O93" s="210">
        <f t="shared" si="10"/>
        <v>-0.002459178624</v>
      </c>
      <c r="P93" s="210">
        <f t="shared" si="11"/>
        <v>-0.03449446376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217">
        <f>IFERROR(__xludf.DUMMYFUNCTION("""COMPUTED_VALUE"""),46266.64583333333)</f>
        <v>46266.64583</v>
      </c>
      <c r="C94" s="193">
        <f>IFERROR(__xludf.DUMMYFUNCTION("""COMPUTED_VALUE"""),1053.9)</f>
        <v>1053.9</v>
      </c>
      <c r="D94" s="9"/>
      <c r="E94" s="217">
        <f>IFERROR(__xludf.DUMMYFUNCTION("""COMPUTED_VALUE"""),46266.64583333333)</f>
        <v>46266.64583</v>
      </c>
      <c r="F94" s="193">
        <f>IFERROR(__xludf.DUMMYFUNCTION("""COMPUTED_VALUE"""),1972.0)</f>
        <v>1972</v>
      </c>
      <c r="G94" s="9"/>
      <c r="H94" s="29">
        <f t="shared" si="3"/>
        <v>0.5344320487</v>
      </c>
      <c r="I94" s="1">
        <f t="shared" si="4"/>
        <v>-918.1</v>
      </c>
      <c r="J94" s="113">
        <f t="shared" si="5"/>
        <v>-1.222198401</v>
      </c>
      <c r="K94" s="199">
        <f t="shared" si="6"/>
        <v>0.5344320487</v>
      </c>
      <c r="L94" s="213">
        <f t="shared" si="7"/>
        <v>1091.305</v>
      </c>
      <c r="M94" s="210">
        <f t="shared" si="8"/>
        <v>-0.03549198216</v>
      </c>
      <c r="N94" s="213">
        <f t="shared" si="9"/>
        <v>2019.32</v>
      </c>
      <c r="O94" s="210">
        <f t="shared" si="10"/>
        <v>-0.0239959432</v>
      </c>
      <c r="P94" s="210">
        <f t="shared" si="11"/>
        <v>-0.01149603896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232">
        <f>IFERROR(__xludf.DUMMYFUNCTION("""COMPUTED_VALUE"""),46267.64583333333)</f>
        <v>46267.64583</v>
      </c>
      <c r="C95" s="193">
        <f>IFERROR(__xludf.DUMMYFUNCTION("""COMPUTED_VALUE"""),1055.9)</f>
        <v>1055.9</v>
      </c>
      <c r="D95" s="9"/>
      <c r="E95" s="217">
        <f>IFERROR(__xludf.DUMMYFUNCTION("""COMPUTED_VALUE"""),46267.64583333333)</f>
        <v>46267.64583</v>
      </c>
      <c r="F95" s="193">
        <f>IFERROR(__xludf.DUMMYFUNCTION("""COMPUTED_VALUE"""),1990.0)</f>
        <v>1990</v>
      </c>
      <c r="G95" s="9"/>
      <c r="H95" s="29">
        <f t="shared" si="3"/>
        <v>0.5306030151</v>
      </c>
      <c r="I95" s="1">
        <f t="shared" si="4"/>
        <v>-934.1</v>
      </c>
      <c r="J95" s="113">
        <f t="shared" si="5"/>
        <v>-1.525418576</v>
      </c>
      <c r="K95" s="199">
        <f t="shared" si="6"/>
        <v>0.5306030151</v>
      </c>
      <c r="L95" s="213">
        <f t="shared" si="7"/>
        <v>1086.16</v>
      </c>
      <c r="M95" s="210">
        <f t="shared" si="8"/>
        <v>-0.02865801686</v>
      </c>
      <c r="N95" s="213">
        <f t="shared" si="9"/>
        <v>2014.52</v>
      </c>
      <c r="O95" s="210">
        <f t="shared" si="10"/>
        <v>-0.01232160804</v>
      </c>
      <c r="P95" s="210">
        <f t="shared" si="11"/>
        <v>-0.01633640882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217">
        <f>IFERROR(__xludf.DUMMYFUNCTION("""COMPUTED_VALUE"""),46268.64583333333)</f>
        <v>46268.64583</v>
      </c>
      <c r="C96" s="193">
        <f>IFERROR(__xludf.DUMMYFUNCTION("""COMPUTED_VALUE"""),1049.0)</f>
        <v>1049</v>
      </c>
      <c r="D96" s="9"/>
      <c r="E96" s="217">
        <f>IFERROR(__xludf.DUMMYFUNCTION("""COMPUTED_VALUE"""),46268.64583333333)</f>
        <v>46268.64583</v>
      </c>
      <c r="F96" s="193">
        <f>IFERROR(__xludf.DUMMYFUNCTION("""COMPUTED_VALUE"""),1992.1)</f>
        <v>1992.1</v>
      </c>
      <c r="G96" s="9"/>
      <c r="H96" s="29">
        <f t="shared" si="3"/>
        <v>0.526579991</v>
      </c>
      <c r="I96" s="1">
        <f t="shared" si="4"/>
        <v>-943.1</v>
      </c>
      <c r="J96" s="113">
        <f t="shared" si="5"/>
        <v>-1.695979924</v>
      </c>
      <c r="K96" s="199">
        <f t="shared" si="6"/>
        <v>0.526579991</v>
      </c>
      <c r="L96" s="213">
        <f t="shared" si="7"/>
        <v>1081.37</v>
      </c>
      <c r="M96" s="210">
        <f t="shared" si="8"/>
        <v>-0.03085795996</v>
      </c>
      <c r="N96" s="213">
        <f t="shared" si="9"/>
        <v>2009.825</v>
      </c>
      <c r="O96" s="210">
        <f t="shared" si="10"/>
        <v>-0.008897645701</v>
      </c>
      <c r="P96" s="210">
        <f t="shared" si="11"/>
        <v>-0.02196031426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217">
        <f>IFERROR(__xludf.DUMMYFUNCTION("""COMPUTED_VALUE"""),46269.64583333333)</f>
        <v>46269.64583</v>
      </c>
      <c r="C97" s="193">
        <f>IFERROR(__xludf.DUMMYFUNCTION("""COMPUTED_VALUE"""),1060.5)</f>
        <v>1060.5</v>
      </c>
      <c r="D97" s="9"/>
      <c r="E97" s="217">
        <f>IFERROR(__xludf.DUMMYFUNCTION("""COMPUTED_VALUE"""),46269.64583333333)</f>
        <v>46269.64583</v>
      </c>
      <c r="F97" s="193">
        <f>IFERROR(__xludf.DUMMYFUNCTION("""COMPUTED_VALUE"""),1970.0)</f>
        <v>1970</v>
      </c>
      <c r="G97" s="9"/>
      <c r="H97" s="29">
        <f t="shared" si="3"/>
        <v>0.5383248731</v>
      </c>
      <c r="I97" s="1">
        <f t="shared" si="4"/>
        <v>-909.5</v>
      </c>
      <c r="J97" s="113">
        <f t="shared" si="5"/>
        <v>-1.059217557</v>
      </c>
      <c r="K97" s="199">
        <f t="shared" si="6"/>
        <v>0.5383248731</v>
      </c>
      <c r="L97" s="213">
        <f t="shared" si="7"/>
        <v>1080.495</v>
      </c>
      <c r="M97" s="210">
        <f t="shared" si="8"/>
        <v>-0.018854314</v>
      </c>
      <c r="N97" s="213">
        <f t="shared" si="9"/>
        <v>2007.88</v>
      </c>
      <c r="O97" s="210">
        <f t="shared" si="10"/>
        <v>-0.0192284264</v>
      </c>
      <c r="P97" s="210">
        <f t="shared" si="11"/>
        <v>0.0003741123931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217">
        <f>IFERROR(__xludf.DUMMYFUNCTION("""COMPUTED_VALUE"""),46272.64583333333)</f>
        <v>46272.64583</v>
      </c>
      <c r="C98" s="193">
        <f>IFERROR(__xludf.DUMMYFUNCTION("""COMPUTED_VALUE"""),1060.0)</f>
        <v>1060</v>
      </c>
      <c r="D98" s="9"/>
      <c r="E98" s="217">
        <f>IFERROR(__xludf.DUMMYFUNCTION("""COMPUTED_VALUE"""),46272.64583333333)</f>
        <v>46272.64583</v>
      </c>
      <c r="F98" s="193">
        <f>IFERROR(__xludf.DUMMYFUNCTION("""COMPUTED_VALUE"""),1938.6)</f>
        <v>1938.6</v>
      </c>
      <c r="G98" s="9"/>
      <c r="H98" s="29">
        <f t="shared" si="3"/>
        <v>0.5467863407</v>
      </c>
      <c r="I98" s="1">
        <f t="shared" si="4"/>
        <v>-878.6</v>
      </c>
      <c r="J98" s="113">
        <f t="shared" si="5"/>
        <v>-0.4736235955</v>
      </c>
      <c r="K98" s="199">
        <f t="shared" si="6"/>
        <v>0.5467863407</v>
      </c>
      <c r="L98" s="213">
        <f t="shared" si="7"/>
        <v>1078.385</v>
      </c>
      <c r="M98" s="210">
        <f t="shared" si="8"/>
        <v>-0.01734433962</v>
      </c>
      <c r="N98" s="213">
        <f t="shared" si="9"/>
        <v>2003.745</v>
      </c>
      <c r="O98" s="210">
        <f t="shared" si="10"/>
        <v>-0.03360414732</v>
      </c>
      <c r="P98" s="210">
        <f t="shared" si="11"/>
        <v>0.0162598077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232">
        <f>IFERROR(__xludf.DUMMYFUNCTION("""COMPUTED_VALUE"""),46273.64583333333)</f>
        <v>46273.64583</v>
      </c>
      <c r="C99" s="193">
        <f>IFERROR(__xludf.DUMMYFUNCTION("""COMPUTED_VALUE"""),1054.1)</f>
        <v>1054.1</v>
      </c>
      <c r="D99" s="9"/>
      <c r="E99" s="217">
        <f>IFERROR(__xludf.DUMMYFUNCTION("""COMPUTED_VALUE"""),46273.64583333333)</f>
        <v>46273.64583</v>
      </c>
      <c r="F99" s="193">
        <f>IFERROR(__xludf.DUMMYFUNCTION("""COMPUTED_VALUE"""),1938.1)</f>
        <v>1938.1</v>
      </c>
      <c r="G99" s="9"/>
      <c r="H99" s="29">
        <f t="shared" si="3"/>
        <v>0.5438831846</v>
      </c>
      <c r="I99" s="1">
        <f t="shared" si="4"/>
        <v>-884</v>
      </c>
      <c r="J99" s="113">
        <f t="shared" si="5"/>
        <v>-0.5759604044</v>
      </c>
      <c r="K99" s="199">
        <f t="shared" si="6"/>
        <v>0.5438831846</v>
      </c>
      <c r="L99" s="213">
        <f t="shared" si="7"/>
        <v>1076.425</v>
      </c>
      <c r="M99" s="210">
        <f t="shared" si="8"/>
        <v>-0.02117920501</v>
      </c>
      <c r="N99" s="213">
        <f t="shared" si="9"/>
        <v>1999.05</v>
      </c>
      <c r="O99" s="210">
        <f t="shared" si="10"/>
        <v>-0.03144832568</v>
      </c>
      <c r="P99" s="210">
        <f t="shared" si="11"/>
        <v>0.01026912067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232">
        <f>IFERROR(__xludf.DUMMYFUNCTION("""COMPUTED_VALUE"""),46274.64583333333)</f>
        <v>46274.64583</v>
      </c>
      <c r="C100" s="193">
        <f>IFERROR(__xludf.DUMMYFUNCTION("""COMPUTED_VALUE"""),1039.3)</f>
        <v>1039.3</v>
      </c>
      <c r="D100" s="9"/>
      <c r="E100" s="217">
        <f>IFERROR(__xludf.DUMMYFUNCTION("""COMPUTED_VALUE"""),46274.64583333333)</f>
        <v>46274.64583</v>
      </c>
      <c r="F100" s="193">
        <f>IFERROR(__xludf.DUMMYFUNCTION("""COMPUTED_VALUE"""),1927.0)</f>
        <v>1927</v>
      </c>
      <c r="G100" s="9"/>
      <c r="H100" s="29">
        <f t="shared" si="3"/>
        <v>0.5393357551</v>
      </c>
      <c r="I100" s="1">
        <f t="shared" si="4"/>
        <v>-887.7</v>
      </c>
      <c r="J100" s="113">
        <f t="shared" si="5"/>
        <v>-0.6460800697</v>
      </c>
      <c r="K100" s="199">
        <f t="shared" si="6"/>
        <v>0.5393357551</v>
      </c>
      <c r="L100" s="213">
        <f t="shared" si="7"/>
        <v>1073.68</v>
      </c>
      <c r="M100" s="210">
        <f t="shared" si="8"/>
        <v>-0.03307995766</v>
      </c>
      <c r="N100" s="213">
        <f t="shared" si="9"/>
        <v>1994.375</v>
      </c>
      <c r="O100" s="210">
        <f t="shared" si="10"/>
        <v>-0.0349636741</v>
      </c>
      <c r="P100" s="210">
        <f t="shared" si="11"/>
        <v>0.001883716441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217">
        <f>IFERROR(__xludf.DUMMYFUNCTION("""COMPUTED_VALUE"""),46275.64583333333)</f>
        <v>46275.64583</v>
      </c>
      <c r="C101" s="193">
        <f>IFERROR(__xludf.DUMMYFUNCTION("""COMPUTED_VALUE"""),1043.5)</f>
        <v>1043.5</v>
      </c>
      <c r="D101" s="9"/>
      <c r="E101" s="217">
        <f>IFERROR(__xludf.DUMMYFUNCTION("""COMPUTED_VALUE"""),46275.64583333333)</f>
        <v>46275.64583</v>
      </c>
      <c r="F101" s="193">
        <f>IFERROR(__xludf.DUMMYFUNCTION("""COMPUTED_VALUE"""),1940.5)</f>
        <v>1940.5</v>
      </c>
      <c r="G101" s="191"/>
      <c r="H101" s="29">
        <f t="shared" si="3"/>
        <v>0.5377480031</v>
      </c>
      <c r="I101" s="1">
        <f t="shared" si="4"/>
        <v>-897</v>
      </c>
      <c r="J101" s="113">
        <f t="shared" si="5"/>
        <v>-0.8223267962</v>
      </c>
      <c r="K101" s="199">
        <f t="shared" si="6"/>
        <v>0.5377480031</v>
      </c>
      <c r="L101" s="213">
        <f t="shared" si="7"/>
        <v>1071.315</v>
      </c>
      <c r="M101" s="210">
        <f t="shared" si="8"/>
        <v>-0.02665548634</v>
      </c>
      <c r="N101" s="213">
        <f t="shared" si="9"/>
        <v>1990.15</v>
      </c>
      <c r="O101" s="210">
        <f t="shared" si="10"/>
        <v>-0.02558618913</v>
      </c>
      <c r="P101" s="210">
        <f t="shared" si="11"/>
        <v>-0.001069297218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217">
        <f>IFERROR(__xludf.DUMMYFUNCTION("""COMPUTED_VALUE"""),46276.64583333333)</f>
        <v>46276.64583</v>
      </c>
      <c r="C102" s="193">
        <f>IFERROR(__xludf.DUMMYFUNCTION("""COMPUTED_VALUE"""),1034.5)</f>
        <v>1034.5</v>
      </c>
      <c r="D102" s="9"/>
      <c r="E102" s="217">
        <f>IFERROR(__xludf.DUMMYFUNCTION("""COMPUTED_VALUE"""),46276.64583333333)</f>
        <v>46276.64583</v>
      </c>
      <c r="F102" s="193">
        <f>IFERROR(__xludf.DUMMYFUNCTION("""COMPUTED_VALUE"""),1913.5)</f>
        <v>1913.5</v>
      </c>
      <c r="G102" s="191"/>
      <c r="H102" s="29">
        <f t="shared" si="3"/>
        <v>0.5406323491</v>
      </c>
      <c r="I102" s="1">
        <f t="shared" si="4"/>
        <v>-879</v>
      </c>
      <c r="J102" s="113">
        <f t="shared" si="5"/>
        <v>-0.4812040998</v>
      </c>
      <c r="K102" s="199">
        <f t="shared" si="6"/>
        <v>0.5406323491</v>
      </c>
      <c r="L102" s="213">
        <f t="shared" si="7"/>
        <v>1068.69</v>
      </c>
      <c r="M102" s="210">
        <f t="shared" si="8"/>
        <v>-0.0330497825</v>
      </c>
      <c r="N102" s="213">
        <f t="shared" si="9"/>
        <v>1985.41</v>
      </c>
      <c r="O102" s="210">
        <f t="shared" si="10"/>
        <v>-0.03758035014</v>
      </c>
      <c r="P102" s="210">
        <f t="shared" si="11"/>
        <v>0.00453056764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217">
        <f>IFERROR(__xludf.DUMMYFUNCTION("""COMPUTED_VALUE"""),46280.64583333333)</f>
        <v>46280.64583</v>
      </c>
      <c r="C103" s="193">
        <f>IFERROR(__xludf.DUMMYFUNCTION("""COMPUTED_VALUE"""),1009.2)</f>
        <v>1009.2</v>
      </c>
      <c r="D103" s="9"/>
      <c r="E103" s="217">
        <f>IFERROR(__xludf.DUMMYFUNCTION("""COMPUTED_VALUE"""),46280.64583333333)</f>
        <v>46280.64583</v>
      </c>
      <c r="F103" s="193">
        <f>IFERROR(__xludf.DUMMYFUNCTION("""COMPUTED_VALUE"""),1855.5)</f>
        <v>1855.5</v>
      </c>
      <c r="G103" s="191"/>
      <c r="H103" s="29">
        <f t="shared" si="3"/>
        <v>0.5438965238</v>
      </c>
      <c r="I103" s="1">
        <f t="shared" si="4"/>
        <v>-846.3</v>
      </c>
      <c r="J103" s="113">
        <f t="shared" si="5"/>
        <v>0.1385021318</v>
      </c>
      <c r="K103" s="199">
        <f t="shared" si="6"/>
        <v>0.5438965238</v>
      </c>
      <c r="L103" s="213">
        <f t="shared" si="7"/>
        <v>1064.685</v>
      </c>
      <c r="M103" s="210">
        <f t="shared" si="8"/>
        <v>-0.05497919144</v>
      </c>
      <c r="N103" s="213">
        <f t="shared" si="9"/>
        <v>1977.935</v>
      </c>
      <c r="O103" s="210">
        <f t="shared" si="10"/>
        <v>-0.06598490973</v>
      </c>
      <c r="P103" s="210">
        <f t="shared" si="11"/>
        <v>0.01100571829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217">
        <f>IFERROR(__xludf.DUMMYFUNCTION("""COMPUTED_VALUE"""),46281.64583333333)</f>
        <v>46281.64583</v>
      </c>
      <c r="C104" s="193">
        <f>IFERROR(__xludf.DUMMYFUNCTION("""COMPUTED_VALUE"""),1006.2)</f>
        <v>1006.2</v>
      </c>
      <c r="D104" s="9"/>
      <c r="E104" s="217">
        <f>IFERROR(__xludf.DUMMYFUNCTION("""COMPUTED_VALUE"""),46281.64583333333)</f>
        <v>46281.64583</v>
      </c>
      <c r="F104" s="193">
        <f>IFERROR(__xludf.DUMMYFUNCTION("""COMPUTED_VALUE"""),1837.0)</f>
        <v>1837</v>
      </c>
      <c r="G104" s="191"/>
      <c r="H104" s="29">
        <f t="shared" si="3"/>
        <v>0.5477408819</v>
      </c>
      <c r="I104" s="1">
        <f t="shared" si="4"/>
        <v>-830.8</v>
      </c>
      <c r="J104" s="113">
        <f t="shared" si="5"/>
        <v>0.4322466758</v>
      </c>
      <c r="K104" s="199">
        <f t="shared" si="6"/>
        <v>0.5477408819</v>
      </c>
      <c r="L104" s="213">
        <f t="shared" si="7"/>
        <v>1060.28</v>
      </c>
      <c r="M104" s="210">
        <f t="shared" si="8"/>
        <v>-0.05374677003</v>
      </c>
      <c r="N104" s="213">
        <f t="shared" si="9"/>
        <v>1969.225</v>
      </c>
      <c r="O104" s="210">
        <f t="shared" si="10"/>
        <v>-0.07197876973</v>
      </c>
      <c r="P104" s="210">
        <f t="shared" si="11"/>
        <v>0.01823199971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217">
        <f>IFERROR(__xludf.DUMMYFUNCTION("""COMPUTED_VALUE"""),46282.64583333333)</f>
        <v>46282.64583</v>
      </c>
      <c r="C105" s="193">
        <f>IFERROR(__xludf.DUMMYFUNCTION("""COMPUTED_VALUE"""),1015.0)</f>
        <v>1015</v>
      </c>
      <c r="D105" s="9"/>
      <c r="E105" s="217">
        <f>IFERROR(__xludf.DUMMYFUNCTION("""COMPUTED_VALUE"""),46282.64583333333)</f>
        <v>46282.64583</v>
      </c>
      <c r="F105" s="193">
        <f>IFERROR(__xludf.DUMMYFUNCTION("""COMPUTED_VALUE"""),1859.2)</f>
        <v>1859.2</v>
      </c>
      <c r="G105" s="191"/>
      <c r="H105" s="29">
        <f t="shared" si="3"/>
        <v>0.5459337349</v>
      </c>
      <c r="I105" s="1">
        <f t="shared" si="4"/>
        <v>-844.2</v>
      </c>
      <c r="J105" s="113">
        <f t="shared" si="5"/>
        <v>0.1782997797</v>
      </c>
      <c r="K105" s="199">
        <f t="shared" si="6"/>
        <v>0.5459337349</v>
      </c>
      <c r="L105" s="213">
        <f t="shared" si="7"/>
        <v>1057.02</v>
      </c>
      <c r="M105" s="210">
        <f t="shared" si="8"/>
        <v>-0.04139901478</v>
      </c>
      <c r="N105" s="213">
        <f t="shared" si="9"/>
        <v>1961.585</v>
      </c>
      <c r="O105" s="210">
        <f t="shared" si="10"/>
        <v>-0.05506938468</v>
      </c>
      <c r="P105" s="210">
        <f t="shared" si="11"/>
        <v>0.0136703699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217">
        <f>IFERROR(__xludf.DUMMYFUNCTION("""COMPUTED_VALUE"""),46283.64583333333)</f>
        <v>46283.64583</v>
      </c>
      <c r="C106" s="193">
        <f>IFERROR(__xludf.DUMMYFUNCTION("""COMPUTED_VALUE"""),1040.3)</f>
        <v>1040.3</v>
      </c>
      <c r="D106" s="9"/>
      <c r="E106" s="217">
        <f>IFERROR(__xludf.DUMMYFUNCTION("""COMPUTED_VALUE"""),46283.64583333333)</f>
        <v>46283.64583</v>
      </c>
      <c r="F106" s="193">
        <f>IFERROR(__xludf.DUMMYFUNCTION("""COMPUTED_VALUE"""),1852.5)</f>
        <v>1852.5</v>
      </c>
      <c r="G106" s="191"/>
      <c r="H106" s="29">
        <f t="shared" si="3"/>
        <v>0.5615654521</v>
      </c>
      <c r="I106" s="1">
        <f t="shared" si="4"/>
        <v>-812.2</v>
      </c>
      <c r="J106" s="113">
        <f t="shared" si="5"/>
        <v>0.7847401287</v>
      </c>
      <c r="K106" s="199">
        <f t="shared" si="6"/>
        <v>0.5615654521</v>
      </c>
      <c r="L106" s="213">
        <f t="shared" si="7"/>
        <v>1054.285</v>
      </c>
      <c r="M106" s="210">
        <f t="shared" si="8"/>
        <v>-0.01344323753</v>
      </c>
      <c r="N106" s="213">
        <f t="shared" si="9"/>
        <v>1953.41</v>
      </c>
      <c r="O106" s="210">
        <f t="shared" si="10"/>
        <v>-0.05447233468</v>
      </c>
      <c r="P106" s="210">
        <f t="shared" si="11"/>
        <v>0.04102909716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217">
        <f>IFERROR(__xludf.DUMMYFUNCTION("""COMPUTED_VALUE"""),46286.64583333333)</f>
        <v>46286.64583</v>
      </c>
      <c r="C107" s="193">
        <f>IFERROR(__xludf.DUMMYFUNCTION("""COMPUTED_VALUE"""),1021.3)</f>
        <v>1021.3</v>
      </c>
      <c r="D107" s="9"/>
      <c r="E107" s="217">
        <f>IFERROR(__xludf.DUMMYFUNCTION("""COMPUTED_VALUE"""),46286.64583333333)</f>
        <v>46286.64583</v>
      </c>
      <c r="F107" s="193">
        <f>IFERROR(__xludf.DUMMYFUNCTION("""COMPUTED_VALUE"""),1849.8)</f>
        <v>1849.8</v>
      </c>
      <c r="G107" s="191"/>
      <c r="H107" s="29">
        <f t="shared" si="3"/>
        <v>0.552113742</v>
      </c>
      <c r="I107" s="1">
        <f t="shared" si="4"/>
        <v>-828.5</v>
      </c>
      <c r="J107" s="113">
        <f t="shared" si="5"/>
        <v>0.4758345759</v>
      </c>
      <c r="K107" s="199">
        <f t="shared" si="6"/>
        <v>0.552113742</v>
      </c>
      <c r="L107" s="213">
        <f t="shared" si="7"/>
        <v>1050.6</v>
      </c>
      <c r="M107" s="210">
        <f t="shared" si="8"/>
        <v>-0.02868892588</v>
      </c>
      <c r="N107" s="213">
        <f t="shared" si="9"/>
        <v>1944.275</v>
      </c>
      <c r="O107" s="210">
        <f t="shared" si="10"/>
        <v>-0.05107308898</v>
      </c>
      <c r="P107" s="210">
        <f t="shared" si="11"/>
        <v>0.0223841631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217">
        <f>IFERROR(__xludf.DUMMYFUNCTION("""COMPUTED_VALUE"""),46287.64583333333)</f>
        <v>46287.64583</v>
      </c>
      <c r="C108" s="193">
        <f>IFERROR(__xludf.DUMMYFUNCTION("""COMPUTED_VALUE"""),1008.8)</f>
        <v>1008.8</v>
      </c>
      <c r="D108" s="9"/>
      <c r="E108" s="217">
        <f>IFERROR(__xludf.DUMMYFUNCTION("""COMPUTED_VALUE"""),46287.64583333333)</f>
        <v>46287.64583</v>
      </c>
      <c r="F108" s="193">
        <f>IFERROR(__xludf.DUMMYFUNCTION("""COMPUTED_VALUE"""),1823.4)</f>
        <v>1823.4</v>
      </c>
      <c r="G108" s="191"/>
      <c r="H108" s="29">
        <f t="shared" si="3"/>
        <v>0.5532521663</v>
      </c>
      <c r="I108" s="1">
        <f t="shared" si="4"/>
        <v>-814.6</v>
      </c>
      <c r="J108" s="113">
        <f t="shared" si="5"/>
        <v>0.7392571025</v>
      </c>
      <c r="K108" s="199">
        <f t="shared" si="6"/>
        <v>0.5532521663</v>
      </c>
      <c r="L108" s="213">
        <f t="shared" si="7"/>
        <v>1047.19</v>
      </c>
      <c r="M108" s="210">
        <f t="shared" si="8"/>
        <v>-0.03805511499</v>
      </c>
      <c r="N108" s="213">
        <f t="shared" si="9"/>
        <v>1935.36</v>
      </c>
      <c r="O108" s="210">
        <f t="shared" si="10"/>
        <v>-0.0614017769</v>
      </c>
      <c r="P108" s="210">
        <f t="shared" si="11"/>
        <v>0.02334666191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217">
        <f>IFERROR(__xludf.DUMMYFUNCTION("""COMPUTED_VALUE"""),46288.64583333333)</f>
        <v>46288.64583</v>
      </c>
      <c r="C109" s="193">
        <f>IFERROR(__xludf.DUMMYFUNCTION("""COMPUTED_VALUE"""),1043.2)</f>
        <v>1043.2</v>
      </c>
      <c r="D109" s="9"/>
      <c r="E109" s="217">
        <f>IFERROR(__xludf.DUMMYFUNCTION("""COMPUTED_VALUE"""),46288.64583333333)</f>
        <v>46288.64583</v>
      </c>
      <c r="F109" s="193">
        <f>IFERROR(__xludf.DUMMYFUNCTION("""COMPUTED_VALUE"""),1846.5)</f>
        <v>1846.5</v>
      </c>
      <c r="G109" s="191"/>
      <c r="H109" s="29">
        <f t="shared" si="3"/>
        <v>0.5649607365</v>
      </c>
      <c r="I109" s="1">
        <f t="shared" si="4"/>
        <v>-803.3</v>
      </c>
      <c r="J109" s="113">
        <f t="shared" si="5"/>
        <v>0.9534063508</v>
      </c>
      <c r="K109" s="199">
        <f t="shared" si="6"/>
        <v>0.5649607365</v>
      </c>
      <c r="L109" s="213">
        <f t="shared" si="7"/>
        <v>1044.98</v>
      </c>
      <c r="M109" s="210">
        <f t="shared" si="8"/>
        <v>-0.001706288344</v>
      </c>
      <c r="N109" s="213">
        <f t="shared" si="9"/>
        <v>1927.485</v>
      </c>
      <c r="O109" s="210">
        <f t="shared" si="10"/>
        <v>-0.0438586515</v>
      </c>
      <c r="P109" s="210">
        <f t="shared" si="11"/>
        <v>0.04215236316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232">
        <f>IFERROR(__xludf.DUMMYFUNCTION("""COMPUTED_VALUE"""),46289.64583333333)</f>
        <v>46289.64583</v>
      </c>
      <c r="C110" s="193">
        <f>IFERROR(__xludf.DUMMYFUNCTION("""COMPUTED_VALUE"""),982.0)</f>
        <v>982</v>
      </c>
      <c r="D110" s="9"/>
      <c r="E110" s="217">
        <f>IFERROR(__xludf.DUMMYFUNCTION("""COMPUTED_VALUE"""),46289.64583333333)</f>
        <v>46289.64583</v>
      </c>
      <c r="F110" s="193">
        <f>IFERROR(__xludf.DUMMYFUNCTION("""COMPUTED_VALUE"""),1762.3)</f>
        <v>1762.3</v>
      </c>
      <c r="G110" s="191"/>
      <c r="H110" s="29">
        <f t="shared" si="3"/>
        <v>0.5572263519</v>
      </c>
      <c r="I110" s="1">
        <f t="shared" si="4"/>
        <v>-780.3</v>
      </c>
      <c r="J110" s="113">
        <f t="shared" si="5"/>
        <v>1.389285352</v>
      </c>
      <c r="K110" s="199">
        <f t="shared" si="6"/>
        <v>0.5572263519</v>
      </c>
      <c r="L110" s="213">
        <f t="shared" si="7"/>
        <v>1039.83</v>
      </c>
      <c r="M110" s="210">
        <f t="shared" si="8"/>
        <v>-0.05889002037</v>
      </c>
      <c r="N110" s="213">
        <f t="shared" si="9"/>
        <v>1915.1</v>
      </c>
      <c r="O110" s="210">
        <f t="shared" si="10"/>
        <v>-0.08670487431</v>
      </c>
      <c r="P110" s="210">
        <f t="shared" si="11"/>
        <v>0.02781485395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217">
        <f>IFERROR(__xludf.DUMMYFUNCTION("""COMPUTED_VALUE"""),46290.64583333333)</f>
        <v>46290.64583</v>
      </c>
      <c r="C111" s="193">
        <f>IFERROR(__xludf.DUMMYFUNCTION("""COMPUTED_VALUE"""),996.9)</f>
        <v>996.9</v>
      </c>
      <c r="D111" s="9"/>
      <c r="E111" s="217">
        <f>IFERROR(__xludf.DUMMYFUNCTION("""COMPUTED_VALUE"""),46290.64583333333)</f>
        <v>46290.64583</v>
      </c>
      <c r="F111" s="193">
        <f>IFERROR(__xludf.DUMMYFUNCTION("""COMPUTED_VALUE"""),1771.0)</f>
        <v>1771</v>
      </c>
      <c r="G111" s="191"/>
      <c r="H111" s="29">
        <f t="shared" si="3"/>
        <v>0.5629023151</v>
      </c>
      <c r="I111" s="1">
        <f t="shared" si="4"/>
        <v>-774.1</v>
      </c>
      <c r="J111" s="113">
        <f t="shared" si="5"/>
        <v>1.506783169</v>
      </c>
      <c r="K111" s="199">
        <f t="shared" si="6"/>
        <v>0.5629023151</v>
      </c>
      <c r="L111" s="213">
        <f t="shared" si="7"/>
        <v>1035.525</v>
      </c>
      <c r="M111" s="210">
        <f t="shared" si="8"/>
        <v>-0.03874510984</v>
      </c>
      <c r="N111" s="213">
        <f t="shared" si="9"/>
        <v>1903.1</v>
      </c>
      <c r="O111" s="210">
        <f t="shared" si="10"/>
        <v>-0.07459062676</v>
      </c>
      <c r="P111" s="210">
        <f t="shared" si="11"/>
        <v>0.03584551692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217">
        <f>IFERROR(__xludf.DUMMYFUNCTION("""COMPUTED_VALUE"""),46293.64583333333)</f>
        <v>46293.64583</v>
      </c>
      <c r="C112" s="193">
        <f>IFERROR(__xludf.DUMMYFUNCTION("""COMPUTED_VALUE"""),985.0)</f>
        <v>985</v>
      </c>
      <c r="D112" s="9"/>
      <c r="E112" s="217">
        <f>IFERROR(__xludf.DUMMYFUNCTION("""COMPUTED_VALUE"""),46293.64583333333)</f>
        <v>46293.64583</v>
      </c>
      <c r="F112" s="193">
        <f>IFERROR(__xludf.DUMMYFUNCTION("""COMPUTED_VALUE"""),1752.0)</f>
        <v>1752</v>
      </c>
      <c r="G112" s="191"/>
      <c r="H112" s="29">
        <f t="shared" si="3"/>
        <v>0.5622146119</v>
      </c>
      <c r="I112" s="1">
        <f t="shared" si="4"/>
        <v>-767</v>
      </c>
      <c r="J112" s="113">
        <f t="shared" si="5"/>
        <v>1.641337122</v>
      </c>
      <c r="K112" s="199">
        <f t="shared" si="6"/>
        <v>0.5622146119</v>
      </c>
      <c r="L112" s="213">
        <f t="shared" si="7"/>
        <v>1030.78</v>
      </c>
      <c r="M112" s="210">
        <f t="shared" si="8"/>
        <v>-0.04647715736</v>
      </c>
      <c r="N112" s="213">
        <f t="shared" si="9"/>
        <v>1890.6</v>
      </c>
      <c r="O112" s="210">
        <f t="shared" si="10"/>
        <v>-0.07910958904</v>
      </c>
      <c r="P112" s="210">
        <f t="shared" si="11"/>
        <v>0.03263243168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217">
        <f>IFERROR(__xludf.DUMMYFUNCTION("""COMPUTED_VALUE"""),46294.64583333333)</f>
        <v>46294.64583</v>
      </c>
      <c r="C113" s="193">
        <f>IFERROR(__xludf.DUMMYFUNCTION("""COMPUTED_VALUE"""),973.8)</f>
        <v>973.8</v>
      </c>
      <c r="D113" s="9"/>
      <c r="E113" s="217">
        <f>IFERROR(__xludf.DUMMYFUNCTION("""COMPUTED_VALUE"""),46294.64583333333)</f>
        <v>46294.64583</v>
      </c>
      <c r="F113" s="193">
        <f>IFERROR(__xludf.DUMMYFUNCTION("""COMPUTED_VALUE"""),1742.4)</f>
        <v>1742.4</v>
      </c>
      <c r="G113" s="191"/>
      <c r="H113" s="29">
        <f t="shared" si="3"/>
        <v>0.5588842975</v>
      </c>
      <c r="I113" s="1">
        <f t="shared" si="4"/>
        <v>-768.6</v>
      </c>
      <c r="J113" s="113">
        <f t="shared" si="5"/>
        <v>1.611015104</v>
      </c>
      <c r="K113" s="199">
        <f t="shared" si="6"/>
        <v>0.5588842975</v>
      </c>
      <c r="L113" s="213">
        <f t="shared" si="7"/>
        <v>1026.62</v>
      </c>
      <c r="M113" s="210">
        <f t="shared" si="8"/>
        <v>-0.05424111727</v>
      </c>
      <c r="N113" s="213">
        <f t="shared" si="9"/>
        <v>1876.67</v>
      </c>
      <c r="O113" s="210">
        <f t="shared" si="10"/>
        <v>-0.07706037649</v>
      </c>
      <c r="P113" s="210">
        <f t="shared" si="11"/>
        <v>0.02281925922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217">
        <f>IFERROR(__xludf.DUMMYFUNCTION("""COMPUTED_VALUE"""),46295.64583333333)</f>
        <v>46295.64583</v>
      </c>
      <c r="C114" s="193">
        <f>IFERROR(__xludf.DUMMYFUNCTION("""COMPUTED_VALUE"""),959.4)</f>
        <v>959.4</v>
      </c>
      <c r="D114" s="9"/>
      <c r="E114" s="217">
        <f>IFERROR(__xludf.DUMMYFUNCTION("""COMPUTED_VALUE"""),46295.64583333333)</f>
        <v>46295.64583</v>
      </c>
      <c r="F114" s="193">
        <f>IFERROR(__xludf.DUMMYFUNCTION("""COMPUTED_VALUE"""),1731.0)</f>
        <v>1731</v>
      </c>
      <c r="G114" s="191"/>
      <c r="H114" s="29">
        <f t="shared" si="3"/>
        <v>0.5542461005</v>
      </c>
      <c r="I114" s="1">
        <f t="shared" si="4"/>
        <v>-771.6</v>
      </c>
      <c r="J114" s="113">
        <f t="shared" si="5"/>
        <v>1.554161321</v>
      </c>
      <c r="K114" s="199">
        <f t="shared" si="6"/>
        <v>0.5542461005</v>
      </c>
      <c r="L114" s="213">
        <f t="shared" si="7"/>
        <v>1021.895</v>
      </c>
      <c r="M114" s="210">
        <f t="shared" si="8"/>
        <v>-0.06513967063</v>
      </c>
      <c r="N114" s="213">
        <f t="shared" si="9"/>
        <v>1864.62</v>
      </c>
      <c r="O114" s="210">
        <f t="shared" si="10"/>
        <v>-0.07719237435</v>
      </c>
      <c r="P114" s="210">
        <f t="shared" si="11"/>
        <v>0.01205270372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217">
        <f>IFERROR(__xludf.DUMMYFUNCTION("""COMPUTED_VALUE"""),46296.64583333333)</f>
        <v>46296.64583</v>
      </c>
      <c r="C115" s="193">
        <f>IFERROR(__xludf.DUMMYFUNCTION("""COMPUTED_VALUE"""),948.3)</f>
        <v>948.3</v>
      </c>
      <c r="D115" s="9"/>
      <c r="E115" s="217">
        <f>IFERROR(__xludf.DUMMYFUNCTION("""COMPUTED_VALUE"""),46296.64583333333)</f>
        <v>46296.64583</v>
      </c>
      <c r="F115" s="193">
        <f>IFERROR(__xludf.DUMMYFUNCTION("""COMPUTED_VALUE"""),1732.6)</f>
        <v>1732.6</v>
      </c>
      <c r="G115" s="191"/>
      <c r="H115" s="29">
        <f t="shared" si="3"/>
        <v>0.5473277156</v>
      </c>
      <c r="I115" s="1">
        <f t="shared" si="4"/>
        <v>-784.3</v>
      </c>
      <c r="J115" s="113">
        <f t="shared" si="5"/>
        <v>1.313480308</v>
      </c>
      <c r="K115" s="199">
        <f t="shared" si="6"/>
        <v>0.5473277156</v>
      </c>
      <c r="L115" s="213">
        <f t="shared" si="7"/>
        <v>1016.515</v>
      </c>
      <c r="M115" s="210">
        <f t="shared" si="8"/>
        <v>-0.07193398713</v>
      </c>
      <c r="N115" s="213">
        <f t="shared" si="9"/>
        <v>1851.75</v>
      </c>
      <c r="O115" s="210">
        <f t="shared" si="10"/>
        <v>-0.0687694794</v>
      </c>
      <c r="P115" s="210">
        <f t="shared" si="11"/>
        <v>-0.00316450774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217">
        <f>IFERROR(__xludf.DUMMYFUNCTION("""COMPUTED_VALUE"""),46300.64583333333)</f>
        <v>46300.64583</v>
      </c>
      <c r="C116" s="193">
        <f>IFERROR(__xludf.DUMMYFUNCTION("""COMPUTED_VALUE"""),970.0)</f>
        <v>970</v>
      </c>
      <c r="D116" s="9"/>
      <c r="E116" s="217">
        <f>IFERROR(__xludf.DUMMYFUNCTION("""COMPUTED_VALUE"""),46300.64583333333)</f>
        <v>46300.64583</v>
      </c>
      <c r="F116" s="193">
        <f>IFERROR(__xludf.DUMMYFUNCTION("""COMPUTED_VALUE"""),1751.4)</f>
        <v>1751.4</v>
      </c>
      <c r="G116" s="191"/>
      <c r="H116" s="29">
        <f t="shared" si="3"/>
        <v>0.5538426402</v>
      </c>
      <c r="I116" s="1">
        <f t="shared" si="4"/>
        <v>-781.4</v>
      </c>
      <c r="J116" s="113">
        <f t="shared" si="5"/>
        <v>1.368438965</v>
      </c>
      <c r="K116" s="199">
        <f t="shared" si="6"/>
        <v>0.5538426402</v>
      </c>
      <c r="L116" s="213">
        <f t="shared" si="7"/>
        <v>1012.565</v>
      </c>
      <c r="M116" s="210">
        <f t="shared" si="8"/>
        <v>-0.0438814433</v>
      </c>
      <c r="N116" s="213">
        <f t="shared" si="9"/>
        <v>1839.715</v>
      </c>
      <c r="O116" s="210">
        <f t="shared" si="10"/>
        <v>-0.05042537399</v>
      </c>
      <c r="P116" s="210">
        <f t="shared" si="11"/>
        <v>0.006543930688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217">
        <f>IFERROR(__xludf.DUMMYFUNCTION("""COMPUTED_VALUE"""),46301.64583333333)</f>
        <v>46301.64583</v>
      </c>
      <c r="C117" s="193">
        <f>IFERROR(__xludf.DUMMYFUNCTION("""COMPUTED_VALUE"""),963.1)</f>
        <v>963.1</v>
      </c>
      <c r="D117" s="9"/>
      <c r="E117" s="217">
        <f>IFERROR(__xludf.DUMMYFUNCTION("""COMPUTED_VALUE"""),46301.64583333333)</f>
        <v>46301.64583</v>
      </c>
      <c r="F117" s="193">
        <f>IFERROR(__xludf.DUMMYFUNCTION("""COMPUTED_VALUE"""),1752.4)</f>
        <v>1752.4</v>
      </c>
      <c r="G117" s="191"/>
      <c r="H117" s="29">
        <f t="shared" si="3"/>
        <v>0.5495891349</v>
      </c>
      <c r="I117" s="1">
        <f t="shared" si="4"/>
        <v>-789.3</v>
      </c>
      <c r="J117" s="113">
        <f t="shared" si="5"/>
        <v>1.218724003</v>
      </c>
      <c r="K117" s="247">
        <f t="shared" ref="K117:K120" si="12">C115/F117</f>
        <v>0.5411435745</v>
      </c>
      <c r="L117" s="213">
        <f t="shared" si="7"/>
        <v>1007.695</v>
      </c>
      <c r="M117" s="210">
        <f t="shared" si="8"/>
        <v>-0.04630360295</v>
      </c>
      <c r="N117" s="213">
        <f t="shared" si="9"/>
        <v>1828.835</v>
      </c>
      <c r="O117" s="210">
        <f t="shared" si="10"/>
        <v>-0.04361732481</v>
      </c>
      <c r="P117" s="210">
        <f t="shared" si="11"/>
        <v>-0.002686278137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217">
        <f>IFERROR(__xludf.DUMMYFUNCTION("""COMPUTED_VALUE"""),46302.64583333333)</f>
        <v>46302.64583</v>
      </c>
      <c r="C118" s="193">
        <f>IFERROR(__xludf.DUMMYFUNCTION("""COMPUTED_VALUE"""),963.85)</f>
        <v>963.85</v>
      </c>
      <c r="D118" s="9"/>
      <c r="E118" s="232">
        <f>IFERROR(__xludf.DUMMYFUNCTION("""COMPUTED_VALUE"""),46302.64583333333)</f>
        <v>46302.64583</v>
      </c>
      <c r="F118" s="200">
        <f>IFERROR(__xludf.DUMMYFUNCTION("""COMPUTED_VALUE"""),1743.3)</f>
        <v>1743.3</v>
      </c>
      <c r="G118" s="191"/>
      <c r="H118" s="29">
        <f t="shared" si="3"/>
        <v>0.5528882005</v>
      </c>
      <c r="I118" s="1">
        <f t="shared" si="4"/>
        <v>-779.45</v>
      </c>
      <c r="J118" s="113">
        <f t="shared" si="5"/>
        <v>1.405393923</v>
      </c>
      <c r="K118" s="247">
        <f t="shared" si="12"/>
        <v>0.5564159927</v>
      </c>
      <c r="L118" s="213">
        <f t="shared" si="7"/>
        <v>1002.8875</v>
      </c>
      <c r="M118" s="210">
        <f t="shared" si="8"/>
        <v>-0.04050163407</v>
      </c>
      <c r="N118" s="213">
        <f t="shared" si="9"/>
        <v>1819.07</v>
      </c>
      <c r="O118" s="210">
        <f t="shared" si="10"/>
        <v>-0.04346354615</v>
      </c>
      <c r="P118" s="210">
        <f t="shared" si="11"/>
        <v>0.002961912076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234">
        <f>IFERROR(__xludf.DUMMYFUNCTION("""COMPUTED_VALUE"""),46303.64583333333)</f>
        <v>46303.64583</v>
      </c>
      <c r="C119" s="9">
        <f>IFERROR(__xludf.DUMMYFUNCTION("""COMPUTED_VALUE"""),955.95)</f>
        <v>955.95</v>
      </c>
      <c r="D119" s="9"/>
      <c r="E119" s="232">
        <f>IFERROR(__xludf.DUMMYFUNCTION("""COMPUTED_VALUE"""),46303.64583333333)</f>
        <v>46303.64583</v>
      </c>
      <c r="F119" s="200">
        <f>IFERROR(__xludf.DUMMYFUNCTION("""COMPUTED_VALUE"""),1708.0)</f>
        <v>1708</v>
      </c>
      <c r="G119" s="191"/>
      <c r="H119" s="1"/>
      <c r="I119" s="1"/>
      <c r="J119" s="1"/>
      <c r="K119" s="247">
        <f t="shared" si="12"/>
        <v>0.5638758782</v>
      </c>
      <c r="L119" s="213">
        <f t="shared" si="7"/>
        <v>997.98</v>
      </c>
      <c r="M119" s="210">
        <f t="shared" si="8"/>
        <v>-0.04396673466</v>
      </c>
      <c r="N119" s="213">
        <f t="shared" si="9"/>
        <v>1807.565</v>
      </c>
      <c r="O119" s="210">
        <f t="shared" si="10"/>
        <v>-0.05829332553</v>
      </c>
      <c r="P119" s="210">
        <f t="shared" si="11"/>
        <v>0.01432659087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234">
        <f>IFERROR(__xludf.DUMMYFUNCTION("""COMPUTED_VALUE"""),46304.64583333333)</f>
        <v>46304.64583</v>
      </c>
      <c r="C120" s="9">
        <f>IFERROR(__xludf.DUMMYFUNCTION("""COMPUTED_VALUE"""),960.0)</f>
        <v>960</v>
      </c>
      <c r="D120" s="9"/>
      <c r="E120" s="232">
        <f>IFERROR(__xludf.DUMMYFUNCTION("""COMPUTED_VALUE"""),46304.64583333333)</f>
        <v>46304.64583</v>
      </c>
      <c r="F120" s="200">
        <f>IFERROR(__xludf.DUMMYFUNCTION("""COMPUTED_VALUE"""),1734.7)</f>
        <v>1734.7</v>
      </c>
      <c r="G120" s="191"/>
      <c r="H120" s="179"/>
      <c r="I120" s="175"/>
      <c r="J120" s="176"/>
      <c r="K120" s="247">
        <f t="shared" si="12"/>
        <v>0.5556292154</v>
      </c>
      <c r="L120" s="213">
        <f t="shared" si="7"/>
        <v>994.015</v>
      </c>
      <c r="M120" s="210">
        <f t="shared" si="8"/>
        <v>-0.03543229167</v>
      </c>
      <c r="N120" s="213">
        <f t="shared" si="9"/>
        <v>1797.95</v>
      </c>
      <c r="O120" s="210">
        <f t="shared" si="10"/>
        <v>-0.03646163602</v>
      </c>
      <c r="P120" s="210">
        <f t="shared" si="11"/>
        <v>0.001029344351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48"/>
      <c r="B121" s="249">
        <f>IFERROR(__xludf.DUMMYFUNCTION("""COMPUTED_VALUE"""),46307.64583333333)</f>
        <v>46307.64583</v>
      </c>
      <c r="C121" s="248">
        <f>IFERROR(__xludf.DUMMYFUNCTION("""COMPUTED_VALUE"""),957.25)</f>
        <v>957.25</v>
      </c>
      <c r="D121" s="250"/>
      <c r="E121" s="249">
        <f>IFERROR(__xludf.DUMMYFUNCTION("""COMPUTED_VALUE"""),46307.64583333333)</f>
        <v>46307.64583</v>
      </c>
      <c r="F121" s="248">
        <f>IFERROR(__xludf.DUMMYFUNCTION("""COMPUTED_VALUE"""),1719.9)</f>
        <v>1719.9</v>
      </c>
      <c r="G121" s="251"/>
      <c r="H121" s="179"/>
      <c r="I121" s="175"/>
      <c r="J121" s="176"/>
      <c r="K121" s="252"/>
      <c r="L121" s="253"/>
      <c r="M121" s="254"/>
      <c r="N121" s="253"/>
      <c r="O121" s="254"/>
      <c r="P121" s="254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  <c r="AA121" s="250"/>
      <c r="AB121" s="250"/>
      <c r="AC121" s="250"/>
    </row>
    <row r="122">
      <c r="A122" s="248"/>
      <c r="B122" s="249">
        <f>IFERROR(__xludf.DUMMYFUNCTION("""COMPUTED_VALUE"""),46308.64583333333)</f>
        <v>46308.64583</v>
      </c>
      <c r="C122" s="248">
        <f>IFERROR(__xludf.DUMMYFUNCTION("""COMPUTED_VALUE"""),982.75)</f>
        <v>982.75</v>
      </c>
      <c r="D122" s="250"/>
      <c r="E122" s="249">
        <f>IFERROR(__xludf.DUMMYFUNCTION("""COMPUTED_VALUE"""),46308.64583333333)</f>
        <v>46308.64583</v>
      </c>
      <c r="F122" s="248">
        <f>IFERROR(__xludf.DUMMYFUNCTION("""COMPUTED_VALUE"""),1755.7)</f>
        <v>1755.7</v>
      </c>
      <c r="G122" s="251"/>
      <c r="H122" s="179"/>
      <c r="I122" s="175"/>
      <c r="J122" s="176"/>
      <c r="K122" s="252"/>
      <c r="L122" s="253"/>
      <c r="M122" s="254"/>
      <c r="N122" s="253"/>
      <c r="O122" s="254"/>
      <c r="P122" s="254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</row>
    <row r="123">
      <c r="A123" s="248"/>
      <c r="B123" s="249">
        <f>IFERROR(__xludf.DUMMYFUNCTION("""COMPUTED_VALUE"""),46309.64583333333)</f>
        <v>46309.64583</v>
      </c>
      <c r="C123" s="248">
        <f>IFERROR(__xludf.DUMMYFUNCTION("""COMPUTED_VALUE"""),957.0)</f>
        <v>957</v>
      </c>
      <c r="D123" s="250"/>
      <c r="E123" s="249">
        <f>IFERROR(__xludf.DUMMYFUNCTION("""COMPUTED_VALUE"""),46309.64583333333)</f>
        <v>46309.64583</v>
      </c>
      <c r="F123" s="248">
        <f>IFERROR(__xludf.DUMMYFUNCTION("""COMPUTED_VALUE"""),1721.7)</f>
        <v>1721.7</v>
      </c>
      <c r="G123" s="251"/>
      <c r="H123" s="179"/>
      <c r="I123" s="175"/>
      <c r="J123" s="176"/>
      <c r="K123" s="252"/>
      <c r="L123" s="253"/>
      <c r="M123" s="254"/>
      <c r="N123" s="253"/>
      <c r="O123" s="254"/>
      <c r="P123" s="254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</row>
    <row r="124">
      <c r="A124" s="248"/>
      <c r="B124" s="249">
        <f>IFERROR(__xludf.DUMMYFUNCTION("""COMPUTED_VALUE"""),46310.64583333333)</f>
        <v>46310.64583</v>
      </c>
      <c r="C124" s="248">
        <f>IFERROR(__xludf.DUMMYFUNCTION("""COMPUTED_VALUE"""),965.25)</f>
        <v>965.25</v>
      </c>
      <c r="D124" s="250"/>
      <c r="E124" s="249">
        <f>IFERROR(__xludf.DUMMYFUNCTION("""COMPUTED_VALUE"""),46310.64583333333)</f>
        <v>46310.64583</v>
      </c>
      <c r="F124" s="248">
        <f>IFERROR(__xludf.DUMMYFUNCTION("""COMPUTED_VALUE"""),1732.0)</f>
        <v>1732</v>
      </c>
      <c r="G124" s="251"/>
      <c r="H124" s="179"/>
      <c r="I124" s="175"/>
      <c r="J124" s="176"/>
      <c r="K124" s="252"/>
      <c r="L124" s="253"/>
      <c r="M124" s="254"/>
      <c r="N124" s="253"/>
      <c r="O124" s="254"/>
      <c r="P124" s="254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  <c r="AA124" s="250"/>
      <c r="AB124" s="250"/>
      <c r="AC124" s="250"/>
    </row>
    <row r="125">
      <c r="B125" s="166">
        <f>IFERROR(__xludf.DUMMYFUNCTION("""COMPUTED_VALUE"""),46311.64583333333)</f>
        <v>46311.64583</v>
      </c>
      <c r="C125" s="230">
        <f>IFERROR(__xludf.DUMMYFUNCTION("""COMPUTED_VALUE"""),982.1)</f>
        <v>982.1</v>
      </c>
      <c r="E125" s="166">
        <f>IFERROR(__xludf.DUMMYFUNCTION("""COMPUTED_VALUE"""),46311.64583333333)</f>
        <v>46311.64583</v>
      </c>
      <c r="F125" s="230">
        <f>IFERROR(__xludf.DUMMYFUNCTION("""COMPUTED_VALUE"""),1729.0)</f>
        <v>1729</v>
      </c>
    </row>
    <row r="128">
      <c r="A128" s="248" t="s">
        <v>9</v>
      </c>
      <c r="B128" s="249">
        <f>IFERROR(__xludf.DUMMYFUNCTION("GOOGLEFINANCE(B9,""TRADETIME"")"),46311.64583333333)</f>
        <v>46311.64583</v>
      </c>
      <c r="C128" s="248">
        <f>IFERROR(__xludf.DUMMYFUNCTION("GOOGLEFINANCE(B9,""PRICE"")"),982.1)</f>
        <v>982.1</v>
      </c>
      <c r="D128" s="250"/>
      <c r="E128" s="249">
        <f>IFERROR(__xludf.DUMMYFUNCTION("GOOGLEFINANCE(E9,""TRADETIME"")"),46311.64583333333)</f>
        <v>46311.64583</v>
      </c>
      <c r="F128" s="248">
        <f>IFERROR(__xludf.DUMMYFUNCTION("GOOGLEFINANCE(E9,""PRICE"")"),1729.0)</f>
        <v>1729</v>
      </c>
      <c r="G128" s="251"/>
      <c r="H128" s="179">
        <f>C128/F128</f>
        <v>0.5680161943</v>
      </c>
      <c r="I128" s="175">
        <f>C128-F128</f>
        <v>-746.9</v>
      </c>
      <c r="J128" s="176">
        <f>((I128-$I$129)/$I$130)</f>
        <v>2.022257466</v>
      </c>
      <c r="K128" s="252">
        <f>C128/F128</f>
        <v>0.5680161943</v>
      </c>
      <c r="L128" s="253">
        <f>AVERAGE(C73:C109)</f>
        <v>1072.132432</v>
      </c>
      <c r="M128" s="254">
        <f>(C128-L128)/C128</f>
        <v>-0.09167338604</v>
      </c>
      <c r="N128" s="253">
        <f>AVERAGE(F73:F109)</f>
        <v>1976.245946</v>
      </c>
      <c r="O128" s="254">
        <f>(F128-N128)/F128</f>
        <v>-0.1429993904</v>
      </c>
      <c r="P128" s="254">
        <f>M128-O128</f>
        <v>0.05132600433</v>
      </c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</row>
    <row r="129">
      <c r="A129" s="9"/>
      <c r="B129" s="9"/>
      <c r="C129" s="9"/>
      <c r="D129" s="9"/>
      <c r="E129" s="9"/>
      <c r="F129" s="9"/>
      <c r="G129" s="191"/>
      <c r="H129" s="96" t="s">
        <v>138</v>
      </c>
      <c r="I129" s="177">
        <f>AVERAGE(I11:I118)</f>
        <v>-853.6083333</v>
      </c>
      <c r="J129" s="191"/>
      <c r="K129" s="191"/>
      <c r="L129" s="191"/>
      <c r="M129" s="19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9"/>
      <c r="F130" s="9"/>
      <c r="G130" s="191"/>
      <c r="H130" s="96" t="s">
        <v>139</v>
      </c>
      <c r="I130" s="189">
        <f>_xlfn.STDEV.P(I11:I117)</f>
        <v>52.76693751</v>
      </c>
      <c r="J130" s="191"/>
      <c r="K130" s="191"/>
      <c r="L130" s="191"/>
      <c r="M130" s="19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2">
      <c r="A132" s="9"/>
      <c r="B132" s="9"/>
      <c r="C132" s="9"/>
      <c r="D132" s="9"/>
      <c r="E132" s="9"/>
      <c r="F132" s="9"/>
      <c r="G132" s="191"/>
      <c r="H132" s="191"/>
      <c r="I132" s="191"/>
      <c r="J132" s="191"/>
      <c r="K132" s="191"/>
      <c r="L132" s="191"/>
      <c r="M132" s="19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200"/>
      <c r="D133" s="9"/>
      <c r="E133" s="9"/>
      <c r="F133" s="201"/>
      <c r="G133" s="255"/>
      <c r="H133" s="191"/>
      <c r="I133" s="191"/>
      <c r="J133" s="191"/>
      <c r="K133" s="191"/>
      <c r="L133" s="191"/>
      <c r="M133" s="19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268"/>
      <c r="D134" s="9"/>
      <c r="E134" s="9"/>
      <c r="F134" s="268"/>
      <c r="G134" s="255"/>
      <c r="H134" s="191"/>
      <c r="I134" s="191"/>
      <c r="J134" s="191"/>
      <c r="K134" s="191"/>
      <c r="L134" s="191"/>
      <c r="M134" s="19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200"/>
      <c r="D135" s="9"/>
      <c r="E135" s="9"/>
      <c r="F135" s="200"/>
      <c r="G135" s="191"/>
      <c r="H135" s="191"/>
      <c r="I135" s="191"/>
      <c r="J135" s="191"/>
      <c r="K135" s="191"/>
      <c r="L135" s="191"/>
      <c r="M135" s="19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200"/>
      <c r="D136" s="9"/>
      <c r="E136" s="9"/>
      <c r="F136" s="200"/>
      <c r="G136" s="191"/>
      <c r="H136" s="191"/>
      <c r="I136" s="191"/>
      <c r="J136" s="191"/>
      <c r="K136" s="191"/>
      <c r="L136" s="191"/>
      <c r="M136" s="19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9">
      <c r="A139" s="9"/>
      <c r="B139" s="9"/>
      <c r="C139" s="9"/>
      <c r="D139" s="9"/>
      <c r="E139" s="9"/>
      <c r="F139" s="9"/>
      <c r="G139" s="191"/>
      <c r="H139" s="191"/>
      <c r="I139" s="191"/>
      <c r="J139" s="191"/>
      <c r="K139" s="191"/>
      <c r="L139" s="191"/>
      <c r="M139" s="19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191"/>
      <c r="H140" s="191"/>
      <c r="I140" s="191"/>
      <c r="J140" s="191"/>
      <c r="K140" s="191"/>
      <c r="L140" s="191"/>
      <c r="M140" s="19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200"/>
      <c r="D141" s="9"/>
      <c r="E141" s="9"/>
      <c r="F141" s="201"/>
      <c r="G141" s="201"/>
      <c r="H141" s="191"/>
      <c r="I141" s="191"/>
      <c r="J141" s="191"/>
      <c r="K141" s="191"/>
      <c r="L141" s="191"/>
      <c r="M141" s="19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9"/>
      <c r="F142" s="9"/>
      <c r="G142" s="191"/>
      <c r="H142" s="191"/>
      <c r="I142" s="191"/>
      <c r="J142" s="191"/>
      <c r="K142" s="191"/>
      <c r="L142" s="191"/>
      <c r="M142" s="19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257"/>
      <c r="H143" s="191"/>
      <c r="I143" s="191"/>
      <c r="J143" s="191"/>
      <c r="K143" s="191"/>
      <c r="L143" s="191"/>
      <c r="M143" s="19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200">
        <f>2522</f>
        <v>2522</v>
      </c>
      <c r="D144" s="200">
        <v>2765.0</v>
      </c>
      <c r="E144" s="200">
        <f>C144/D144</f>
        <v>0.9121157324</v>
      </c>
      <c r="F144" s="9"/>
      <c r="G144" s="191"/>
      <c r="H144" s="191"/>
      <c r="I144" s="191"/>
      <c r="J144" s="191"/>
      <c r="K144" s="191"/>
      <c r="L144" s="191"/>
      <c r="M144" s="19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200">
        <f t="shared" ref="C145:D145" si="13">C144*600</f>
        <v>1513200</v>
      </c>
      <c r="D145" s="200">
        <f t="shared" si="13"/>
        <v>1659000</v>
      </c>
      <c r="E145" s="9"/>
      <c r="F145" s="200">
        <f>C145/D145</f>
        <v>0.9121157324</v>
      </c>
      <c r="G145" s="191"/>
      <c r="H145" s="191"/>
      <c r="I145" s="191"/>
      <c r="J145" s="191"/>
      <c r="K145" s="191"/>
      <c r="L145" s="191"/>
      <c r="M145" s="19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191"/>
      <c r="H146" s="191"/>
      <c r="I146" s="191"/>
      <c r="J146" s="191"/>
      <c r="K146" s="191"/>
      <c r="L146" s="191"/>
      <c r="M146" s="19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191"/>
      <c r="H147" s="191"/>
      <c r="I147" s="191"/>
      <c r="J147" s="191"/>
      <c r="K147" s="191"/>
      <c r="L147" s="191"/>
      <c r="M147" s="19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191"/>
      <c r="H148" s="191"/>
      <c r="I148" s="191"/>
      <c r="J148" s="191"/>
      <c r="K148" s="191"/>
      <c r="L148" s="191"/>
      <c r="M148" s="19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191"/>
      <c r="H149" s="191"/>
      <c r="I149" s="191"/>
      <c r="J149" s="191"/>
      <c r="K149" s="191"/>
      <c r="L149" s="191"/>
      <c r="M149" s="191"/>
      <c r="N149" s="191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191"/>
      <c r="H150" s="191"/>
      <c r="I150" s="191"/>
      <c r="J150" s="191"/>
      <c r="K150" s="191"/>
      <c r="L150" s="191"/>
      <c r="M150" s="191"/>
      <c r="N150" s="191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191"/>
      <c r="H151" s="191"/>
      <c r="I151" s="191"/>
      <c r="J151" s="191"/>
      <c r="K151" s="191"/>
      <c r="L151" s="191"/>
      <c r="M151" s="191"/>
      <c r="N151" s="19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191"/>
      <c r="H152" s="191"/>
      <c r="I152" s="191"/>
      <c r="J152" s="191"/>
      <c r="K152" s="191"/>
      <c r="L152" s="191"/>
      <c r="M152" s="191"/>
      <c r="N152" s="19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191"/>
      <c r="H153" s="191"/>
      <c r="I153" s="191"/>
      <c r="J153" s="191"/>
      <c r="K153" s="191"/>
      <c r="L153" s="191"/>
      <c r="M153" s="191"/>
      <c r="N153" s="19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191"/>
      <c r="H154" s="191"/>
      <c r="I154" s="191"/>
      <c r="J154" s="191"/>
      <c r="K154" s="191"/>
      <c r="L154" s="191"/>
      <c r="M154" s="191"/>
      <c r="N154" s="191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191"/>
      <c r="H155" s="191"/>
      <c r="I155" s="191"/>
      <c r="J155" s="191"/>
      <c r="K155" s="191"/>
      <c r="L155" s="191"/>
      <c r="M155" s="191"/>
      <c r="N155" s="19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191"/>
      <c r="H156" s="191"/>
      <c r="I156" s="191"/>
      <c r="J156" s="191"/>
      <c r="K156" s="191"/>
      <c r="L156" s="191"/>
      <c r="M156" s="191"/>
      <c r="N156" s="191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191"/>
      <c r="H157" s="191"/>
      <c r="I157" s="191"/>
      <c r="J157" s="191"/>
      <c r="K157" s="191"/>
      <c r="L157" s="191"/>
      <c r="M157" s="191"/>
      <c r="N157" s="19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191"/>
      <c r="H158" s="191"/>
      <c r="I158" s="191"/>
      <c r="J158" s="191"/>
      <c r="K158" s="191"/>
      <c r="L158" s="191"/>
      <c r="M158" s="191"/>
      <c r="N158" s="19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191"/>
      <c r="H159" s="191"/>
      <c r="I159" s="191"/>
      <c r="J159" s="191"/>
      <c r="K159" s="191"/>
      <c r="L159" s="191"/>
      <c r="M159" s="191"/>
      <c r="N159" s="19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191"/>
      <c r="H160" s="191"/>
      <c r="I160" s="191"/>
      <c r="J160" s="191"/>
      <c r="K160" s="191"/>
      <c r="L160" s="191"/>
      <c r="M160" s="191"/>
      <c r="N160" s="191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191"/>
      <c r="H161" s="191"/>
      <c r="I161" s="191"/>
      <c r="J161" s="191"/>
      <c r="K161" s="191"/>
      <c r="L161" s="191"/>
      <c r="M161" s="191"/>
      <c r="N161" s="191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191"/>
      <c r="H162" s="191"/>
      <c r="I162" s="191"/>
      <c r="J162" s="191"/>
      <c r="K162" s="191"/>
      <c r="L162" s="191"/>
      <c r="M162" s="191"/>
      <c r="N162" s="191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191"/>
      <c r="H163" s="191"/>
      <c r="I163" s="191"/>
      <c r="J163" s="191"/>
      <c r="K163" s="191"/>
      <c r="L163" s="191"/>
      <c r="M163" s="191"/>
      <c r="N163" s="19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191"/>
      <c r="H164" s="191"/>
      <c r="I164" s="191"/>
      <c r="J164" s="191"/>
      <c r="K164" s="191"/>
      <c r="L164" s="191"/>
      <c r="M164" s="191"/>
      <c r="N164" s="19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191"/>
      <c r="H165" s="191"/>
      <c r="I165" s="191"/>
      <c r="J165" s="191"/>
      <c r="K165" s="191"/>
      <c r="L165" s="191"/>
      <c r="M165" s="191"/>
      <c r="N165" s="19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191"/>
      <c r="H166" s="191"/>
      <c r="I166" s="191"/>
      <c r="J166" s="191"/>
      <c r="K166" s="191"/>
      <c r="L166" s="191"/>
      <c r="M166" s="191"/>
      <c r="N166" s="19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191"/>
      <c r="H167" s="191"/>
      <c r="I167" s="191"/>
      <c r="J167" s="191"/>
      <c r="K167" s="191"/>
      <c r="L167" s="191"/>
      <c r="M167" s="191"/>
      <c r="N167" s="19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191"/>
      <c r="H168" s="191"/>
      <c r="I168" s="191"/>
      <c r="J168" s="191"/>
      <c r="K168" s="191"/>
      <c r="L168" s="191"/>
      <c r="M168" s="191"/>
      <c r="N168" s="19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191"/>
      <c r="H169" s="191"/>
      <c r="I169" s="191"/>
      <c r="J169" s="191"/>
      <c r="K169" s="191"/>
      <c r="L169" s="191"/>
      <c r="M169" s="191"/>
      <c r="N169" s="19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191"/>
      <c r="H170" s="191"/>
      <c r="I170" s="191"/>
      <c r="J170" s="191"/>
      <c r="K170" s="191"/>
      <c r="L170" s="191"/>
      <c r="M170" s="191"/>
      <c r="N170" s="19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191"/>
      <c r="H171" s="191"/>
      <c r="I171" s="191"/>
      <c r="J171" s="191"/>
      <c r="K171" s="191"/>
      <c r="L171" s="191"/>
      <c r="M171" s="191"/>
      <c r="N171" s="19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191"/>
      <c r="H172" s="191"/>
      <c r="I172" s="191"/>
      <c r="J172" s="191"/>
      <c r="K172" s="191"/>
      <c r="L172" s="191"/>
      <c r="M172" s="191"/>
      <c r="N172" s="19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191"/>
      <c r="H173" s="191"/>
      <c r="I173" s="191"/>
      <c r="J173" s="191"/>
      <c r="K173" s="191"/>
      <c r="L173" s="191"/>
      <c r="M173" s="191"/>
      <c r="N173" s="19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191"/>
      <c r="H174" s="191"/>
      <c r="I174" s="191"/>
      <c r="J174" s="191"/>
      <c r="K174" s="191"/>
      <c r="L174" s="191"/>
      <c r="M174" s="191"/>
      <c r="N174" s="19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191"/>
      <c r="H175" s="191"/>
      <c r="I175" s="191"/>
      <c r="J175" s="191"/>
      <c r="K175" s="191"/>
      <c r="L175" s="191"/>
      <c r="M175" s="191"/>
      <c r="N175" s="19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191"/>
      <c r="H176" s="191"/>
      <c r="I176" s="191"/>
      <c r="J176" s="191"/>
      <c r="K176" s="191"/>
      <c r="L176" s="191"/>
      <c r="M176" s="191"/>
      <c r="N176" s="19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191"/>
      <c r="H177" s="191"/>
      <c r="I177" s="191"/>
      <c r="J177" s="191"/>
      <c r="K177" s="191"/>
      <c r="L177" s="191"/>
      <c r="M177" s="191"/>
      <c r="N177" s="19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191"/>
      <c r="H178" s="191"/>
      <c r="I178" s="191"/>
      <c r="J178" s="191"/>
      <c r="K178" s="191"/>
      <c r="L178" s="191"/>
      <c r="M178" s="191"/>
      <c r="N178" s="19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191"/>
      <c r="H179" s="191"/>
      <c r="I179" s="191"/>
      <c r="J179" s="191"/>
      <c r="K179" s="191"/>
      <c r="L179" s="191"/>
      <c r="M179" s="191"/>
      <c r="N179" s="19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191"/>
      <c r="H180" s="191"/>
      <c r="I180" s="191"/>
      <c r="J180" s="191"/>
      <c r="K180" s="191"/>
      <c r="L180" s="191"/>
      <c r="M180" s="191"/>
      <c r="N180" s="19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191"/>
      <c r="H181" s="191"/>
      <c r="I181" s="191"/>
      <c r="J181" s="191"/>
      <c r="K181" s="191"/>
      <c r="L181" s="191"/>
      <c r="M181" s="191"/>
      <c r="N181" s="19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191"/>
      <c r="H182" s="191"/>
      <c r="I182" s="191"/>
      <c r="J182" s="191"/>
      <c r="K182" s="191"/>
      <c r="L182" s="191"/>
      <c r="M182" s="191"/>
      <c r="N182" s="19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191"/>
      <c r="H183" s="191"/>
      <c r="I183" s="191"/>
      <c r="J183" s="191"/>
      <c r="K183" s="191"/>
      <c r="L183" s="191"/>
      <c r="M183" s="191"/>
      <c r="N183" s="19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191"/>
      <c r="H184" s="191"/>
      <c r="I184" s="191"/>
      <c r="J184" s="191"/>
      <c r="K184" s="191"/>
      <c r="L184" s="191"/>
      <c r="M184" s="191"/>
      <c r="N184" s="19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191"/>
      <c r="H185" s="191"/>
      <c r="I185" s="191"/>
      <c r="J185" s="191"/>
      <c r="K185" s="191"/>
      <c r="L185" s="191"/>
      <c r="M185" s="191"/>
      <c r="N185" s="19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191"/>
      <c r="H186" s="191"/>
      <c r="I186" s="191"/>
      <c r="J186" s="191"/>
      <c r="K186" s="191"/>
      <c r="L186" s="191"/>
      <c r="M186" s="191"/>
      <c r="N186" s="19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191"/>
      <c r="H187" s="191"/>
      <c r="I187" s="191"/>
      <c r="J187" s="191"/>
      <c r="K187" s="191"/>
      <c r="L187" s="191"/>
      <c r="M187" s="191"/>
      <c r="N187" s="19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191"/>
      <c r="H188" s="191"/>
      <c r="I188" s="191"/>
      <c r="J188" s="191"/>
      <c r="K188" s="191"/>
      <c r="L188" s="191"/>
      <c r="M188" s="191"/>
      <c r="N188" s="19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191"/>
      <c r="H189" s="191"/>
      <c r="I189" s="191"/>
      <c r="J189" s="191"/>
      <c r="K189" s="191"/>
      <c r="L189" s="191"/>
      <c r="M189" s="191"/>
      <c r="N189" s="19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191"/>
      <c r="H190" s="191"/>
      <c r="I190" s="191"/>
      <c r="J190" s="191"/>
      <c r="K190" s="191"/>
      <c r="L190" s="191"/>
      <c r="M190" s="191"/>
      <c r="N190" s="19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191"/>
      <c r="H191" s="191"/>
      <c r="I191" s="191"/>
      <c r="J191" s="191"/>
      <c r="K191" s="191"/>
      <c r="L191" s="191"/>
      <c r="M191" s="191"/>
      <c r="N191" s="19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191"/>
      <c r="H192" s="191"/>
      <c r="I192" s="191"/>
      <c r="J192" s="191"/>
      <c r="K192" s="191"/>
      <c r="L192" s="191"/>
      <c r="M192" s="191"/>
      <c r="N192" s="19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191"/>
      <c r="H193" s="191"/>
      <c r="I193" s="191"/>
      <c r="J193" s="191"/>
      <c r="K193" s="191"/>
      <c r="L193" s="191"/>
      <c r="M193" s="191"/>
      <c r="N193" s="19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191"/>
      <c r="H194" s="191"/>
      <c r="I194" s="191"/>
      <c r="J194" s="191"/>
      <c r="K194" s="191"/>
      <c r="L194" s="191"/>
      <c r="M194" s="191"/>
      <c r="N194" s="19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191"/>
      <c r="H195" s="191"/>
      <c r="I195" s="191"/>
      <c r="J195" s="191"/>
      <c r="K195" s="191"/>
      <c r="L195" s="191"/>
      <c r="M195" s="191"/>
      <c r="N195" s="19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191"/>
      <c r="H196" s="191"/>
      <c r="I196" s="191"/>
      <c r="J196" s="191"/>
      <c r="K196" s="191"/>
      <c r="L196" s="191"/>
      <c r="M196" s="191"/>
      <c r="N196" s="19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191"/>
      <c r="H197" s="191"/>
      <c r="I197" s="191"/>
      <c r="J197" s="191"/>
      <c r="K197" s="191"/>
      <c r="L197" s="191"/>
      <c r="M197" s="191"/>
      <c r="N197" s="19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191"/>
      <c r="H198" s="191"/>
      <c r="I198" s="191"/>
      <c r="J198" s="191"/>
      <c r="K198" s="191"/>
      <c r="L198" s="191"/>
      <c r="M198" s="191"/>
      <c r="N198" s="19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191"/>
      <c r="H199" s="191"/>
      <c r="I199" s="191"/>
      <c r="J199" s="191"/>
      <c r="K199" s="191"/>
      <c r="L199" s="191"/>
      <c r="M199" s="191"/>
      <c r="N199" s="19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191"/>
      <c r="H200" s="191"/>
      <c r="I200" s="191"/>
      <c r="J200" s="191"/>
      <c r="K200" s="191"/>
      <c r="L200" s="191"/>
      <c r="M200" s="191"/>
      <c r="N200" s="19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191"/>
      <c r="H201" s="191"/>
      <c r="I201" s="191"/>
      <c r="J201" s="191"/>
      <c r="K201" s="191"/>
      <c r="L201" s="191"/>
      <c r="M201" s="191"/>
      <c r="N201" s="19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191"/>
      <c r="H202" s="191"/>
      <c r="I202" s="191"/>
      <c r="J202" s="191"/>
      <c r="K202" s="191"/>
      <c r="L202" s="191"/>
      <c r="M202" s="191"/>
      <c r="N202" s="19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191"/>
      <c r="H203" s="191"/>
      <c r="I203" s="191"/>
      <c r="J203" s="191"/>
      <c r="K203" s="191"/>
      <c r="L203" s="191"/>
      <c r="M203" s="191"/>
      <c r="N203" s="19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191"/>
      <c r="H204" s="191"/>
      <c r="I204" s="191"/>
      <c r="J204" s="191"/>
      <c r="K204" s="191"/>
      <c r="L204" s="191"/>
      <c r="M204" s="191"/>
      <c r="N204" s="19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191"/>
      <c r="H205" s="191"/>
      <c r="I205" s="191"/>
      <c r="J205" s="191"/>
      <c r="K205" s="191"/>
      <c r="L205" s="191"/>
      <c r="M205" s="191"/>
      <c r="N205" s="19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191"/>
      <c r="H206" s="191"/>
      <c r="I206" s="191"/>
      <c r="J206" s="191"/>
      <c r="K206" s="191"/>
      <c r="L206" s="191"/>
      <c r="M206" s="191"/>
      <c r="N206" s="19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191"/>
      <c r="H207" s="191"/>
      <c r="I207" s="191"/>
      <c r="J207" s="191"/>
      <c r="K207" s="191"/>
      <c r="L207" s="191"/>
      <c r="M207" s="191"/>
      <c r="N207" s="19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191"/>
      <c r="H208" s="191"/>
      <c r="I208" s="191"/>
      <c r="J208" s="191"/>
      <c r="K208" s="191"/>
      <c r="L208" s="191"/>
      <c r="M208" s="191"/>
      <c r="N208" s="19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191"/>
      <c r="H209" s="191"/>
      <c r="I209" s="191"/>
      <c r="J209" s="191"/>
      <c r="K209" s="191"/>
      <c r="L209" s="191"/>
      <c r="M209" s="191"/>
      <c r="N209" s="19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191"/>
      <c r="H210" s="191"/>
      <c r="I210" s="191"/>
      <c r="J210" s="191"/>
      <c r="K210" s="191"/>
      <c r="L210" s="191"/>
      <c r="M210" s="191"/>
      <c r="N210" s="19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191"/>
      <c r="H211" s="191"/>
      <c r="I211" s="191"/>
      <c r="J211" s="191"/>
      <c r="K211" s="191"/>
      <c r="L211" s="191"/>
      <c r="M211" s="191"/>
      <c r="N211" s="19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191"/>
      <c r="H212" s="191"/>
      <c r="I212" s="191"/>
      <c r="J212" s="191"/>
      <c r="K212" s="191"/>
      <c r="L212" s="191"/>
      <c r="M212" s="191"/>
      <c r="N212" s="19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191"/>
      <c r="H213" s="191"/>
      <c r="I213" s="191"/>
      <c r="J213" s="191"/>
      <c r="K213" s="191"/>
      <c r="L213" s="191"/>
      <c r="M213" s="191"/>
      <c r="N213" s="19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191"/>
      <c r="H214" s="191"/>
      <c r="I214" s="191"/>
      <c r="J214" s="191"/>
      <c r="K214" s="191"/>
      <c r="L214" s="191"/>
      <c r="M214" s="191"/>
      <c r="N214" s="19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191"/>
      <c r="H215" s="191"/>
      <c r="I215" s="191"/>
      <c r="J215" s="191"/>
      <c r="K215" s="191"/>
      <c r="L215" s="191"/>
      <c r="M215" s="191"/>
      <c r="N215" s="19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191"/>
      <c r="H216" s="191"/>
      <c r="I216" s="191"/>
      <c r="J216" s="191"/>
      <c r="K216" s="191"/>
      <c r="L216" s="191"/>
      <c r="M216" s="191"/>
      <c r="N216" s="19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191"/>
      <c r="H217" s="191"/>
      <c r="I217" s="191"/>
      <c r="J217" s="191"/>
      <c r="K217" s="191"/>
      <c r="L217" s="191"/>
      <c r="M217" s="191"/>
      <c r="N217" s="19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191"/>
      <c r="H218" s="191"/>
      <c r="I218" s="191"/>
      <c r="J218" s="191"/>
      <c r="K218" s="191"/>
      <c r="L218" s="191"/>
      <c r="M218" s="191"/>
      <c r="N218" s="19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191"/>
      <c r="H219" s="191"/>
      <c r="I219" s="191"/>
      <c r="J219" s="191"/>
      <c r="K219" s="191"/>
      <c r="L219" s="191"/>
      <c r="M219" s="191"/>
      <c r="N219" s="19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191"/>
      <c r="H220" s="191"/>
      <c r="I220" s="191"/>
      <c r="J220" s="191"/>
      <c r="K220" s="191"/>
      <c r="L220" s="191"/>
      <c r="M220" s="191"/>
      <c r="N220" s="19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191"/>
      <c r="H221" s="191"/>
      <c r="I221" s="191"/>
      <c r="J221" s="191"/>
      <c r="K221" s="191"/>
      <c r="L221" s="191"/>
      <c r="M221" s="191"/>
      <c r="N221" s="19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191"/>
      <c r="H222" s="191"/>
      <c r="I222" s="191"/>
      <c r="J222" s="191"/>
      <c r="K222" s="191"/>
      <c r="L222" s="191"/>
      <c r="M222" s="191"/>
      <c r="N222" s="19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191"/>
      <c r="H223" s="191"/>
      <c r="I223" s="191"/>
      <c r="J223" s="191"/>
      <c r="K223" s="191"/>
      <c r="L223" s="191"/>
      <c r="M223" s="191"/>
      <c r="N223" s="19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191"/>
      <c r="H224" s="191"/>
      <c r="I224" s="191"/>
      <c r="J224" s="191"/>
      <c r="K224" s="191"/>
      <c r="L224" s="191"/>
      <c r="M224" s="191"/>
      <c r="N224" s="19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191"/>
      <c r="H225" s="191"/>
      <c r="I225" s="191"/>
      <c r="J225" s="191"/>
      <c r="K225" s="191"/>
      <c r="L225" s="191"/>
      <c r="M225" s="191"/>
      <c r="N225" s="19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191"/>
      <c r="H226" s="191"/>
      <c r="I226" s="191"/>
      <c r="J226" s="191"/>
      <c r="K226" s="191"/>
      <c r="L226" s="191"/>
      <c r="M226" s="191"/>
      <c r="N226" s="19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191"/>
      <c r="H227" s="191"/>
      <c r="I227" s="191"/>
      <c r="J227" s="191"/>
      <c r="K227" s="191"/>
      <c r="L227" s="191"/>
      <c r="M227" s="191"/>
      <c r="N227" s="19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191"/>
      <c r="H228" s="191"/>
      <c r="I228" s="191"/>
      <c r="J228" s="191"/>
      <c r="K228" s="191"/>
      <c r="L228" s="191"/>
      <c r="M228" s="191"/>
      <c r="N228" s="19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191"/>
      <c r="H229" s="191"/>
      <c r="I229" s="191"/>
      <c r="J229" s="191"/>
      <c r="K229" s="191"/>
      <c r="L229" s="191"/>
      <c r="M229" s="191"/>
      <c r="N229" s="19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191"/>
      <c r="H230" s="191"/>
      <c r="I230" s="191"/>
      <c r="J230" s="191"/>
      <c r="K230" s="191"/>
      <c r="L230" s="191"/>
      <c r="M230" s="191"/>
      <c r="N230" s="19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191"/>
      <c r="H231" s="191"/>
      <c r="I231" s="191"/>
      <c r="J231" s="191"/>
      <c r="K231" s="191"/>
      <c r="L231" s="191"/>
      <c r="M231" s="191"/>
      <c r="N231" s="19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191"/>
      <c r="H232" s="191"/>
      <c r="I232" s="191"/>
      <c r="J232" s="191"/>
      <c r="K232" s="191"/>
      <c r="L232" s="191"/>
      <c r="M232" s="191"/>
      <c r="N232" s="19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191"/>
      <c r="H233" s="191"/>
      <c r="I233" s="191"/>
      <c r="J233" s="191"/>
      <c r="K233" s="191"/>
      <c r="L233" s="191"/>
      <c r="M233" s="191"/>
      <c r="N233" s="19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191"/>
      <c r="H234" s="191"/>
      <c r="I234" s="191"/>
      <c r="J234" s="191"/>
      <c r="K234" s="191"/>
      <c r="L234" s="191"/>
      <c r="M234" s="191"/>
      <c r="N234" s="19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191"/>
      <c r="H235" s="191"/>
      <c r="I235" s="191"/>
      <c r="J235" s="191"/>
      <c r="K235" s="191"/>
      <c r="L235" s="191"/>
      <c r="M235" s="191"/>
      <c r="N235" s="19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191"/>
      <c r="H236" s="191"/>
      <c r="I236" s="191"/>
      <c r="J236" s="191"/>
      <c r="K236" s="191"/>
      <c r="L236" s="191"/>
      <c r="M236" s="191"/>
      <c r="N236" s="19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191"/>
      <c r="H237" s="191"/>
      <c r="I237" s="191"/>
      <c r="J237" s="191"/>
      <c r="K237" s="191"/>
      <c r="L237" s="191"/>
      <c r="M237" s="191"/>
      <c r="N237" s="19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191"/>
      <c r="H238" s="191"/>
      <c r="I238" s="191"/>
      <c r="J238" s="191"/>
      <c r="K238" s="191"/>
      <c r="L238" s="191"/>
      <c r="M238" s="191"/>
      <c r="N238" s="19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191"/>
      <c r="H239" s="191"/>
      <c r="I239" s="191"/>
      <c r="J239" s="191"/>
      <c r="K239" s="191"/>
      <c r="L239" s="191"/>
      <c r="M239" s="191"/>
      <c r="N239" s="19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191"/>
      <c r="H240" s="191"/>
      <c r="I240" s="191"/>
      <c r="J240" s="191"/>
      <c r="K240" s="191"/>
      <c r="L240" s="191"/>
      <c r="M240" s="191"/>
      <c r="N240" s="19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191"/>
      <c r="H241" s="191"/>
      <c r="I241" s="191"/>
      <c r="J241" s="191"/>
      <c r="K241" s="191"/>
      <c r="L241" s="191"/>
      <c r="M241" s="191"/>
      <c r="N241" s="19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191"/>
      <c r="H242" s="191"/>
      <c r="I242" s="191"/>
      <c r="J242" s="191"/>
      <c r="K242" s="191"/>
      <c r="L242" s="191"/>
      <c r="M242" s="191"/>
      <c r="N242" s="19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191"/>
      <c r="H243" s="191"/>
      <c r="I243" s="191"/>
      <c r="J243" s="191"/>
      <c r="K243" s="191"/>
      <c r="L243" s="191"/>
      <c r="M243" s="191"/>
      <c r="N243" s="19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191"/>
      <c r="H244" s="191"/>
      <c r="I244" s="191"/>
      <c r="J244" s="191"/>
      <c r="K244" s="191"/>
      <c r="L244" s="191"/>
      <c r="M244" s="191"/>
      <c r="N244" s="19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191"/>
      <c r="H245" s="191"/>
      <c r="I245" s="191"/>
      <c r="J245" s="191"/>
      <c r="K245" s="191"/>
      <c r="L245" s="191"/>
      <c r="M245" s="191"/>
      <c r="N245" s="19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191"/>
      <c r="H246" s="191"/>
      <c r="I246" s="191"/>
      <c r="J246" s="191"/>
      <c r="K246" s="191"/>
      <c r="L246" s="191"/>
      <c r="M246" s="191"/>
      <c r="N246" s="19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191"/>
      <c r="H247" s="191"/>
      <c r="I247" s="191"/>
      <c r="J247" s="191"/>
      <c r="K247" s="191"/>
      <c r="L247" s="191"/>
      <c r="M247" s="191"/>
      <c r="N247" s="19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191"/>
      <c r="H248" s="191"/>
      <c r="I248" s="191"/>
      <c r="J248" s="191"/>
      <c r="K248" s="191"/>
      <c r="L248" s="191"/>
      <c r="M248" s="191"/>
      <c r="N248" s="19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191"/>
      <c r="H249" s="191"/>
      <c r="I249" s="191"/>
      <c r="J249" s="191"/>
      <c r="K249" s="191"/>
      <c r="L249" s="191"/>
      <c r="M249" s="191"/>
      <c r="N249" s="19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191"/>
      <c r="H250" s="191"/>
      <c r="I250" s="191"/>
      <c r="J250" s="191"/>
      <c r="K250" s="191"/>
      <c r="L250" s="191"/>
      <c r="M250" s="191"/>
      <c r="N250" s="19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191"/>
      <c r="H251" s="191"/>
      <c r="I251" s="191"/>
      <c r="J251" s="191"/>
      <c r="K251" s="191"/>
      <c r="L251" s="191"/>
      <c r="M251" s="191"/>
      <c r="N251" s="19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191"/>
      <c r="H252" s="191"/>
      <c r="I252" s="191"/>
      <c r="J252" s="191"/>
      <c r="K252" s="191"/>
      <c r="L252" s="191"/>
      <c r="M252" s="191"/>
      <c r="N252" s="19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191"/>
      <c r="H253" s="191"/>
      <c r="I253" s="191"/>
      <c r="J253" s="191"/>
      <c r="K253" s="191"/>
      <c r="L253" s="191"/>
      <c r="M253" s="191"/>
      <c r="N253" s="19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191"/>
      <c r="H254" s="191"/>
      <c r="I254" s="191"/>
      <c r="J254" s="191"/>
      <c r="K254" s="191"/>
      <c r="L254" s="191"/>
      <c r="M254" s="191"/>
      <c r="N254" s="19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191"/>
      <c r="H255" s="191"/>
      <c r="I255" s="191"/>
      <c r="J255" s="191"/>
      <c r="K255" s="191"/>
      <c r="L255" s="191"/>
      <c r="M255" s="191"/>
      <c r="N255" s="19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191"/>
      <c r="H256" s="191"/>
      <c r="I256" s="191"/>
      <c r="J256" s="191"/>
      <c r="K256" s="191"/>
      <c r="L256" s="191"/>
      <c r="M256" s="191"/>
      <c r="N256" s="19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191"/>
      <c r="H257" s="191"/>
      <c r="I257" s="191"/>
      <c r="J257" s="191"/>
      <c r="K257" s="191"/>
      <c r="L257" s="191"/>
      <c r="M257" s="191"/>
      <c r="N257" s="19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191"/>
      <c r="H258" s="191"/>
      <c r="I258" s="191"/>
      <c r="J258" s="191"/>
      <c r="K258" s="191"/>
      <c r="L258" s="191"/>
      <c r="M258" s="191"/>
      <c r="N258" s="19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191"/>
      <c r="H259" s="191"/>
      <c r="I259" s="191"/>
      <c r="J259" s="191"/>
      <c r="K259" s="191"/>
      <c r="L259" s="191"/>
      <c r="M259" s="191"/>
      <c r="N259" s="19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191"/>
      <c r="H260" s="191"/>
      <c r="I260" s="191"/>
      <c r="J260" s="191"/>
      <c r="K260" s="191"/>
      <c r="L260" s="191"/>
      <c r="M260" s="191"/>
      <c r="N260" s="19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191"/>
      <c r="H261" s="191"/>
      <c r="I261" s="191"/>
      <c r="J261" s="191"/>
      <c r="K261" s="191"/>
      <c r="L261" s="191"/>
      <c r="M261" s="191"/>
      <c r="N261" s="19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191"/>
      <c r="H262" s="191"/>
      <c r="I262" s="191"/>
      <c r="J262" s="191"/>
      <c r="K262" s="191"/>
      <c r="L262" s="191"/>
      <c r="M262" s="191"/>
      <c r="N262" s="19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191"/>
      <c r="H263" s="191"/>
      <c r="I263" s="191"/>
      <c r="J263" s="191"/>
      <c r="K263" s="191"/>
      <c r="L263" s="191"/>
      <c r="M263" s="191"/>
      <c r="N263" s="19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191"/>
      <c r="H264" s="191"/>
      <c r="I264" s="191"/>
      <c r="J264" s="191"/>
      <c r="K264" s="191"/>
      <c r="L264" s="191"/>
      <c r="M264" s="191"/>
      <c r="N264" s="19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191"/>
      <c r="H265" s="191"/>
      <c r="I265" s="191"/>
      <c r="J265" s="191"/>
      <c r="K265" s="191"/>
      <c r="L265" s="191"/>
      <c r="M265" s="191"/>
      <c r="N265" s="19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191"/>
      <c r="H266" s="191"/>
      <c r="I266" s="191"/>
      <c r="J266" s="191"/>
      <c r="K266" s="191"/>
      <c r="L266" s="191"/>
      <c r="M266" s="191"/>
      <c r="N266" s="19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191"/>
      <c r="H267" s="191"/>
      <c r="I267" s="191"/>
      <c r="J267" s="191"/>
      <c r="K267" s="191"/>
      <c r="L267" s="191"/>
      <c r="M267" s="191"/>
      <c r="N267" s="191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191"/>
      <c r="H268" s="191"/>
      <c r="I268" s="191"/>
      <c r="J268" s="191"/>
      <c r="K268" s="191"/>
      <c r="L268" s="191"/>
      <c r="M268" s="191"/>
      <c r="N268" s="19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191"/>
      <c r="H269" s="191"/>
      <c r="I269" s="191"/>
      <c r="J269" s="191"/>
      <c r="K269" s="191"/>
      <c r="L269" s="191"/>
      <c r="M269" s="191"/>
      <c r="N269" s="19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191"/>
      <c r="H270" s="191"/>
      <c r="I270" s="191"/>
      <c r="J270" s="191"/>
      <c r="K270" s="191"/>
      <c r="L270" s="191"/>
      <c r="M270" s="191"/>
      <c r="N270" s="19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191"/>
      <c r="H271" s="191"/>
      <c r="I271" s="191"/>
      <c r="J271" s="191"/>
      <c r="K271" s="191"/>
      <c r="L271" s="191"/>
      <c r="M271" s="191"/>
      <c r="N271" s="19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191"/>
      <c r="H272" s="191"/>
      <c r="I272" s="191"/>
      <c r="J272" s="191"/>
      <c r="K272" s="191"/>
      <c r="L272" s="191"/>
      <c r="M272" s="191"/>
      <c r="N272" s="19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191"/>
      <c r="H273" s="191"/>
      <c r="I273" s="191"/>
      <c r="J273" s="191"/>
      <c r="K273" s="191"/>
      <c r="L273" s="191"/>
      <c r="M273" s="191"/>
      <c r="N273" s="19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191"/>
      <c r="H274" s="191"/>
      <c r="I274" s="191"/>
      <c r="J274" s="191"/>
      <c r="K274" s="191"/>
      <c r="L274" s="191"/>
      <c r="M274" s="191"/>
      <c r="N274" s="19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191"/>
      <c r="H275" s="191"/>
      <c r="I275" s="191"/>
      <c r="J275" s="191"/>
      <c r="K275" s="191"/>
      <c r="L275" s="191"/>
      <c r="M275" s="191"/>
      <c r="N275" s="19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191"/>
      <c r="H276" s="191"/>
      <c r="I276" s="191"/>
      <c r="J276" s="191"/>
      <c r="K276" s="191"/>
      <c r="L276" s="191"/>
      <c r="M276" s="191"/>
      <c r="N276" s="19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191"/>
      <c r="H277" s="191"/>
      <c r="I277" s="191"/>
      <c r="J277" s="191"/>
      <c r="K277" s="191"/>
      <c r="L277" s="191"/>
      <c r="M277" s="191"/>
      <c r="N277" s="19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191"/>
      <c r="H278" s="191"/>
      <c r="I278" s="191"/>
      <c r="J278" s="191"/>
      <c r="K278" s="191"/>
      <c r="L278" s="191"/>
      <c r="M278" s="191"/>
      <c r="N278" s="19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191"/>
      <c r="H279" s="191"/>
      <c r="I279" s="191"/>
      <c r="J279" s="191"/>
      <c r="K279" s="191"/>
      <c r="L279" s="191"/>
      <c r="M279" s="191"/>
      <c r="N279" s="19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191"/>
      <c r="H280" s="191"/>
      <c r="I280" s="191"/>
      <c r="J280" s="191"/>
      <c r="K280" s="191"/>
      <c r="L280" s="191"/>
      <c r="M280" s="191"/>
      <c r="N280" s="19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191"/>
      <c r="H281" s="191"/>
      <c r="I281" s="191"/>
      <c r="J281" s="191"/>
      <c r="K281" s="191"/>
      <c r="L281" s="191"/>
      <c r="M281" s="191"/>
      <c r="N281" s="19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191"/>
      <c r="H282" s="191"/>
      <c r="I282" s="191"/>
      <c r="J282" s="191"/>
      <c r="K282" s="191"/>
      <c r="L282" s="191"/>
      <c r="M282" s="191"/>
      <c r="N282" s="19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191"/>
      <c r="H283" s="191"/>
      <c r="I283" s="191"/>
      <c r="J283" s="191"/>
      <c r="K283" s="191"/>
      <c r="L283" s="191"/>
      <c r="M283" s="191"/>
      <c r="N283" s="19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191"/>
      <c r="H284" s="191"/>
      <c r="I284" s="191"/>
      <c r="J284" s="191"/>
      <c r="K284" s="191"/>
      <c r="L284" s="191"/>
      <c r="M284" s="191"/>
      <c r="N284" s="19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191"/>
      <c r="H285" s="191"/>
      <c r="I285" s="191"/>
      <c r="J285" s="191"/>
      <c r="K285" s="191"/>
      <c r="L285" s="191"/>
      <c r="M285" s="191"/>
      <c r="N285" s="19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191"/>
      <c r="H286" s="191"/>
      <c r="I286" s="191"/>
      <c r="J286" s="191"/>
      <c r="K286" s="191"/>
      <c r="L286" s="191"/>
      <c r="M286" s="191"/>
      <c r="N286" s="19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191"/>
      <c r="H287" s="191"/>
      <c r="I287" s="191"/>
      <c r="J287" s="191"/>
      <c r="K287" s="191"/>
      <c r="L287" s="191"/>
      <c r="M287" s="191"/>
      <c r="N287" s="19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191"/>
      <c r="H288" s="191"/>
      <c r="I288" s="191"/>
      <c r="J288" s="191"/>
      <c r="K288" s="191"/>
      <c r="L288" s="191"/>
      <c r="M288" s="191"/>
      <c r="N288" s="19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191"/>
      <c r="H289" s="191"/>
      <c r="I289" s="191"/>
      <c r="J289" s="191"/>
      <c r="K289" s="191"/>
      <c r="L289" s="191"/>
      <c r="M289" s="191"/>
      <c r="N289" s="19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191"/>
      <c r="H290" s="191"/>
      <c r="I290" s="191"/>
      <c r="J290" s="191"/>
      <c r="K290" s="191"/>
      <c r="L290" s="191"/>
      <c r="M290" s="191"/>
      <c r="N290" s="19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191"/>
      <c r="H291" s="191"/>
      <c r="I291" s="191"/>
      <c r="J291" s="191"/>
      <c r="K291" s="191"/>
      <c r="L291" s="191"/>
      <c r="M291" s="191"/>
      <c r="N291" s="19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191"/>
      <c r="H292" s="191"/>
      <c r="I292" s="191"/>
      <c r="J292" s="191"/>
      <c r="K292" s="191"/>
      <c r="L292" s="191"/>
      <c r="M292" s="191"/>
      <c r="N292" s="19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191"/>
      <c r="H293" s="191"/>
      <c r="I293" s="191"/>
      <c r="J293" s="191"/>
      <c r="K293" s="191"/>
      <c r="L293" s="191"/>
      <c r="M293" s="191"/>
      <c r="N293" s="19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191"/>
      <c r="H294" s="191"/>
      <c r="I294" s="191"/>
      <c r="J294" s="191"/>
      <c r="K294" s="191"/>
      <c r="L294" s="191"/>
      <c r="M294" s="191"/>
      <c r="N294" s="19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191"/>
      <c r="H295" s="191"/>
      <c r="I295" s="191"/>
      <c r="J295" s="191"/>
      <c r="K295" s="191"/>
      <c r="L295" s="191"/>
      <c r="M295" s="191"/>
      <c r="N295" s="19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191"/>
      <c r="H296" s="191"/>
      <c r="I296" s="191"/>
      <c r="J296" s="191"/>
      <c r="K296" s="191"/>
      <c r="L296" s="191"/>
      <c r="M296" s="191"/>
      <c r="N296" s="19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191"/>
      <c r="H297" s="191"/>
      <c r="I297" s="191"/>
      <c r="J297" s="191"/>
      <c r="K297" s="191"/>
      <c r="L297" s="191"/>
      <c r="M297" s="191"/>
      <c r="N297" s="19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191"/>
      <c r="H298" s="191"/>
      <c r="I298" s="191"/>
      <c r="J298" s="191"/>
      <c r="K298" s="191"/>
      <c r="L298" s="191"/>
      <c r="M298" s="191"/>
      <c r="N298" s="19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191"/>
      <c r="H299" s="191"/>
      <c r="I299" s="191"/>
      <c r="J299" s="191"/>
      <c r="K299" s="191"/>
      <c r="L299" s="191"/>
      <c r="M299" s="191"/>
      <c r="N299" s="19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191"/>
      <c r="H300" s="191"/>
      <c r="I300" s="191"/>
      <c r="J300" s="191"/>
      <c r="K300" s="191"/>
      <c r="L300" s="191"/>
      <c r="M300" s="191"/>
      <c r="N300" s="19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191"/>
      <c r="H301" s="191"/>
      <c r="I301" s="191"/>
      <c r="J301" s="191"/>
      <c r="K301" s="191"/>
      <c r="L301" s="191"/>
      <c r="M301" s="191"/>
      <c r="N301" s="19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191"/>
      <c r="H302" s="191"/>
      <c r="I302" s="191"/>
      <c r="J302" s="191"/>
      <c r="K302" s="191"/>
      <c r="L302" s="191"/>
      <c r="M302" s="191"/>
      <c r="N302" s="19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191"/>
      <c r="H303" s="191"/>
      <c r="I303" s="191"/>
      <c r="J303" s="191"/>
      <c r="K303" s="191"/>
      <c r="L303" s="191"/>
      <c r="M303" s="191"/>
      <c r="N303" s="19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191"/>
      <c r="H304" s="191"/>
      <c r="I304" s="191"/>
      <c r="J304" s="191"/>
      <c r="K304" s="191"/>
      <c r="L304" s="191"/>
      <c r="M304" s="191"/>
      <c r="N304" s="191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191"/>
      <c r="H305" s="191"/>
      <c r="I305" s="191"/>
      <c r="J305" s="191"/>
      <c r="K305" s="191"/>
      <c r="L305" s="191"/>
      <c r="M305" s="191"/>
      <c r="N305" s="19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191"/>
      <c r="H306" s="191"/>
      <c r="I306" s="191"/>
      <c r="J306" s="191"/>
      <c r="K306" s="191"/>
      <c r="L306" s="191"/>
      <c r="M306" s="191"/>
      <c r="N306" s="19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191"/>
      <c r="H307" s="191"/>
      <c r="I307" s="191"/>
      <c r="J307" s="191"/>
      <c r="K307" s="191"/>
      <c r="L307" s="191"/>
      <c r="M307" s="191"/>
      <c r="N307" s="19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191"/>
      <c r="H308" s="191"/>
      <c r="I308" s="191"/>
      <c r="J308" s="191"/>
      <c r="K308" s="191"/>
      <c r="L308" s="191"/>
      <c r="M308" s="191"/>
      <c r="N308" s="19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191"/>
      <c r="H309" s="191"/>
      <c r="I309" s="191"/>
      <c r="J309" s="191"/>
      <c r="K309" s="191"/>
      <c r="L309" s="191"/>
      <c r="M309" s="191"/>
      <c r="N309" s="19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191"/>
      <c r="H310" s="191"/>
      <c r="I310" s="191"/>
      <c r="J310" s="191"/>
      <c r="K310" s="191"/>
      <c r="L310" s="191"/>
      <c r="M310" s="191"/>
      <c r="N310" s="19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191"/>
      <c r="H311" s="191"/>
      <c r="I311" s="191"/>
      <c r="J311" s="191"/>
      <c r="K311" s="191"/>
      <c r="L311" s="191"/>
      <c r="M311" s="191"/>
      <c r="N311" s="19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191"/>
      <c r="H312" s="191"/>
      <c r="I312" s="191"/>
      <c r="J312" s="191"/>
      <c r="K312" s="191"/>
      <c r="L312" s="191"/>
      <c r="M312" s="191"/>
      <c r="N312" s="19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191"/>
      <c r="H313" s="191"/>
      <c r="I313" s="191"/>
      <c r="J313" s="191"/>
      <c r="K313" s="191"/>
      <c r="L313" s="191"/>
      <c r="M313" s="191"/>
      <c r="N313" s="19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191"/>
      <c r="H314" s="191"/>
      <c r="I314" s="191"/>
      <c r="J314" s="191"/>
      <c r="K314" s="191"/>
      <c r="L314" s="191"/>
      <c r="M314" s="191"/>
      <c r="N314" s="19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191"/>
      <c r="H315" s="191"/>
      <c r="I315" s="191"/>
      <c r="J315" s="191"/>
      <c r="K315" s="191"/>
      <c r="L315" s="191"/>
      <c r="M315" s="191"/>
      <c r="N315" s="19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191"/>
      <c r="H316" s="191"/>
      <c r="I316" s="191"/>
      <c r="J316" s="191"/>
      <c r="K316" s="191"/>
      <c r="L316" s="191"/>
      <c r="M316" s="191"/>
      <c r="N316" s="19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191"/>
      <c r="H317" s="191"/>
      <c r="I317" s="191"/>
      <c r="J317" s="191"/>
      <c r="K317" s="191"/>
      <c r="L317" s="191"/>
      <c r="M317" s="191"/>
      <c r="N317" s="19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191"/>
      <c r="H318" s="191"/>
      <c r="I318" s="191"/>
      <c r="J318" s="191"/>
      <c r="K318" s="191"/>
      <c r="L318" s="191"/>
      <c r="M318" s="191"/>
      <c r="N318" s="19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191"/>
      <c r="H319" s="191"/>
      <c r="I319" s="191"/>
      <c r="J319" s="191"/>
      <c r="K319" s="191"/>
      <c r="L319" s="191"/>
      <c r="M319" s="191"/>
      <c r="N319" s="19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191"/>
      <c r="H320" s="191"/>
      <c r="I320" s="191"/>
      <c r="J320" s="191"/>
      <c r="K320" s="191"/>
      <c r="L320" s="191"/>
      <c r="M320" s="191"/>
      <c r="N320" s="19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191"/>
      <c r="H321" s="191"/>
      <c r="I321" s="191"/>
      <c r="J321" s="191"/>
      <c r="K321" s="191"/>
      <c r="L321" s="191"/>
      <c r="M321" s="191"/>
      <c r="N321" s="19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191"/>
      <c r="H322" s="191"/>
      <c r="I322" s="191"/>
      <c r="J322" s="191"/>
      <c r="K322" s="191"/>
      <c r="L322" s="191"/>
      <c r="M322" s="191"/>
      <c r="N322" s="19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191"/>
      <c r="H323" s="191"/>
      <c r="I323" s="191"/>
      <c r="J323" s="191"/>
      <c r="K323" s="191"/>
      <c r="L323" s="191"/>
      <c r="M323" s="191"/>
      <c r="N323" s="19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191"/>
      <c r="H324" s="191"/>
      <c r="I324" s="191"/>
      <c r="J324" s="191"/>
      <c r="K324" s="191"/>
      <c r="L324" s="191"/>
      <c r="M324" s="191"/>
      <c r="N324" s="19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191"/>
      <c r="H325" s="191"/>
      <c r="I325" s="191"/>
      <c r="J325" s="191"/>
      <c r="K325" s="191"/>
      <c r="L325" s="191"/>
      <c r="M325" s="191"/>
      <c r="N325" s="19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191"/>
      <c r="H326" s="191"/>
      <c r="I326" s="191"/>
      <c r="J326" s="191"/>
      <c r="K326" s="191"/>
      <c r="L326" s="191"/>
      <c r="M326" s="191"/>
      <c r="N326" s="19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191"/>
      <c r="H327" s="191"/>
      <c r="I327" s="191"/>
      <c r="J327" s="191"/>
      <c r="K327" s="191"/>
      <c r="L327" s="191"/>
      <c r="M327" s="191"/>
      <c r="N327" s="19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191"/>
      <c r="H328" s="191"/>
      <c r="I328" s="191"/>
      <c r="J328" s="191"/>
      <c r="K328" s="191"/>
      <c r="L328" s="191"/>
      <c r="M328" s="191"/>
      <c r="N328" s="19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191"/>
      <c r="H329" s="191"/>
      <c r="I329" s="191"/>
      <c r="J329" s="191"/>
      <c r="K329" s="191"/>
      <c r="L329" s="191"/>
      <c r="M329" s="191"/>
      <c r="N329" s="19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191"/>
      <c r="H330" s="191"/>
      <c r="I330" s="191"/>
      <c r="J330" s="191"/>
      <c r="K330" s="191"/>
      <c r="L330" s="191"/>
      <c r="M330" s="191"/>
      <c r="N330" s="19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191"/>
      <c r="H331" s="191"/>
      <c r="I331" s="191"/>
      <c r="J331" s="191"/>
      <c r="K331" s="191"/>
      <c r="L331" s="191"/>
      <c r="M331" s="191"/>
      <c r="N331" s="19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191"/>
      <c r="H332" s="191"/>
      <c r="I332" s="191"/>
      <c r="J332" s="191"/>
      <c r="K332" s="191"/>
      <c r="L332" s="191"/>
      <c r="M332" s="191"/>
      <c r="N332" s="19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191"/>
      <c r="H333" s="191"/>
      <c r="I333" s="191"/>
      <c r="J333" s="191"/>
      <c r="K333" s="191"/>
      <c r="L333" s="191"/>
      <c r="M333" s="191"/>
      <c r="N333" s="19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191"/>
      <c r="H334" s="191"/>
      <c r="I334" s="191"/>
      <c r="J334" s="191"/>
      <c r="K334" s="191"/>
      <c r="L334" s="191"/>
      <c r="M334" s="191"/>
      <c r="N334" s="19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191"/>
      <c r="H335" s="191"/>
      <c r="I335" s="191"/>
      <c r="J335" s="191"/>
      <c r="K335" s="191"/>
      <c r="L335" s="191"/>
      <c r="M335" s="191"/>
      <c r="N335" s="19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191"/>
      <c r="H336" s="191"/>
      <c r="I336" s="191"/>
      <c r="J336" s="191"/>
      <c r="K336" s="191"/>
      <c r="L336" s="191"/>
      <c r="M336" s="191"/>
      <c r="N336" s="19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191"/>
      <c r="H337" s="191"/>
      <c r="I337" s="191"/>
      <c r="J337" s="191"/>
      <c r="K337" s="191"/>
      <c r="L337" s="191"/>
      <c r="M337" s="191"/>
      <c r="N337" s="19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191"/>
      <c r="H338" s="191"/>
      <c r="I338" s="191"/>
      <c r="J338" s="191"/>
      <c r="K338" s="191"/>
      <c r="L338" s="191"/>
      <c r="M338" s="191"/>
      <c r="N338" s="19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191"/>
      <c r="H339" s="191"/>
      <c r="I339" s="191"/>
      <c r="J339" s="191"/>
      <c r="K339" s="191"/>
      <c r="L339" s="191"/>
      <c r="M339" s="191"/>
      <c r="N339" s="19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191"/>
      <c r="H340" s="191"/>
      <c r="I340" s="191"/>
      <c r="J340" s="191"/>
      <c r="K340" s="191"/>
      <c r="L340" s="191"/>
      <c r="M340" s="191"/>
      <c r="N340" s="19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191"/>
      <c r="H341" s="191"/>
      <c r="I341" s="191"/>
      <c r="J341" s="191"/>
      <c r="K341" s="191"/>
      <c r="L341" s="191"/>
      <c r="M341" s="191"/>
      <c r="N341" s="19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191"/>
      <c r="H342" s="191"/>
      <c r="I342" s="191"/>
      <c r="J342" s="191"/>
      <c r="K342" s="191"/>
      <c r="L342" s="191"/>
      <c r="M342" s="191"/>
      <c r="N342" s="19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191"/>
      <c r="H343" s="191"/>
      <c r="I343" s="191"/>
      <c r="J343" s="191"/>
      <c r="K343" s="191"/>
      <c r="L343" s="191"/>
      <c r="M343" s="191"/>
      <c r="N343" s="19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191"/>
      <c r="H344" s="191"/>
      <c r="I344" s="191"/>
      <c r="J344" s="191"/>
      <c r="K344" s="191"/>
      <c r="L344" s="191"/>
      <c r="M344" s="191"/>
      <c r="N344" s="19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191"/>
      <c r="H345" s="191"/>
      <c r="I345" s="191"/>
      <c r="J345" s="191"/>
      <c r="K345" s="191"/>
      <c r="L345" s="191"/>
      <c r="M345" s="191"/>
      <c r="N345" s="19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191"/>
      <c r="H346" s="191"/>
      <c r="I346" s="191"/>
      <c r="J346" s="191"/>
      <c r="K346" s="191"/>
      <c r="L346" s="191"/>
      <c r="M346" s="191"/>
      <c r="N346" s="19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191"/>
      <c r="H347" s="191"/>
      <c r="I347" s="191"/>
      <c r="J347" s="191"/>
      <c r="K347" s="191"/>
      <c r="L347" s="191"/>
      <c r="M347" s="191"/>
      <c r="N347" s="19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191"/>
      <c r="H348" s="191"/>
      <c r="I348" s="191"/>
      <c r="J348" s="191"/>
      <c r="K348" s="191"/>
      <c r="L348" s="191"/>
      <c r="M348" s="191"/>
      <c r="N348" s="19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191"/>
      <c r="H349" s="191"/>
      <c r="I349" s="191"/>
      <c r="J349" s="191"/>
      <c r="K349" s="191"/>
      <c r="L349" s="191"/>
      <c r="M349" s="191"/>
      <c r="N349" s="19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191"/>
      <c r="H350" s="191"/>
      <c r="I350" s="191"/>
      <c r="J350" s="191"/>
      <c r="K350" s="191"/>
      <c r="L350" s="191"/>
      <c r="M350" s="191"/>
      <c r="N350" s="19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191"/>
      <c r="H351" s="191"/>
      <c r="I351" s="191"/>
      <c r="J351" s="191"/>
      <c r="K351" s="191"/>
      <c r="L351" s="191"/>
      <c r="M351" s="191"/>
      <c r="N351" s="19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191"/>
      <c r="H352" s="191"/>
      <c r="I352" s="191"/>
      <c r="J352" s="191"/>
      <c r="K352" s="191"/>
      <c r="L352" s="191"/>
      <c r="M352" s="191"/>
      <c r="N352" s="19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191"/>
      <c r="H353" s="191"/>
      <c r="I353" s="191"/>
      <c r="J353" s="191"/>
      <c r="K353" s="191"/>
      <c r="L353" s="191"/>
      <c r="M353" s="191"/>
      <c r="N353" s="19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191"/>
      <c r="H354" s="191"/>
      <c r="I354" s="191"/>
      <c r="J354" s="191"/>
      <c r="K354" s="191"/>
      <c r="L354" s="191"/>
      <c r="M354" s="191"/>
      <c r="N354" s="19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191"/>
      <c r="H355" s="191"/>
      <c r="I355" s="191"/>
      <c r="J355" s="191"/>
      <c r="K355" s="191"/>
      <c r="L355" s="191"/>
      <c r="M355" s="191"/>
      <c r="N355" s="19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191"/>
      <c r="H356" s="191"/>
      <c r="I356" s="191"/>
      <c r="J356" s="191"/>
      <c r="K356" s="191"/>
      <c r="L356" s="191"/>
      <c r="M356" s="191"/>
      <c r="N356" s="19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191"/>
      <c r="H357" s="191"/>
      <c r="I357" s="191"/>
      <c r="J357" s="191"/>
      <c r="K357" s="191"/>
      <c r="L357" s="191"/>
      <c r="M357" s="191"/>
      <c r="N357" s="19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191"/>
      <c r="H358" s="191"/>
      <c r="I358" s="191"/>
      <c r="J358" s="191"/>
      <c r="K358" s="191"/>
      <c r="L358" s="191"/>
      <c r="M358" s="191"/>
      <c r="N358" s="19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191"/>
      <c r="H359" s="191"/>
      <c r="I359" s="191"/>
      <c r="J359" s="191"/>
      <c r="K359" s="191"/>
      <c r="L359" s="191"/>
      <c r="M359" s="191"/>
      <c r="N359" s="19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191"/>
      <c r="H360" s="191"/>
      <c r="I360" s="191"/>
      <c r="J360" s="191"/>
      <c r="K360" s="191"/>
      <c r="L360" s="191"/>
      <c r="M360" s="191"/>
      <c r="N360" s="19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191"/>
      <c r="H361" s="191"/>
      <c r="I361" s="191"/>
      <c r="J361" s="191"/>
      <c r="K361" s="191"/>
      <c r="L361" s="191"/>
      <c r="M361" s="191"/>
      <c r="N361" s="19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191"/>
      <c r="H362" s="191"/>
      <c r="I362" s="191"/>
      <c r="J362" s="191"/>
      <c r="K362" s="191"/>
      <c r="L362" s="191"/>
      <c r="M362" s="191"/>
      <c r="N362" s="19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191"/>
      <c r="H363" s="191"/>
      <c r="I363" s="191"/>
      <c r="J363" s="191"/>
      <c r="K363" s="191"/>
      <c r="L363" s="191"/>
      <c r="M363" s="191"/>
      <c r="N363" s="19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191"/>
      <c r="H364" s="191"/>
      <c r="I364" s="191"/>
      <c r="J364" s="191"/>
      <c r="K364" s="191"/>
      <c r="L364" s="191"/>
      <c r="M364" s="191"/>
      <c r="N364" s="19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191"/>
      <c r="H365" s="191"/>
      <c r="I365" s="191"/>
      <c r="J365" s="191"/>
      <c r="K365" s="191"/>
      <c r="L365" s="191"/>
      <c r="M365" s="191"/>
      <c r="N365" s="19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191"/>
      <c r="H366" s="191"/>
      <c r="I366" s="191"/>
      <c r="J366" s="191"/>
      <c r="K366" s="191"/>
      <c r="L366" s="191"/>
      <c r="M366" s="191"/>
      <c r="N366" s="19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191"/>
      <c r="H367" s="191"/>
      <c r="I367" s="191"/>
      <c r="J367" s="191"/>
      <c r="K367" s="191"/>
      <c r="L367" s="191"/>
      <c r="M367" s="191"/>
      <c r="N367" s="19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191"/>
      <c r="H368" s="191"/>
      <c r="I368" s="191"/>
      <c r="J368" s="191"/>
      <c r="K368" s="191"/>
      <c r="L368" s="191"/>
      <c r="M368" s="191"/>
      <c r="N368" s="19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191"/>
      <c r="H369" s="191"/>
      <c r="I369" s="191"/>
      <c r="J369" s="191"/>
      <c r="K369" s="191"/>
      <c r="L369" s="191"/>
      <c r="M369" s="191"/>
      <c r="N369" s="19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191"/>
      <c r="H370" s="191"/>
      <c r="I370" s="191"/>
      <c r="J370" s="191"/>
      <c r="K370" s="191"/>
      <c r="L370" s="191"/>
      <c r="M370" s="191"/>
      <c r="N370" s="19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191"/>
      <c r="H371" s="191"/>
      <c r="I371" s="191"/>
      <c r="J371" s="191"/>
      <c r="K371" s="191"/>
      <c r="L371" s="191"/>
      <c r="M371" s="191"/>
      <c r="N371" s="19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191"/>
      <c r="H372" s="191"/>
      <c r="I372" s="191"/>
      <c r="J372" s="191"/>
      <c r="K372" s="191"/>
      <c r="L372" s="191"/>
      <c r="M372" s="191"/>
      <c r="N372" s="19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191"/>
      <c r="H373" s="191"/>
      <c r="I373" s="191"/>
      <c r="J373" s="191"/>
      <c r="K373" s="191"/>
      <c r="L373" s="191"/>
      <c r="M373" s="191"/>
      <c r="N373" s="19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191"/>
      <c r="H374" s="191"/>
      <c r="I374" s="191"/>
      <c r="J374" s="191"/>
      <c r="K374" s="191"/>
      <c r="L374" s="191"/>
      <c r="M374" s="191"/>
      <c r="N374" s="19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191"/>
      <c r="H375" s="191"/>
      <c r="I375" s="191"/>
      <c r="J375" s="191"/>
      <c r="K375" s="191"/>
      <c r="L375" s="191"/>
      <c r="M375" s="191"/>
      <c r="N375" s="19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191"/>
      <c r="H376" s="191"/>
      <c r="I376" s="191"/>
      <c r="J376" s="191"/>
      <c r="K376" s="191"/>
      <c r="L376" s="191"/>
      <c r="M376" s="191"/>
      <c r="N376" s="19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191"/>
      <c r="H377" s="191"/>
      <c r="I377" s="191"/>
      <c r="J377" s="191"/>
      <c r="K377" s="191"/>
      <c r="L377" s="191"/>
      <c r="M377" s="191"/>
      <c r="N377" s="19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191"/>
      <c r="H378" s="191"/>
      <c r="I378" s="191"/>
      <c r="J378" s="191"/>
      <c r="K378" s="191"/>
      <c r="L378" s="191"/>
      <c r="M378" s="191"/>
      <c r="N378" s="19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191"/>
      <c r="H379" s="191"/>
      <c r="I379" s="191"/>
      <c r="J379" s="191"/>
      <c r="K379" s="191"/>
      <c r="L379" s="191"/>
      <c r="M379" s="191"/>
      <c r="N379" s="19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191"/>
      <c r="H380" s="191"/>
      <c r="I380" s="191"/>
      <c r="J380" s="191"/>
      <c r="K380" s="191"/>
      <c r="L380" s="191"/>
      <c r="M380" s="191"/>
      <c r="N380" s="19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191"/>
      <c r="H381" s="191"/>
      <c r="I381" s="191"/>
      <c r="J381" s="191"/>
      <c r="K381" s="191"/>
      <c r="L381" s="191"/>
      <c r="M381" s="191"/>
      <c r="N381" s="19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191"/>
      <c r="H382" s="191"/>
      <c r="I382" s="191"/>
      <c r="J382" s="191"/>
      <c r="K382" s="191"/>
      <c r="L382" s="191"/>
      <c r="M382" s="191"/>
      <c r="N382" s="19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191"/>
      <c r="H383" s="191"/>
      <c r="I383" s="191"/>
      <c r="J383" s="191"/>
      <c r="K383" s="191"/>
      <c r="L383" s="191"/>
      <c r="M383" s="191"/>
      <c r="N383" s="19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191"/>
      <c r="H384" s="191"/>
      <c r="I384" s="191"/>
      <c r="J384" s="191"/>
      <c r="K384" s="191"/>
      <c r="L384" s="191"/>
      <c r="M384" s="191"/>
      <c r="N384" s="19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191"/>
      <c r="H385" s="191"/>
      <c r="I385" s="191"/>
      <c r="J385" s="191"/>
      <c r="K385" s="191"/>
      <c r="L385" s="191"/>
      <c r="M385" s="191"/>
      <c r="N385" s="19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191"/>
      <c r="H386" s="191"/>
      <c r="I386" s="191"/>
      <c r="J386" s="191"/>
      <c r="K386" s="191"/>
      <c r="L386" s="191"/>
      <c r="M386" s="191"/>
      <c r="N386" s="19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191"/>
      <c r="H387" s="191"/>
      <c r="I387" s="191"/>
      <c r="J387" s="191"/>
      <c r="K387" s="191"/>
      <c r="L387" s="191"/>
      <c r="M387" s="191"/>
      <c r="N387" s="19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191"/>
      <c r="H388" s="191"/>
      <c r="I388" s="191"/>
      <c r="J388" s="191"/>
      <c r="K388" s="191"/>
      <c r="L388" s="191"/>
      <c r="M388" s="191"/>
      <c r="N388" s="19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191"/>
      <c r="H389" s="191"/>
      <c r="I389" s="191"/>
      <c r="J389" s="191"/>
      <c r="K389" s="191"/>
      <c r="L389" s="191"/>
      <c r="M389" s="191"/>
      <c r="N389" s="19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191"/>
      <c r="H390" s="191"/>
      <c r="I390" s="191"/>
      <c r="J390" s="191"/>
      <c r="K390" s="191"/>
      <c r="L390" s="191"/>
      <c r="M390" s="191"/>
      <c r="N390" s="19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191"/>
      <c r="H391" s="191"/>
      <c r="I391" s="191"/>
      <c r="J391" s="191"/>
      <c r="K391" s="191"/>
      <c r="L391" s="191"/>
      <c r="M391" s="191"/>
      <c r="N391" s="19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191"/>
      <c r="H392" s="191"/>
      <c r="I392" s="191"/>
      <c r="J392" s="191"/>
      <c r="K392" s="191"/>
      <c r="L392" s="191"/>
      <c r="M392" s="191"/>
      <c r="N392" s="19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191"/>
      <c r="H393" s="191"/>
      <c r="I393" s="191"/>
      <c r="J393" s="191"/>
      <c r="K393" s="191"/>
      <c r="L393" s="191"/>
      <c r="M393" s="191"/>
      <c r="N393" s="19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191"/>
      <c r="H394" s="191"/>
      <c r="I394" s="191"/>
      <c r="J394" s="191"/>
      <c r="K394" s="191"/>
      <c r="L394" s="191"/>
      <c r="M394" s="191"/>
      <c r="N394" s="19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191"/>
      <c r="H395" s="191"/>
      <c r="I395" s="191"/>
      <c r="J395" s="191"/>
      <c r="K395" s="191"/>
      <c r="L395" s="191"/>
      <c r="M395" s="191"/>
      <c r="N395" s="19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191"/>
      <c r="H396" s="191"/>
      <c r="I396" s="191"/>
      <c r="J396" s="191"/>
      <c r="K396" s="191"/>
      <c r="L396" s="191"/>
      <c r="M396" s="191"/>
      <c r="N396" s="19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191"/>
      <c r="H397" s="191"/>
      <c r="I397" s="191"/>
      <c r="J397" s="191"/>
      <c r="K397" s="191"/>
      <c r="L397" s="191"/>
      <c r="M397" s="191"/>
      <c r="N397" s="19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191"/>
      <c r="H398" s="191"/>
      <c r="I398" s="191"/>
      <c r="J398" s="191"/>
      <c r="K398" s="191"/>
      <c r="L398" s="191"/>
      <c r="M398" s="191"/>
      <c r="N398" s="19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191"/>
      <c r="H399" s="191"/>
      <c r="I399" s="191"/>
      <c r="J399" s="191"/>
      <c r="K399" s="191"/>
      <c r="L399" s="191"/>
      <c r="M399" s="191"/>
      <c r="N399" s="19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191"/>
      <c r="H400" s="191"/>
      <c r="I400" s="191"/>
      <c r="J400" s="191"/>
      <c r="K400" s="191"/>
      <c r="L400" s="191"/>
      <c r="M400" s="191"/>
      <c r="N400" s="19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191"/>
      <c r="H401" s="191"/>
      <c r="I401" s="191"/>
      <c r="J401" s="191"/>
      <c r="K401" s="191"/>
      <c r="L401" s="191"/>
      <c r="M401" s="191"/>
      <c r="N401" s="19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191"/>
      <c r="H402" s="191"/>
      <c r="I402" s="191"/>
      <c r="J402" s="191"/>
      <c r="K402" s="191"/>
      <c r="L402" s="191"/>
      <c r="M402" s="191"/>
      <c r="N402" s="19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191"/>
      <c r="H403" s="191"/>
      <c r="I403" s="191"/>
      <c r="J403" s="191"/>
      <c r="K403" s="191"/>
      <c r="L403" s="191"/>
      <c r="M403" s="191"/>
      <c r="N403" s="19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191"/>
      <c r="H404" s="191"/>
      <c r="I404" s="191"/>
      <c r="J404" s="191"/>
      <c r="K404" s="191"/>
      <c r="L404" s="191"/>
      <c r="M404" s="191"/>
      <c r="N404" s="19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191"/>
      <c r="H405" s="191"/>
      <c r="I405" s="191"/>
      <c r="J405" s="191"/>
      <c r="K405" s="191"/>
      <c r="L405" s="191"/>
      <c r="M405" s="191"/>
      <c r="N405" s="19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191"/>
      <c r="H406" s="191"/>
      <c r="I406" s="191"/>
      <c r="J406" s="191"/>
      <c r="K406" s="191"/>
      <c r="L406" s="191"/>
      <c r="M406" s="191"/>
      <c r="N406" s="19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191"/>
      <c r="H407" s="191"/>
      <c r="I407" s="191"/>
      <c r="J407" s="191"/>
      <c r="K407" s="191"/>
      <c r="L407" s="191"/>
      <c r="M407" s="191"/>
      <c r="N407" s="19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191"/>
      <c r="H408" s="191"/>
      <c r="I408" s="191"/>
      <c r="J408" s="191"/>
      <c r="K408" s="191"/>
      <c r="L408" s="191"/>
      <c r="M408" s="191"/>
      <c r="N408" s="19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191"/>
      <c r="H409" s="191"/>
      <c r="I409" s="191"/>
      <c r="J409" s="191"/>
      <c r="K409" s="191"/>
      <c r="L409" s="191"/>
      <c r="M409" s="191"/>
      <c r="N409" s="19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191"/>
      <c r="H410" s="191"/>
      <c r="I410" s="191"/>
      <c r="J410" s="191"/>
      <c r="K410" s="191"/>
      <c r="L410" s="191"/>
      <c r="M410" s="191"/>
      <c r="N410" s="19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191"/>
      <c r="H411" s="191"/>
      <c r="I411" s="191"/>
      <c r="J411" s="191"/>
      <c r="K411" s="191"/>
      <c r="L411" s="191"/>
      <c r="M411" s="191"/>
      <c r="N411" s="19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191"/>
      <c r="H412" s="191"/>
      <c r="I412" s="191"/>
      <c r="J412" s="191"/>
      <c r="K412" s="191"/>
      <c r="L412" s="191"/>
      <c r="M412" s="191"/>
      <c r="N412" s="19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191"/>
      <c r="H413" s="191"/>
      <c r="I413" s="191"/>
      <c r="J413" s="191"/>
      <c r="K413" s="191"/>
      <c r="L413" s="191"/>
      <c r="M413" s="191"/>
      <c r="N413" s="19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191"/>
      <c r="H414" s="191"/>
      <c r="I414" s="191"/>
      <c r="J414" s="191"/>
      <c r="K414" s="191"/>
      <c r="L414" s="191"/>
      <c r="M414" s="191"/>
      <c r="N414" s="19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191"/>
      <c r="H415" s="191"/>
      <c r="I415" s="191"/>
      <c r="J415" s="191"/>
      <c r="K415" s="191"/>
      <c r="L415" s="191"/>
      <c r="M415" s="191"/>
      <c r="N415" s="19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191"/>
      <c r="H416" s="191"/>
      <c r="I416" s="191"/>
      <c r="J416" s="191"/>
      <c r="K416" s="191"/>
      <c r="L416" s="191"/>
      <c r="M416" s="191"/>
      <c r="N416" s="19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191"/>
      <c r="H417" s="191"/>
      <c r="I417" s="191"/>
      <c r="J417" s="191"/>
      <c r="K417" s="191"/>
      <c r="L417" s="191"/>
      <c r="M417" s="191"/>
      <c r="N417" s="19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191"/>
      <c r="H418" s="191"/>
      <c r="I418" s="191"/>
      <c r="J418" s="191"/>
      <c r="K418" s="191"/>
      <c r="L418" s="191"/>
      <c r="M418" s="191"/>
      <c r="N418" s="19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191"/>
      <c r="H419" s="191"/>
      <c r="I419" s="191"/>
      <c r="J419" s="191"/>
      <c r="K419" s="191"/>
      <c r="L419" s="191"/>
      <c r="M419" s="191"/>
      <c r="N419" s="19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191"/>
      <c r="H420" s="191"/>
      <c r="I420" s="191"/>
      <c r="J420" s="191"/>
      <c r="K420" s="191"/>
      <c r="L420" s="191"/>
      <c r="M420" s="191"/>
      <c r="N420" s="19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191"/>
      <c r="H421" s="191"/>
      <c r="I421" s="191"/>
      <c r="J421" s="191"/>
      <c r="K421" s="191"/>
      <c r="L421" s="191"/>
      <c r="M421" s="191"/>
      <c r="N421" s="19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191"/>
      <c r="H422" s="191"/>
      <c r="I422" s="191"/>
      <c r="J422" s="191"/>
      <c r="K422" s="191"/>
      <c r="L422" s="191"/>
      <c r="M422" s="191"/>
      <c r="N422" s="19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191"/>
      <c r="H423" s="191"/>
      <c r="I423" s="191"/>
      <c r="J423" s="191"/>
      <c r="K423" s="191"/>
      <c r="L423" s="191"/>
      <c r="M423" s="191"/>
      <c r="N423" s="19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191"/>
      <c r="H424" s="191"/>
      <c r="I424" s="191"/>
      <c r="J424" s="191"/>
      <c r="K424" s="191"/>
      <c r="L424" s="191"/>
      <c r="M424" s="191"/>
      <c r="N424" s="19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191"/>
      <c r="H425" s="191"/>
      <c r="I425" s="191"/>
      <c r="J425" s="191"/>
      <c r="K425" s="191"/>
      <c r="L425" s="191"/>
      <c r="M425" s="191"/>
      <c r="N425" s="19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191"/>
      <c r="H426" s="191"/>
      <c r="I426" s="191"/>
      <c r="J426" s="191"/>
      <c r="K426" s="191"/>
      <c r="L426" s="191"/>
      <c r="M426" s="191"/>
      <c r="N426" s="19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191"/>
      <c r="H427" s="191"/>
      <c r="I427" s="191"/>
      <c r="J427" s="191"/>
      <c r="K427" s="191"/>
      <c r="L427" s="191"/>
      <c r="M427" s="191"/>
      <c r="N427" s="19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191"/>
      <c r="H428" s="191"/>
      <c r="I428" s="191"/>
      <c r="J428" s="191"/>
      <c r="K428" s="191"/>
      <c r="L428" s="191"/>
      <c r="M428" s="191"/>
      <c r="N428" s="19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191"/>
      <c r="H429" s="191"/>
      <c r="I429" s="191"/>
      <c r="J429" s="191"/>
      <c r="K429" s="191"/>
      <c r="L429" s="191"/>
      <c r="M429" s="191"/>
      <c r="N429" s="19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191"/>
      <c r="H430" s="191"/>
      <c r="I430" s="191"/>
      <c r="J430" s="191"/>
      <c r="K430" s="191"/>
      <c r="L430" s="191"/>
      <c r="M430" s="191"/>
      <c r="N430" s="19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191"/>
      <c r="H431" s="191"/>
      <c r="I431" s="191"/>
      <c r="J431" s="191"/>
      <c r="K431" s="191"/>
      <c r="L431" s="191"/>
      <c r="M431" s="191"/>
      <c r="N431" s="19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191"/>
      <c r="H432" s="191"/>
      <c r="I432" s="191"/>
      <c r="J432" s="191"/>
      <c r="K432" s="191"/>
      <c r="L432" s="191"/>
      <c r="M432" s="191"/>
      <c r="N432" s="19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191"/>
      <c r="H433" s="191"/>
      <c r="I433" s="191"/>
      <c r="J433" s="191"/>
      <c r="K433" s="191"/>
      <c r="L433" s="191"/>
      <c r="M433" s="191"/>
      <c r="N433" s="19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191"/>
      <c r="H434" s="191"/>
      <c r="I434" s="191"/>
      <c r="J434" s="191"/>
      <c r="K434" s="191"/>
      <c r="L434" s="191"/>
      <c r="M434" s="191"/>
      <c r="N434" s="19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191"/>
      <c r="H435" s="191"/>
      <c r="I435" s="191"/>
      <c r="J435" s="191"/>
      <c r="K435" s="191"/>
      <c r="L435" s="191"/>
      <c r="M435" s="191"/>
      <c r="N435" s="19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191"/>
      <c r="H436" s="191"/>
      <c r="I436" s="191"/>
      <c r="J436" s="191"/>
      <c r="K436" s="191"/>
      <c r="L436" s="191"/>
      <c r="M436" s="191"/>
      <c r="N436" s="19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191"/>
      <c r="H437" s="191"/>
      <c r="I437" s="191"/>
      <c r="J437" s="191"/>
      <c r="K437" s="191"/>
      <c r="L437" s="191"/>
      <c r="M437" s="191"/>
      <c r="N437" s="19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191"/>
      <c r="H438" s="191"/>
      <c r="I438" s="191"/>
      <c r="J438" s="191"/>
      <c r="K438" s="191"/>
      <c r="L438" s="191"/>
      <c r="M438" s="191"/>
      <c r="N438" s="19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191"/>
      <c r="H439" s="191"/>
      <c r="I439" s="191"/>
      <c r="J439" s="191"/>
      <c r="K439" s="191"/>
      <c r="L439" s="191"/>
      <c r="M439" s="191"/>
      <c r="N439" s="19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191"/>
      <c r="H440" s="191"/>
      <c r="I440" s="191"/>
      <c r="J440" s="191"/>
      <c r="K440" s="191"/>
      <c r="L440" s="191"/>
      <c r="M440" s="191"/>
      <c r="N440" s="19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191"/>
      <c r="H441" s="191"/>
      <c r="I441" s="191"/>
      <c r="J441" s="191"/>
      <c r="K441" s="191"/>
      <c r="L441" s="191"/>
      <c r="M441" s="191"/>
      <c r="N441" s="19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191"/>
      <c r="H442" s="191"/>
      <c r="I442" s="191"/>
      <c r="J442" s="191"/>
      <c r="K442" s="191"/>
      <c r="L442" s="191"/>
      <c r="M442" s="191"/>
      <c r="N442" s="19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191"/>
      <c r="H443" s="191"/>
      <c r="I443" s="191"/>
      <c r="J443" s="191"/>
      <c r="K443" s="191"/>
      <c r="L443" s="191"/>
      <c r="M443" s="191"/>
      <c r="N443" s="19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191"/>
      <c r="H444" s="191"/>
      <c r="I444" s="191"/>
      <c r="J444" s="191"/>
      <c r="K444" s="191"/>
      <c r="L444" s="191"/>
      <c r="M444" s="191"/>
      <c r="N444" s="19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191"/>
      <c r="H445" s="191"/>
      <c r="I445" s="191"/>
      <c r="J445" s="191"/>
      <c r="K445" s="191"/>
      <c r="L445" s="191"/>
      <c r="M445" s="191"/>
      <c r="N445" s="19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191"/>
      <c r="H446" s="191"/>
      <c r="I446" s="191"/>
      <c r="J446" s="191"/>
      <c r="K446" s="191"/>
      <c r="L446" s="191"/>
      <c r="M446" s="191"/>
      <c r="N446" s="19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191"/>
      <c r="H447" s="191"/>
      <c r="I447" s="191"/>
      <c r="J447" s="191"/>
      <c r="K447" s="191"/>
      <c r="L447" s="191"/>
      <c r="M447" s="191"/>
      <c r="N447" s="19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191"/>
      <c r="H448" s="191"/>
      <c r="I448" s="191"/>
      <c r="J448" s="191"/>
      <c r="K448" s="191"/>
      <c r="L448" s="191"/>
      <c r="M448" s="191"/>
      <c r="N448" s="19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191"/>
      <c r="H449" s="191"/>
      <c r="I449" s="191"/>
      <c r="J449" s="191"/>
      <c r="K449" s="191"/>
      <c r="L449" s="191"/>
      <c r="M449" s="191"/>
      <c r="N449" s="19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191"/>
      <c r="H450" s="191"/>
      <c r="I450" s="191"/>
      <c r="J450" s="191"/>
      <c r="K450" s="191"/>
      <c r="L450" s="191"/>
      <c r="M450" s="191"/>
      <c r="N450" s="19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191"/>
      <c r="H451" s="191"/>
      <c r="I451" s="191"/>
      <c r="J451" s="191"/>
      <c r="K451" s="191"/>
      <c r="L451" s="191"/>
      <c r="M451" s="191"/>
      <c r="N451" s="19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191"/>
      <c r="H452" s="191"/>
      <c r="I452" s="191"/>
      <c r="J452" s="191"/>
      <c r="K452" s="191"/>
      <c r="L452" s="191"/>
      <c r="M452" s="191"/>
      <c r="N452" s="19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191"/>
      <c r="H453" s="191"/>
      <c r="I453" s="191"/>
      <c r="J453" s="191"/>
      <c r="K453" s="191"/>
      <c r="L453" s="191"/>
      <c r="M453" s="191"/>
      <c r="N453" s="19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191"/>
      <c r="H454" s="191"/>
      <c r="I454" s="191"/>
      <c r="J454" s="191"/>
      <c r="K454" s="191"/>
      <c r="L454" s="191"/>
      <c r="M454" s="191"/>
      <c r="N454" s="19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191"/>
      <c r="H455" s="191"/>
      <c r="I455" s="191"/>
      <c r="J455" s="191"/>
      <c r="K455" s="191"/>
      <c r="L455" s="191"/>
      <c r="M455" s="191"/>
      <c r="N455" s="19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191"/>
      <c r="H456" s="191"/>
      <c r="I456" s="191"/>
      <c r="J456" s="191"/>
      <c r="K456" s="191"/>
      <c r="L456" s="191"/>
      <c r="M456" s="191"/>
      <c r="N456" s="19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191"/>
      <c r="H457" s="191"/>
      <c r="I457" s="191"/>
      <c r="J457" s="191"/>
      <c r="K457" s="191"/>
      <c r="L457" s="191"/>
      <c r="M457" s="191"/>
      <c r="N457" s="19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191"/>
      <c r="H458" s="191"/>
      <c r="I458" s="191"/>
      <c r="J458" s="191"/>
      <c r="K458" s="191"/>
      <c r="L458" s="191"/>
      <c r="M458" s="191"/>
      <c r="N458" s="19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191"/>
      <c r="H459" s="191"/>
      <c r="I459" s="191"/>
      <c r="J459" s="191"/>
      <c r="K459" s="191"/>
      <c r="L459" s="191"/>
      <c r="M459" s="191"/>
      <c r="N459" s="19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191"/>
      <c r="H460" s="191"/>
      <c r="I460" s="191"/>
      <c r="J460" s="191"/>
      <c r="K460" s="191"/>
      <c r="L460" s="191"/>
      <c r="M460" s="191"/>
      <c r="N460" s="19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191"/>
      <c r="H461" s="191"/>
      <c r="I461" s="191"/>
      <c r="J461" s="191"/>
      <c r="K461" s="191"/>
      <c r="L461" s="191"/>
      <c r="M461" s="191"/>
      <c r="N461" s="19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191"/>
      <c r="H462" s="191"/>
      <c r="I462" s="191"/>
      <c r="J462" s="191"/>
      <c r="K462" s="191"/>
      <c r="L462" s="191"/>
      <c r="M462" s="191"/>
      <c r="N462" s="19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191"/>
      <c r="H463" s="191"/>
      <c r="I463" s="191"/>
      <c r="J463" s="191"/>
      <c r="K463" s="191"/>
      <c r="L463" s="191"/>
      <c r="M463" s="191"/>
      <c r="N463" s="19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191"/>
      <c r="H464" s="191"/>
      <c r="I464" s="191"/>
      <c r="J464" s="191"/>
      <c r="K464" s="191"/>
      <c r="L464" s="191"/>
      <c r="M464" s="191"/>
      <c r="N464" s="19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191"/>
      <c r="H465" s="191"/>
      <c r="I465" s="191"/>
      <c r="J465" s="191"/>
      <c r="K465" s="191"/>
      <c r="L465" s="191"/>
      <c r="M465" s="191"/>
      <c r="N465" s="19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191"/>
      <c r="H466" s="191"/>
      <c r="I466" s="191"/>
      <c r="J466" s="191"/>
      <c r="K466" s="191"/>
      <c r="L466" s="191"/>
      <c r="M466" s="191"/>
      <c r="N466" s="19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191"/>
      <c r="H467" s="191"/>
      <c r="I467" s="191"/>
      <c r="J467" s="191"/>
      <c r="K467" s="191"/>
      <c r="L467" s="191"/>
      <c r="M467" s="191"/>
      <c r="N467" s="19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191"/>
      <c r="H468" s="191"/>
      <c r="I468" s="191"/>
      <c r="J468" s="191"/>
      <c r="K468" s="191"/>
      <c r="L468" s="191"/>
      <c r="M468" s="191"/>
      <c r="N468" s="19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191"/>
      <c r="H469" s="191"/>
      <c r="I469" s="191"/>
      <c r="J469" s="191"/>
      <c r="K469" s="191"/>
      <c r="L469" s="191"/>
      <c r="M469" s="191"/>
      <c r="N469" s="19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191"/>
      <c r="H470" s="191"/>
      <c r="I470" s="191"/>
      <c r="J470" s="191"/>
      <c r="K470" s="191"/>
      <c r="L470" s="191"/>
      <c r="M470" s="191"/>
      <c r="N470" s="19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191"/>
      <c r="H471" s="191"/>
      <c r="I471" s="191"/>
      <c r="J471" s="191"/>
      <c r="K471" s="191"/>
      <c r="L471" s="191"/>
      <c r="M471" s="191"/>
      <c r="N471" s="19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191"/>
      <c r="H472" s="191"/>
      <c r="I472" s="191"/>
      <c r="J472" s="191"/>
      <c r="K472" s="191"/>
      <c r="L472" s="191"/>
      <c r="M472" s="191"/>
      <c r="N472" s="19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191"/>
      <c r="H473" s="191"/>
      <c r="I473" s="191"/>
      <c r="J473" s="191"/>
      <c r="K473" s="191"/>
      <c r="L473" s="191"/>
      <c r="M473" s="191"/>
      <c r="N473" s="19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191"/>
      <c r="H474" s="191"/>
      <c r="I474" s="191"/>
      <c r="J474" s="191"/>
      <c r="K474" s="191"/>
      <c r="L474" s="191"/>
      <c r="M474" s="191"/>
      <c r="N474" s="19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191"/>
      <c r="H475" s="191"/>
      <c r="I475" s="191"/>
      <c r="J475" s="191"/>
      <c r="K475" s="191"/>
      <c r="L475" s="191"/>
      <c r="M475" s="191"/>
      <c r="N475" s="19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191"/>
      <c r="H476" s="191"/>
      <c r="I476" s="191"/>
      <c r="J476" s="191"/>
      <c r="K476" s="191"/>
      <c r="L476" s="191"/>
      <c r="M476" s="191"/>
      <c r="N476" s="19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191"/>
      <c r="H477" s="191"/>
      <c r="I477" s="191"/>
      <c r="J477" s="191"/>
      <c r="K477" s="191"/>
      <c r="L477" s="191"/>
      <c r="M477" s="191"/>
      <c r="N477" s="19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191"/>
      <c r="H478" s="191"/>
      <c r="I478" s="191"/>
      <c r="J478" s="191"/>
      <c r="K478" s="191"/>
      <c r="L478" s="191"/>
      <c r="M478" s="191"/>
      <c r="N478" s="19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191"/>
      <c r="H479" s="191"/>
      <c r="I479" s="191"/>
      <c r="J479" s="191"/>
      <c r="K479" s="191"/>
      <c r="L479" s="191"/>
      <c r="M479" s="191"/>
      <c r="N479" s="19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191"/>
      <c r="H480" s="191"/>
      <c r="I480" s="191"/>
      <c r="J480" s="191"/>
      <c r="K480" s="191"/>
      <c r="L480" s="191"/>
      <c r="M480" s="191"/>
      <c r="N480" s="19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191"/>
      <c r="H481" s="191"/>
      <c r="I481" s="191"/>
      <c r="J481" s="191"/>
      <c r="K481" s="191"/>
      <c r="L481" s="191"/>
      <c r="M481" s="191"/>
      <c r="N481" s="19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191"/>
      <c r="H482" s="191"/>
      <c r="I482" s="191"/>
      <c r="J482" s="191"/>
      <c r="K482" s="191"/>
      <c r="L482" s="191"/>
      <c r="M482" s="191"/>
      <c r="N482" s="19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191"/>
      <c r="H483" s="191"/>
      <c r="I483" s="191"/>
      <c r="J483" s="191"/>
      <c r="K483" s="191"/>
      <c r="L483" s="191"/>
      <c r="M483" s="191"/>
      <c r="N483" s="19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191"/>
      <c r="H484" s="191"/>
      <c r="I484" s="191"/>
      <c r="J484" s="191"/>
      <c r="K484" s="191"/>
      <c r="L484" s="191"/>
      <c r="M484" s="191"/>
      <c r="N484" s="19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191"/>
      <c r="H485" s="191"/>
      <c r="I485" s="191"/>
      <c r="J485" s="191"/>
      <c r="K485" s="191"/>
      <c r="L485" s="191"/>
      <c r="M485" s="191"/>
      <c r="N485" s="19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191"/>
      <c r="H486" s="191"/>
      <c r="I486" s="191"/>
      <c r="J486" s="191"/>
      <c r="K486" s="191"/>
      <c r="L486" s="191"/>
      <c r="M486" s="191"/>
      <c r="N486" s="19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191"/>
      <c r="H487" s="191"/>
      <c r="I487" s="191"/>
      <c r="J487" s="191"/>
      <c r="K487" s="191"/>
      <c r="L487" s="191"/>
      <c r="M487" s="191"/>
      <c r="N487" s="19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191"/>
      <c r="H488" s="191"/>
      <c r="I488" s="191"/>
      <c r="J488" s="191"/>
      <c r="K488" s="191"/>
      <c r="L488" s="191"/>
      <c r="M488" s="191"/>
      <c r="N488" s="19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191"/>
      <c r="H489" s="191"/>
      <c r="I489" s="191"/>
      <c r="J489" s="191"/>
      <c r="K489" s="191"/>
      <c r="L489" s="191"/>
      <c r="M489" s="191"/>
      <c r="N489" s="19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191"/>
      <c r="H490" s="191"/>
      <c r="I490" s="191"/>
      <c r="J490" s="191"/>
      <c r="K490" s="191"/>
      <c r="L490" s="191"/>
      <c r="M490" s="191"/>
      <c r="N490" s="19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191"/>
      <c r="H491" s="191"/>
      <c r="I491" s="191"/>
      <c r="J491" s="191"/>
      <c r="K491" s="191"/>
      <c r="L491" s="191"/>
      <c r="M491" s="191"/>
      <c r="N491" s="19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191"/>
      <c r="H492" s="191"/>
      <c r="I492" s="191"/>
      <c r="J492" s="191"/>
      <c r="K492" s="191"/>
      <c r="L492" s="191"/>
      <c r="M492" s="191"/>
      <c r="N492" s="19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191"/>
      <c r="H493" s="191"/>
      <c r="I493" s="191"/>
      <c r="J493" s="191"/>
      <c r="K493" s="191"/>
      <c r="L493" s="191"/>
      <c r="M493" s="191"/>
      <c r="N493" s="19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191"/>
      <c r="H494" s="191"/>
      <c r="I494" s="191"/>
      <c r="J494" s="191"/>
      <c r="K494" s="191"/>
      <c r="L494" s="191"/>
      <c r="M494" s="191"/>
      <c r="N494" s="19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191"/>
      <c r="H495" s="191"/>
      <c r="I495" s="191"/>
      <c r="J495" s="191"/>
      <c r="K495" s="191"/>
      <c r="L495" s="191"/>
      <c r="M495" s="191"/>
      <c r="N495" s="19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191"/>
      <c r="H496" s="191"/>
      <c r="I496" s="191"/>
      <c r="J496" s="191"/>
      <c r="K496" s="191"/>
      <c r="L496" s="191"/>
      <c r="M496" s="191"/>
      <c r="N496" s="19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191"/>
      <c r="H497" s="191"/>
      <c r="I497" s="191"/>
      <c r="J497" s="191"/>
      <c r="K497" s="191"/>
      <c r="L497" s="191"/>
      <c r="M497" s="191"/>
      <c r="N497" s="19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191"/>
      <c r="H498" s="191"/>
      <c r="I498" s="191"/>
      <c r="J498" s="191"/>
      <c r="K498" s="191"/>
      <c r="L498" s="191"/>
      <c r="M498" s="191"/>
      <c r="N498" s="19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191"/>
      <c r="H499" s="191"/>
      <c r="I499" s="191"/>
      <c r="J499" s="191"/>
      <c r="K499" s="191"/>
      <c r="L499" s="191"/>
      <c r="M499" s="191"/>
      <c r="N499" s="19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191"/>
      <c r="H500" s="191"/>
      <c r="I500" s="191"/>
      <c r="J500" s="191"/>
      <c r="K500" s="191"/>
      <c r="L500" s="191"/>
      <c r="M500" s="191"/>
      <c r="N500" s="19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191"/>
      <c r="H501" s="191"/>
      <c r="I501" s="191"/>
      <c r="J501" s="191"/>
      <c r="K501" s="191"/>
      <c r="L501" s="191"/>
      <c r="M501" s="191"/>
      <c r="N501" s="19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191"/>
      <c r="H502" s="191"/>
      <c r="I502" s="191"/>
      <c r="J502" s="191"/>
      <c r="K502" s="191"/>
      <c r="L502" s="191"/>
      <c r="M502" s="191"/>
      <c r="N502" s="19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191"/>
      <c r="H503" s="191"/>
      <c r="I503" s="191"/>
      <c r="J503" s="191"/>
      <c r="K503" s="191"/>
      <c r="L503" s="191"/>
      <c r="M503" s="191"/>
      <c r="N503" s="19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191"/>
      <c r="H504" s="191"/>
      <c r="I504" s="191"/>
      <c r="J504" s="191"/>
      <c r="K504" s="191"/>
      <c r="L504" s="191"/>
      <c r="M504" s="191"/>
      <c r="N504" s="19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191"/>
      <c r="H505" s="191"/>
      <c r="I505" s="191"/>
      <c r="J505" s="191"/>
      <c r="K505" s="191"/>
      <c r="L505" s="191"/>
      <c r="M505" s="191"/>
      <c r="N505" s="19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191"/>
      <c r="H506" s="191"/>
      <c r="I506" s="191"/>
      <c r="J506" s="191"/>
      <c r="K506" s="191"/>
      <c r="L506" s="191"/>
      <c r="M506" s="191"/>
      <c r="N506" s="19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191"/>
      <c r="H507" s="191"/>
      <c r="I507" s="191"/>
      <c r="J507" s="191"/>
      <c r="K507" s="191"/>
      <c r="L507" s="191"/>
      <c r="M507" s="191"/>
      <c r="N507" s="19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191"/>
      <c r="H508" s="191"/>
      <c r="I508" s="191"/>
      <c r="J508" s="191"/>
      <c r="K508" s="191"/>
      <c r="L508" s="191"/>
      <c r="M508" s="191"/>
      <c r="N508" s="19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191"/>
      <c r="H509" s="191"/>
      <c r="I509" s="191"/>
      <c r="J509" s="191"/>
      <c r="K509" s="191"/>
      <c r="L509" s="191"/>
      <c r="M509" s="191"/>
      <c r="N509" s="19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191"/>
      <c r="H510" s="191"/>
      <c r="I510" s="191"/>
      <c r="J510" s="191"/>
      <c r="K510" s="191"/>
      <c r="L510" s="191"/>
      <c r="M510" s="191"/>
      <c r="N510" s="19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191"/>
      <c r="H511" s="191"/>
      <c r="I511" s="191"/>
      <c r="J511" s="191"/>
      <c r="K511" s="191"/>
      <c r="L511" s="191"/>
      <c r="M511" s="191"/>
      <c r="N511" s="19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191"/>
      <c r="H512" s="191"/>
      <c r="I512" s="191"/>
      <c r="J512" s="191"/>
      <c r="K512" s="191"/>
      <c r="L512" s="191"/>
      <c r="M512" s="191"/>
      <c r="N512" s="19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191"/>
      <c r="H513" s="191"/>
      <c r="I513" s="191"/>
      <c r="J513" s="191"/>
      <c r="K513" s="191"/>
      <c r="L513" s="191"/>
      <c r="M513" s="191"/>
      <c r="N513" s="19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191"/>
      <c r="H514" s="191"/>
      <c r="I514" s="191"/>
      <c r="J514" s="191"/>
      <c r="K514" s="191"/>
      <c r="L514" s="191"/>
      <c r="M514" s="191"/>
      <c r="N514" s="19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191"/>
      <c r="H515" s="191"/>
      <c r="I515" s="191"/>
      <c r="J515" s="191"/>
      <c r="K515" s="191"/>
      <c r="L515" s="191"/>
      <c r="M515" s="191"/>
      <c r="N515" s="19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191"/>
      <c r="H516" s="191"/>
      <c r="I516" s="191"/>
      <c r="J516" s="191"/>
      <c r="K516" s="191"/>
      <c r="L516" s="191"/>
      <c r="M516" s="191"/>
      <c r="N516" s="19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191"/>
      <c r="H517" s="191"/>
      <c r="I517" s="191"/>
      <c r="J517" s="191"/>
      <c r="K517" s="191"/>
      <c r="L517" s="191"/>
      <c r="M517" s="191"/>
      <c r="N517" s="19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191"/>
      <c r="H518" s="191"/>
      <c r="I518" s="191"/>
      <c r="J518" s="191"/>
      <c r="K518" s="191"/>
      <c r="L518" s="191"/>
      <c r="M518" s="191"/>
      <c r="N518" s="19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191"/>
      <c r="H519" s="191"/>
      <c r="I519" s="191"/>
      <c r="J519" s="191"/>
      <c r="K519" s="191"/>
      <c r="L519" s="191"/>
      <c r="M519" s="191"/>
      <c r="N519" s="19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191"/>
      <c r="H520" s="191"/>
      <c r="I520" s="191"/>
      <c r="J520" s="191"/>
      <c r="K520" s="191"/>
      <c r="L520" s="191"/>
      <c r="M520" s="191"/>
      <c r="N520" s="19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191"/>
      <c r="H521" s="191"/>
      <c r="I521" s="191"/>
      <c r="J521" s="191"/>
      <c r="K521" s="191"/>
      <c r="L521" s="191"/>
      <c r="M521" s="191"/>
      <c r="N521" s="19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191"/>
      <c r="H522" s="191"/>
      <c r="I522" s="191"/>
      <c r="J522" s="191"/>
      <c r="K522" s="191"/>
      <c r="L522" s="191"/>
      <c r="M522" s="191"/>
      <c r="N522" s="19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191"/>
      <c r="H523" s="191"/>
      <c r="I523" s="191"/>
      <c r="J523" s="191"/>
      <c r="K523" s="191"/>
      <c r="L523" s="191"/>
      <c r="M523" s="191"/>
      <c r="N523" s="19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191"/>
      <c r="H524" s="191"/>
      <c r="I524" s="191"/>
      <c r="J524" s="191"/>
      <c r="K524" s="191"/>
      <c r="L524" s="191"/>
      <c r="M524" s="191"/>
      <c r="N524" s="19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191"/>
      <c r="H525" s="191"/>
      <c r="I525" s="191"/>
      <c r="J525" s="191"/>
      <c r="K525" s="191"/>
      <c r="L525" s="191"/>
      <c r="M525" s="191"/>
      <c r="N525" s="19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191"/>
      <c r="H526" s="191"/>
      <c r="I526" s="191"/>
      <c r="J526" s="191"/>
      <c r="K526" s="191"/>
      <c r="L526" s="191"/>
      <c r="M526" s="191"/>
      <c r="N526" s="19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191"/>
      <c r="H527" s="191"/>
      <c r="I527" s="191"/>
      <c r="J527" s="191"/>
      <c r="K527" s="191"/>
      <c r="L527" s="191"/>
      <c r="M527" s="191"/>
      <c r="N527" s="19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191"/>
      <c r="H528" s="191"/>
      <c r="I528" s="191"/>
      <c r="J528" s="191"/>
      <c r="K528" s="191"/>
      <c r="L528" s="191"/>
      <c r="M528" s="191"/>
      <c r="N528" s="19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191"/>
      <c r="H529" s="191"/>
      <c r="I529" s="191"/>
      <c r="J529" s="191"/>
      <c r="K529" s="191"/>
      <c r="L529" s="191"/>
      <c r="M529" s="191"/>
      <c r="N529" s="19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191"/>
      <c r="H530" s="191"/>
      <c r="I530" s="191"/>
      <c r="J530" s="191"/>
      <c r="K530" s="191"/>
      <c r="L530" s="191"/>
      <c r="M530" s="191"/>
      <c r="N530" s="19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191"/>
      <c r="H531" s="191"/>
      <c r="I531" s="191"/>
      <c r="J531" s="191"/>
      <c r="K531" s="191"/>
      <c r="L531" s="191"/>
      <c r="M531" s="191"/>
      <c r="N531" s="19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191"/>
      <c r="H532" s="191"/>
      <c r="I532" s="191"/>
      <c r="J532" s="191"/>
      <c r="K532" s="191"/>
      <c r="L532" s="191"/>
      <c r="M532" s="191"/>
      <c r="N532" s="19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191"/>
      <c r="H533" s="191"/>
      <c r="I533" s="191"/>
      <c r="J533" s="191"/>
      <c r="K533" s="191"/>
      <c r="L533" s="191"/>
      <c r="M533" s="191"/>
      <c r="N533" s="19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191"/>
      <c r="H534" s="191"/>
      <c r="I534" s="191"/>
      <c r="J534" s="191"/>
      <c r="K534" s="191"/>
      <c r="L534" s="191"/>
      <c r="M534" s="191"/>
      <c r="N534" s="19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191"/>
      <c r="H535" s="191"/>
      <c r="I535" s="191"/>
      <c r="J535" s="191"/>
      <c r="K535" s="191"/>
      <c r="L535" s="191"/>
      <c r="M535" s="191"/>
      <c r="N535" s="19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191"/>
      <c r="H536" s="191"/>
      <c r="I536" s="191"/>
      <c r="J536" s="191"/>
      <c r="K536" s="191"/>
      <c r="L536" s="191"/>
      <c r="M536" s="191"/>
      <c r="N536" s="19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191"/>
      <c r="H537" s="191"/>
      <c r="I537" s="191"/>
      <c r="J537" s="191"/>
      <c r="K537" s="191"/>
      <c r="L537" s="191"/>
      <c r="M537" s="191"/>
      <c r="N537" s="19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191"/>
      <c r="H538" s="191"/>
      <c r="I538" s="191"/>
      <c r="J538" s="191"/>
      <c r="K538" s="191"/>
      <c r="L538" s="191"/>
      <c r="M538" s="191"/>
      <c r="N538" s="19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191"/>
      <c r="H539" s="191"/>
      <c r="I539" s="191"/>
      <c r="J539" s="191"/>
      <c r="K539" s="191"/>
      <c r="L539" s="191"/>
      <c r="M539" s="191"/>
      <c r="N539" s="19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191"/>
      <c r="H540" s="191"/>
      <c r="I540" s="191"/>
      <c r="J540" s="191"/>
      <c r="K540" s="191"/>
      <c r="L540" s="191"/>
      <c r="M540" s="191"/>
      <c r="N540" s="19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191"/>
      <c r="H541" s="191"/>
      <c r="I541" s="191"/>
      <c r="J541" s="191"/>
      <c r="K541" s="191"/>
      <c r="L541" s="191"/>
      <c r="M541" s="191"/>
      <c r="N541" s="19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191"/>
      <c r="H542" s="191"/>
      <c r="I542" s="191"/>
      <c r="J542" s="191"/>
      <c r="K542" s="191"/>
      <c r="L542" s="191"/>
      <c r="M542" s="191"/>
      <c r="N542" s="19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191"/>
      <c r="H543" s="191"/>
      <c r="I543" s="191"/>
      <c r="J543" s="191"/>
      <c r="K543" s="191"/>
      <c r="L543" s="191"/>
      <c r="M543" s="191"/>
      <c r="N543" s="19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191"/>
      <c r="H544" s="191"/>
      <c r="I544" s="191"/>
      <c r="J544" s="191"/>
      <c r="K544" s="191"/>
      <c r="L544" s="191"/>
      <c r="M544" s="191"/>
      <c r="N544" s="19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191"/>
      <c r="H545" s="191"/>
      <c r="I545" s="191"/>
      <c r="J545" s="191"/>
      <c r="K545" s="191"/>
      <c r="L545" s="191"/>
      <c r="M545" s="191"/>
      <c r="N545" s="19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191"/>
      <c r="H546" s="191"/>
      <c r="I546" s="191"/>
      <c r="J546" s="191"/>
      <c r="K546" s="191"/>
      <c r="L546" s="191"/>
      <c r="M546" s="191"/>
      <c r="N546" s="19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191"/>
      <c r="H547" s="191"/>
      <c r="I547" s="191"/>
      <c r="J547" s="191"/>
      <c r="K547" s="191"/>
      <c r="L547" s="191"/>
      <c r="M547" s="191"/>
      <c r="N547" s="19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191"/>
      <c r="H548" s="191"/>
      <c r="I548" s="191"/>
      <c r="J548" s="191"/>
      <c r="K548" s="191"/>
      <c r="L548" s="191"/>
      <c r="M548" s="191"/>
      <c r="N548" s="19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191"/>
      <c r="H549" s="191"/>
      <c r="I549" s="191"/>
      <c r="J549" s="191"/>
      <c r="K549" s="191"/>
      <c r="L549" s="191"/>
      <c r="M549" s="191"/>
      <c r="N549" s="19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191"/>
      <c r="H550" s="191"/>
      <c r="I550" s="191"/>
      <c r="J550" s="191"/>
      <c r="K550" s="191"/>
      <c r="L550" s="191"/>
      <c r="M550" s="191"/>
      <c r="N550" s="19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191"/>
      <c r="H551" s="191"/>
      <c r="I551" s="191"/>
      <c r="J551" s="191"/>
      <c r="K551" s="191"/>
      <c r="L551" s="191"/>
      <c r="M551" s="191"/>
      <c r="N551" s="19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191"/>
      <c r="H552" s="191"/>
      <c r="I552" s="191"/>
      <c r="J552" s="191"/>
      <c r="K552" s="191"/>
      <c r="L552" s="191"/>
      <c r="M552" s="191"/>
      <c r="N552" s="19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191"/>
      <c r="H553" s="191"/>
      <c r="I553" s="191"/>
      <c r="J553" s="191"/>
      <c r="K553" s="191"/>
      <c r="L553" s="191"/>
      <c r="M553" s="191"/>
      <c r="N553" s="19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191"/>
      <c r="H554" s="191"/>
      <c r="I554" s="191"/>
      <c r="J554" s="191"/>
      <c r="K554" s="191"/>
      <c r="L554" s="191"/>
      <c r="M554" s="191"/>
      <c r="N554" s="19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191"/>
      <c r="H555" s="191"/>
      <c r="I555" s="191"/>
      <c r="J555" s="191"/>
      <c r="K555" s="191"/>
      <c r="L555" s="191"/>
      <c r="M555" s="191"/>
      <c r="N555" s="19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191"/>
      <c r="H556" s="191"/>
      <c r="I556" s="191"/>
      <c r="J556" s="191"/>
      <c r="K556" s="191"/>
      <c r="L556" s="191"/>
      <c r="M556" s="191"/>
      <c r="N556" s="19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191"/>
      <c r="H557" s="191"/>
      <c r="I557" s="191"/>
      <c r="J557" s="191"/>
      <c r="K557" s="191"/>
      <c r="L557" s="191"/>
      <c r="M557" s="191"/>
      <c r="N557" s="19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191"/>
      <c r="H558" s="191"/>
      <c r="I558" s="191"/>
      <c r="J558" s="191"/>
      <c r="K558" s="191"/>
      <c r="L558" s="191"/>
      <c r="M558" s="191"/>
      <c r="N558" s="19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191"/>
      <c r="H559" s="191"/>
      <c r="I559" s="191"/>
      <c r="J559" s="191"/>
      <c r="K559" s="191"/>
      <c r="L559" s="191"/>
      <c r="M559" s="191"/>
      <c r="N559" s="19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191"/>
      <c r="H560" s="191"/>
      <c r="I560" s="191"/>
      <c r="J560" s="191"/>
      <c r="K560" s="191"/>
      <c r="L560" s="191"/>
      <c r="M560" s="191"/>
      <c r="N560" s="19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191"/>
      <c r="H561" s="191"/>
      <c r="I561" s="191"/>
      <c r="J561" s="191"/>
      <c r="K561" s="191"/>
      <c r="L561" s="191"/>
      <c r="M561" s="191"/>
      <c r="N561" s="19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191"/>
      <c r="H562" s="191"/>
      <c r="I562" s="191"/>
      <c r="J562" s="191"/>
      <c r="K562" s="191"/>
      <c r="L562" s="191"/>
      <c r="M562" s="191"/>
      <c r="N562" s="19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191"/>
      <c r="H563" s="191"/>
      <c r="I563" s="191"/>
      <c r="J563" s="191"/>
      <c r="K563" s="191"/>
      <c r="L563" s="191"/>
      <c r="M563" s="191"/>
      <c r="N563" s="19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191"/>
      <c r="H564" s="191"/>
      <c r="I564" s="191"/>
      <c r="J564" s="191"/>
      <c r="K564" s="191"/>
      <c r="L564" s="191"/>
      <c r="M564" s="191"/>
      <c r="N564" s="19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191"/>
      <c r="H565" s="191"/>
      <c r="I565" s="191"/>
      <c r="J565" s="191"/>
      <c r="K565" s="191"/>
      <c r="L565" s="191"/>
      <c r="M565" s="191"/>
      <c r="N565" s="19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191"/>
      <c r="H566" s="191"/>
      <c r="I566" s="191"/>
      <c r="J566" s="191"/>
      <c r="K566" s="191"/>
      <c r="L566" s="191"/>
      <c r="M566" s="191"/>
      <c r="N566" s="19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191"/>
      <c r="H567" s="191"/>
      <c r="I567" s="191"/>
      <c r="J567" s="191"/>
      <c r="K567" s="191"/>
      <c r="L567" s="191"/>
      <c r="M567" s="191"/>
      <c r="N567" s="19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191"/>
      <c r="H568" s="191"/>
      <c r="I568" s="191"/>
      <c r="J568" s="191"/>
      <c r="K568" s="191"/>
      <c r="L568" s="191"/>
      <c r="M568" s="191"/>
      <c r="N568" s="19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5" max="5" width="20.63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18.88"/>
    <col customWidth="1" min="20" max="20" width="26.0"/>
    <col customWidth="1" min="21" max="21" width="18.5"/>
    <col customWidth="1" min="24" max="24" width="13.38"/>
  </cols>
  <sheetData>
    <row r="1">
      <c r="A1" s="1"/>
      <c r="B1" s="2" t="s">
        <v>0</v>
      </c>
      <c r="C1" s="4">
        <f>AVERAGE(C98:C118)</f>
        <v>307.8904762</v>
      </c>
      <c r="D1" s="1"/>
      <c r="E1" s="2" t="s">
        <v>0</v>
      </c>
      <c r="F1" s="4">
        <f>AVERAGE(F98:F118)</f>
        <v>340.7547619</v>
      </c>
      <c r="G1" s="1">
        <f>STDEV(F74:F93)</f>
        <v>23.44157505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197</v>
      </c>
      <c r="V1" s="7" t="s">
        <v>198</v>
      </c>
      <c r="W1" s="7" t="s">
        <v>11</v>
      </c>
      <c r="X1" s="13" t="s">
        <v>12</v>
      </c>
      <c r="Y1" s="1"/>
      <c r="Z1" s="1"/>
      <c r="AA1" s="1"/>
      <c r="AB1" s="1"/>
      <c r="AC1" s="1"/>
    </row>
    <row r="2">
      <c r="A2" s="1"/>
      <c r="B2" s="17" t="s">
        <v>20</v>
      </c>
      <c r="C2" s="19">
        <f>AVERAGE(C18:C88)</f>
        <v>351.4091549</v>
      </c>
      <c r="D2" s="1"/>
      <c r="E2" s="17" t="s">
        <v>20</v>
      </c>
      <c r="F2" s="19">
        <f>AVERAGE(F88:F118)</f>
        <v>345.0290323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0.8996005797</v>
      </c>
      <c r="O2" s="7" t="s">
        <v>25</v>
      </c>
      <c r="P2" s="29">
        <f>AVERAGE(K88:K117)</f>
        <v>0.9040383684</v>
      </c>
      <c r="Q2" s="29">
        <f>MAX(K88:K117)</f>
        <v>0.9613440381</v>
      </c>
      <c r="R2" s="29">
        <f>MIN(K88:K117)</f>
        <v>0.8840245776</v>
      </c>
      <c r="S2" s="40">
        <f t="shared" ref="S2:S5" si="1">Q2-R2</f>
        <v>0.07731946049</v>
      </c>
      <c r="T2" s="1">
        <f>MATCH(MAX(K11:K116), K11:K116, 0)</f>
        <v>84</v>
      </c>
      <c r="U2" s="1">
        <f t="array" ref="U2">INDEX(C11:C116, MATCH(MAX(K11:K116), K11:K116, 0))</f>
        <v>323.3</v>
      </c>
      <c r="V2" s="1">
        <f t="array" ref="V2">INDEX(F11:F116, MATCH(MAX(K11:K116), K11:K116, 0))</f>
        <v>336.3</v>
      </c>
      <c r="W2" s="54">
        <f t="shared" ref="W2:W3" si="2">U2/V2</f>
        <v>0.9613440381</v>
      </c>
      <c r="X2" s="7" t="s">
        <v>2</v>
      </c>
      <c r="Y2" s="1"/>
      <c r="Z2" s="1"/>
      <c r="AA2" s="1"/>
      <c r="AB2" s="1"/>
      <c r="AC2" s="1"/>
    </row>
    <row r="3">
      <c r="A3" s="1">
        <f>STDEV(C75:C93)</f>
        <v>16.13089867</v>
      </c>
      <c r="B3" s="58" t="s">
        <v>61</v>
      </c>
      <c r="C3" s="61">
        <f>max(C98:C118)</f>
        <v>318.7</v>
      </c>
      <c r="D3" s="65">
        <f>C1+A3*2</f>
        <v>340.1522735</v>
      </c>
      <c r="E3" s="58" t="s">
        <v>61</v>
      </c>
      <c r="F3" s="61">
        <f>max(F98:F118)</f>
        <v>355.9</v>
      </c>
      <c r="G3" s="65">
        <f>F1+G1*2</f>
        <v>387.637912</v>
      </c>
      <c r="H3" s="1"/>
      <c r="I3" s="1"/>
      <c r="J3" s="1"/>
      <c r="K3" s="1"/>
      <c r="L3" s="1"/>
      <c r="M3" s="7" t="s">
        <v>64</v>
      </c>
      <c r="N3" s="25">
        <f>CORREL(C58:C118,F58:F118)</f>
        <v>0.9853178817</v>
      </c>
      <c r="O3" s="7" t="s">
        <v>67</v>
      </c>
      <c r="P3" s="29">
        <f>AVERAGE((K58:K117))</f>
        <v>0.8932616258</v>
      </c>
      <c r="Q3" s="29">
        <f>MAX(K58:K117)</f>
        <v>0.9613440381</v>
      </c>
      <c r="R3" s="29">
        <f>MIN(K58:K117)</f>
        <v>0.8614200171</v>
      </c>
      <c r="S3" s="40">
        <f t="shared" si="1"/>
        <v>0.09992402095</v>
      </c>
      <c r="T3" s="1">
        <f>MATCH(Min(K11:K116), K11:K116, 0)</f>
        <v>9</v>
      </c>
      <c r="U3" s="1">
        <f t="array" ref="U3">INDEX(C11:C116, MATCH(Min(K11:K116), K11:K116, 0))</f>
        <v>348.3</v>
      </c>
      <c r="V3" s="1">
        <f t="array" ref="V3">INDEX(F11:F116, MATCH(MIN(K11:K116), K11:K116, 0))</f>
        <v>451.45</v>
      </c>
      <c r="W3" s="54">
        <f t="shared" si="2"/>
        <v>0.7715140104</v>
      </c>
      <c r="X3" s="7" t="s">
        <v>3</v>
      </c>
      <c r="Y3" s="1"/>
      <c r="Z3" s="1"/>
      <c r="AA3" s="1"/>
      <c r="AB3" s="1"/>
      <c r="AC3" s="1"/>
    </row>
    <row r="4">
      <c r="A4" s="1"/>
      <c r="B4" s="58" t="s">
        <v>73</v>
      </c>
      <c r="C4" s="61">
        <f>MIN(C98:C118)</f>
        <v>287.75</v>
      </c>
      <c r="D4" s="65">
        <f>C1-A3*2</f>
        <v>275.6286789</v>
      </c>
      <c r="E4" s="58" t="s">
        <v>73</v>
      </c>
      <c r="F4" s="61">
        <f>MIN(F98:F118)</f>
        <v>318</v>
      </c>
      <c r="G4" s="65">
        <f>F1-G1*2</f>
        <v>293.8716118</v>
      </c>
      <c r="H4" s="1"/>
      <c r="I4" s="1"/>
      <c r="J4" s="1"/>
      <c r="K4" s="1"/>
      <c r="L4" s="1"/>
      <c r="M4" s="7" t="s">
        <v>77</v>
      </c>
      <c r="N4" s="25">
        <f>CORREL(C28:C118,F28:F118)</f>
        <v>0.9002508113</v>
      </c>
      <c r="O4" s="7" t="s">
        <v>79</v>
      </c>
      <c r="P4" s="29">
        <f>AVERAGE(K28:K117)</f>
        <v>0.8714786367</v>
      </c>
      <c r="Q4" s="29">
        <f>MAX(K28:K117)</f>
        <v>0.9613440381</v>
      </c>
      <c r="R4" s="29">
        <f>MIN(K28:K117)</f>
        <v>0.7816850696</v>
      </c>
      <c r="S4" s="40">
        <f t="shared" si="1"/>
        <v>0.1796589685</v>
      </c>
      <c r="T4" s="1"/>
      <c r="U4" s="1"/>
      <c r="V4" s="1"/>
      <c r="W4" s="54"/>
      <c r="X4" s="1"/>
      <c r="Y4" s="1"/>
      <c r="Z4" s="1"/>
      <c r="AA4" s="1"/>
      <c r="AB4" s="1"/>
      <c r="AC4" s="1"/>
    </row>
    <row r="5">
      <c r="A5" s="1"/>
      <c r="B5" s="58" t="s">
        <v>81</v>
      </c>
      <c r="C5" s="61">
        <f>max(C108:C118)</f>
        <v>312.95</v>
      </c>
      <c r="D5" s="65">
        <f>C1+A3</f>
        <v>324.0213749</v>
      </c>
      <c r="E5" s="58" t="s">
        <v>81</v>
      </c>
      <c r="F5" s="61">
        <f>max(F108:F118)</f>
        <v>346</v>
      </c>
      <c r="G5" s="65">
        <f>F1+G1</f>
        <v>364.196337</v>
      </c>
      <c r="H5" s="1"/>
      <c r="I5" s="1"/>
      <c r="J5" s="1"/>
      <c r="K5" s="1"/>
      <c r="L5" s="1"/>
      <c r="M5" s="7" t="s">
        <v>82</v>
      </c>
      <c r="N5" s="25">
        <f>CORREL(C11:C118,F11:F118)</f>
        <v>0.830239167</v>
      </c>
      <c r="O5" s="7" t="s">
        <v>83</v>
      </c>
      <c r="P5" s="29">
        <f>AVERAGE(K11:K117)</f>
        <v>0.856748664</v>
      </c>
      <c r="Q5" s="29">
        <f>MAX(K11:K117)</f>
        <v>0.9613440381</v>
      </c>
      <c r="R5" s="29">
        <f>MIN(K11:K117)</f>
        <v>0.7715140104</v>
      </c>
      <c r="S5" s="40">
        <f t="shared" si="1"/>
        <v>0.1898300277</v>
      </c>
      <c r="T5" s="96" t="s">
        <v>197</v>
      </c>
      <c r="U5" s="96" t="str">
        <f t="shared" ref="U5:U6" si="3">#REF!</f>
        <v>#REF!</v>
      </c>
      <c r="V5" s="99" t="str">
        <f>U2*U7*U5</f>
        <v>#REF!</v>
      </c>
      <c r="W5" s="109" t="str">
        <f>V2*U6*U8</f>
        <v>#REF!</v>
      </c>
      <c r="X5" s="99"/>
      <c r="Y5" s="1"/>
      <c r="Z5" s="1"/>
      <c r="AA5" s="1"/>
      <c r="AB5" s="1"/>
      <c r="AC5" s="1"/>
    </row>
    <row r="6">
      <c r="A6" s="1"/>
      <c r="B6" s="58" t="s">
        <v>87</v>
      </c>
      <c r="C6" s="61">
        <f>MIN(C108:C118)</f>
        <v>287.75</v>
      </c>
      <c r="D6" s="65">
        <f>C1-A3</f>
        <v>291.7595775</v>
      </c>
      <c r="E6" s="58" t="s">
        <v>87</v>
      </c>
      <c r="F6" s="61">
        <f>MIN(F108:F118)</f>
        <v>318</v>
      </c>
      <c r="G6" s="65">
        <f>F1-G1</f>
        <v>317.3131869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198</v>
      </c>
      <c r="U6" s="96" t="str">
        <f t="shared" si="3"/>
        <v>#REF!</v>
      </c>
      <c r="V6" s="99" t="str">
        <f>U3*U5*U7</f>
        <v>#REF!</v>
      </c>
      <c r="W6" s="99" t="str">
        <f>V3*U6*U8</f>
        <v>#REF!</v>
      </c>
      <c r="X6" s="99"/>
      <c r="Y6" s="109"/>
      <c r="Z6" s="1"/>
      <c r="AA6" s="1"/>
      <c r="AB6" s="1"/>
      <c r="AC6" s="1"/>
    </row>
    <row r="7">
      <c r="A7" s="1"/>
      <c r="B7" s="7" t="s">
        <v>88</v>
      </c>
      <c r="C7" s="1">
        <f>max(C88:C118)</f>
        <v>327.9</v>
      </c>
      <c r="D7" s="1"/>
      <c r="E7" s="7" t="s">
        <v>88</v>
      </c>
      <c r="F7" s="1">
        <f>max(F88:F118)</f>
        <v>367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7" t="s">
        <v>197</v>
      </c>
      <c r="U7" s="7">
        <v>2000.0</v>
      </c>
      <c r="V7" s="1"/>
      <c r="W7" s="1"/>
      <c r="X7" s="1"/>
      <c r="Y7" s="1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307.8904762</v>
      </c>
      <c r="D8" s="1"/>
      <c r="E8" s="58" t="s">
        <v>90</v>
      </c>
      <c r="F8" s="107">
        <f>AVERAGE(F98:F118)</f>
        <v>340.7547619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7" t="s">
        <v>198</v>
      </c>
      <c r="U8" s="7">
        <v>1300.0</v>
      </c>
      <c r="V8" s="1"/>
      <c r="W8" s="1"/>
      <c r="X8" s="1"/>
      <c r="Y8" s="1"/>
      <c r="Z8" s="1"/>
      <c r="AA8" s="1"/>
      <c r="AB8" s="1"/>
      <c r="AC8" s="1"/>
    </row>
    <row r="9">
      <c r="A9" s="1"/>
      <c r="B9" s="13" t="s">
        <v>131</v>
      </c>
      <c r="C9" s="1"/>
      <c r="D9" s="1"/>
      <c r="E9" s="13" t="s">
        <v>132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" t="str">
        <f>IFERROR(__xludf.DUMMYFUNCTION("GOOGLEFINANCE(B9,""price"",TODAY()-166,TODAY())"),"Date")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IFERROR(__xludf.DUMMYFUNCTION("GOOGLEFINANCE(E9,""price"",TODAY()-166,TODAY())"),"Date")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106</v>
      </c>
      <c r="M10" s="7" t="s">
        <v>107</v>
      </c>
      <c r="N10" s="7" t="s">
        <v>108</v>
      </c>
      <c r="O10" s="7" t="s">
        <v>109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tr">
        <f>T5</f>
        <v>REC</v>
      </c>
      <c r="AA10" s="111" t="str">
        <f>T6</f>
        <v>PFC</v>
      </c>
      <c r="AB10" s="1"/>
      <c r="AC10" s="1"/>
    </row>
    <row r="11">
      <c r="A11" s="1"/>
      <c r="B11" s="112">
        <f>IFERROR(__xludf.DUMMYFUNCTION("""COMPUTED_VALUE"""),46146.64583333333)</f>
        <v>46146.64583</v>
      </c>
      <c r="C11" s="1">
        <f>IFERROR(__xludf.DUMMYFUNCTION("""COMPUTED_VALUE"""),353.5)</f>
        <v>353.5</v>
      </c>
      <c r="D11" s="1"/>
      <c r="E11" s="112">
        <f>IFERROR(__xludf.DUMMYFUNCTION("""COMPUTED_VALUE"""),46146.64583333333)</f>
        <v>46146.64583</v>
      </c>
      <c r="F11" s="1">
        <f>IFERROR(__xludf.DUMMYFUNCTION("""COMPUTED_VALUE"""),448.25)</f>
        <v>448.25</v>
      </c>
      <c r="G11" s="1"/>
      <c r="H11" s="29">
        <f t="shared" ref="H11:H123" si="4">C11/F11</f>
        <v>0.7886224205</v>
      </c>
      <c r="I11" s="1">
        <f t="shared" ref="I11:I118" si="5">C11-F11</f>
        <v>-94.75</v>
      </c>
      <c r="J11" s="113">
        <f t="shared" ref="J11:J118" si="6">((I11-$I$130)/$I$131)</f>
        <v>-1.488779686</v>
      </c>
      <c r="K11" s="29">
        <f t="shared" ref="K11:K114" si="7">C11/F11</f>
        <v>0.7886224205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 t="str">
        <f>V5-V6</f>
        <v>#REF!</v>
      </c>
      <c r="W11" s="120" t="str">
        <f>W6-W5</f>
        <v>#REF!</v>
      </c>
      <c r="X11" s="99" t="str">
        <f>V11+W11</f>
        <v>#REF!</v>
      </c>
      <c r="Y11" s="110" t="s">
        <v>101</v>
      </c>
      <c r="Z11" s="115">
        <f>AVERAGE(C88,C118)</f>
        <v>313.325</v>
      </c>
      <c r="AA11" s="115">
        <f>AVERAGE(F88,F118)</f>
        <v>342.8</v>
      </c>
      <c r="AB11" s="1"/>
      <c r="AC11" s="1"/>
    </row>
    <row r="12">
      <c r="A12" s="1"/>
      <c r="B12" s="112">
        <f>IFERROR(__xludf.DUMMYFUNCTION("""COMPUTED_VALUE"""),46147.64583333333)</f>
        <v>46147.64583</v>
      </c>
      <c r="C12" s="1">
        <f>IFERROR(__xludf.DUMMYFUNCTION("""COMPUTED_VALUE"""),356.4)</f>
        <v>356.4</v>
      </c>
      <c r="D12" s="1"/>
      <c r="E12" s="112">
        <f>IFERROR(__xludf.DUMMYFUNCTION("""COMPUTED_VALUE"""),46147.64583333333)</f>
        <v>46147.64583</v>
      </c>
      <c r="F12" s="1">
        <f>IFERROR(__xludf.DUMMYFUNCTION("""COMPUTED_VALUE"""),456.9)</f>
        <v>456.9</v>
      </c>
      <c r="G12" s="1"/>
      <c r="H12" s="29">
        <f t="shared" si="4"/>
        <v>0.7800393959</v>
      </c>
      <c r="I12" s="1">
        <f t="shared" si="5"/>
        <v>-100.5</v>
      </c>
      <c r="J12" s="113">
        <f t="shared" si="6"/>
        <v>-1.72490079</v>
      </c>
      <c r="K12" s="29">
        <f t="shared" si="7"/>
        <v>0.7800393959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S2/3</f>
        <v>0.0257731535</v>
      </c>
      <c r="V12" s="1"/>
      <c r="W12" s="1"/>
      <c r="X12" s="1"/>
      <c r="Y12" s="110" t="s">
        <v>104</v>
      </c>
      <c r="Z12" s="115">
        <f>AVERAGE(C58,C118)</f>
        <v>325.975</v>
      </c>
      <c r="AA12" s="115">
        <f>AVERAGE(F58,F118)</f>
        <v>364.55</v>
      </c>
      <c r="AB12" s="1"/>
      <c r="AC12" s="1"/>
    </row>
    <row r="13">
      <c r="A13" s="1"/>
      <c r="B13" s="112">
        <f>IFERROR(__xludf.DUMMYFUNCTION("""COMPUTED_VALUE"""),46148.64583333333)</f>
        <v>46148.64583</v>
      </c>
      <c r="C13" s="1">
        <f>IFERROR(__xludf.DUMMYFUNCTION("""COMPUTED_VALUE"""),359.1)</f>
        <v>359.1</v>
      </c>
      <c r="D13" s="1"/>
      <c r="E13" s="112">
        <f>IFERROR(__xludf.DUMMYFUNCTION("""COMPUTED_VALUE"""),46148.64583333333)</f>
        <v>46148.64583</v>
      </c>
      <c r="F13" s="1">
        <f>IFERROR(__xludf.DUMMYFUNCTION("""COMPUTED_VALUE"""),463.9)</f>
        <v>463.9</v>
      </c>
      <c r="G13" s="1"/>
      <c r="H13" s="29">
        <f t="shared" si="4"/>
        <v>0.7740892434</v>
      </c>
      <c r="I13" s="1">
        <f t="shared" si="5"/>
        <v>-104.8</v>
      </c>
      <c r="J13" s="113">
        <f t="shared" si="6"/>
        <v>-1.901478312</v>
      </c>
      <c r="K13" s="29">
        <f t="shared" si="7"/>
        <v>0.7740892434</v>
      </c>
      <c r="L13" s="1"/>
      <c r="M13" s="1"/>
      <c r="N13" s="1"/>
      <c r="O13" s="25"/>
      <c r="P13" s="1"/>
      <c r="Q13" s="1"/>
      <c r="R13" s="1"/>
      <c r="S13" s="9"/>
      <c r="T13" s="117"/>
      <c r="U13" s="118" t="str">
        <f>(X11*U12)/S2</f>
        <v>#REF!</v>
      </c>
      <c r="V13" s="117"/>
      <c r="W13" s="117"/>
      <c r="X13" s="119" t="str">
        <f>X11/(R2/U12)</f>
        <v>#REF!</v>
      </c>
      <c r="Y13" s="110" t="s">
        <v>105</v>
      </c>
      <c r="Z13" s="115">
        <f>AVERAGE(C28,C118)</f>
        <v>319.85</v>
      </c>
      <c r="AA13" s="115">
        <f>AVERAGE(F28,F118)</f>
        <v>378.05</v>
      </c>
      <c r="AB13" s="1"/>
      <c r="AC13" s="1"/>
    </row>
    <row r="14">
      <c r="A14" s="1"/>
      <c r="B14" s="112">
        <f>IFERROR(__xludf.DUMMYFUNCTION("""COMPUTED_VALUE"""),46149.64583333333)</f>
        <v>46149.64583</v>
      </c>
      <c r="C14" s="1">
        <f>IFERROR(__xludf.DUMMYFUNCTION("""COMPUTED_VALUE"""),359.75)</f>
        <v>359.75</v>
      </c>
      <c r="D14" s="1"/>
      <c r="E14" s="112">
        <f>IFERROR(__xludf.DUMMYFUNCTION("""COMPUTED_VALUE"""),46149.64583333333)</f>
        <v>46149.64583</v>
      </c>
      <c r="F14" s="1">
        <f>IFERROR(__xludf.DUMMYFUNCTION("""COMPUTED_VALUE"""),457.55)</f>
        <v>457.55</v>
      </c>
      <c r="G14" s="1"/>
      <c r="H14" s="29">
        <f t="shared" si="4"/>
        <v>0.7862528685</v>
      </c>
      <c r="I14" s="1">
        <f t="shared" si="5"/>
        <v>-97.8</v>
      </c>
      <c r="J14" s="113">
        <f t="shared" si="6"/>
        <v>-1.614026532</v>
      </c>
      <c r="K14" s="29">
        <f t="shared" si="7"/>
        <v>0.7862528685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3"/>
      <c r="Z14" s="1"/>
      <c r="AA14" s="1"/>
      <c r="AB14" s="1"/>
      <c r="AC14" s="1"/>
    </row>
    <row r="15">
      <c r="A15" s="1"/>
      <c r="B15" s="112">
        <f>IFERROR(__xludf.DUMMYFUNCTION("""COMPUTED_VALUE"""),46150.64583333333)</f>
        <v>46150.64583</v>
      </c>
      <c r="C15" s="1">
        <f>IFERROR(__xludf.DUMMYFUNCTION("""COMPUTED_VALUE"""),359.4)</f>
        <v>359.4</v>
      </c>
      <c r="D15" s="1"/>
      <c r="E15" s="112">
        <f>IFERROR(__xludf.DUMMYFUNCTION("""COMPUTED_VALUE"""),46150.64583333333)</f>
        <v>46150.64583</v>
      </c>
      <c r="F15" s="1">
        <f>IFERROR(__xludf.DUMMYFUNCTION("""COMPUTED_VALUE"""),461.35)</f>
        <v>461.35</v>
      </c>
      <c r="G15" s="1"/>
      <c r="H15" s="29">
        <f t="shared" si="4"/>
        <v>0.7790180991</v>
      </c>
      <c r="I15" s="1">
        <f t="shared" si="5"/>
        <v>-101.95</v>
      </c>
      <c r="J15" s="113">
        <f t="shared" si="6"/>
        <v>-1.784444373</v>
      </c>
      <c r="K15" s="29">
        <f t="shared" si="7"/>
        <v>0.7790180991</v>
      </c>
      <c r="L15" s="1"/>
      <c r="M15" s="1"/>
      <c r="N15" s="1"/>
      <c r="O15" s="1"/>
      <c r="P15" s="1"/>
      <c r="Q15" s="1"/>
      <c r="R15" s="1"/>
      <c r="S15" s="123"/>
      <c r="T15" s="123"/>
      <c r="U15" s="123"/>
      <c r="V15" s="123"/>
      <c r="W15" s="123"/>
      <c r="X15" s="123"/>
      <c r="Y15" s="123"/>
      <c r="Z15" s="1"/>
      <c r="AA15" s="1"/>
      <c r="AB15" s="1"/>
      <c r="AC15" s="1"/>
    </row>
    <row r="16">
      <c r="A16" s="1"/>
      <c r="B16" s="112">
        <f>IFERROR(__xludf.DUMMYFUNCTION("""COMPUTED_VALUE"""),46153.64583333333)</f>
        <v>46153.64583</v>
      </c>
      <c r="C16" s="1">
        <f>IFERROR(__xludf.DUMMYFUNCTION("""COMPUTED_VALUE"""),351.55)</f>
        <v>351.55</v>
      </c>
      <c r="D16" s="1"/>
      <c r="E16" s="112">
        <f>IFERROR(__xludf.DUMMYFUNCTION("""COMPUTED_VALUE"""),46153.64583333333)</f>
        <v>46153.64583</v>
      </c>
      <c r="F16" s="1">
        <f>IFERROR(__xludf.DUMMYFUNCTION("""COMPUTED_VALUE"""),448.5)</f>
        <v>448.5</v>
      </c>
      <c r="G16" s="1"/>
      <c r="H16" s="29">
        <f t="shared" si="4"/>
        <v>0.7838350056</v>
      </c>
      <c r="I16" s="1">
        <f t="shared" si="5"/>
        <v>-96.95</v>
      </c>
      <c r="J16" s="113">
        <f t="shared" si="6"/>
        <v>-1.579121673</v>
      </c>
      <c r="K16" s="29">
        <f t="shared" si="7"/>
        <v>0.7838350056</v>
      </c>
      <c r="L16" s="1"/>
      <c r="M16" s="1"/>
      <c r="N16" s="1"/>
      <c r="O16" s="1"/>
      <c r="P16" s="1"/>
      <c r="Q16" s="1"/>
      <c r="R16" s="1"/>
      <c r="S16" s="117"/>
      <c r="T16" s="125"/>
      <c r="U16" s="126"/>
      <c r="V16" s="123"/>
      <c r="W16" s="123"/>
      <c r="X16" s="123"/>
      <c r="Y16" s="123"/>
      <c r="Z16" s="1"/>
      <c r="AA16" s="1"/>
      <c r="AB16" s="1"/>
      <c r="AC16" s="1"/>
    </row>
    <row r="17">
      <c r="A17" s="1"/>
      <c r="B17" s="112">
        <f>IFERROR(__xludf.DUMMYFUNCTION("""COMPUTED_VALUE"""),46154.64583333333)</f>
        <v>46154.64583</v>
      </c>
      <c r="C17" s="1">
        <f>IFERROR(__xludf.DUMMYFUNCTION("""COMPUTED_VALUE"""),344.35)</f>
        <v>344.35</v>
      </c>
      <c r="D17" s="1"/>
      <c r="E17" s="112">
        <f>IFERROR(__xludf.DUMMYFUNCTION("""COMPUTED_VALUE"""),46154.64583333333)</f>
        <v>46154.64583</v>
      </c>
      <c r="F17" s="1">
        <f>IFERROR(__xludf.DUMMYFUNCTION("""COMPUTED_VALUE"""),440.7)</f>
        <v>440.7</v>
      </c>
      <c r="G17" s="1"/>
      <c r="H17" s="29">
        <f t="shared" si="4"/>
        <v>0.7813705469</v>
      </c>
      <c r="I17" s="1">
        <f t="shared" si="5"/>
        <v>-96.35</v>
      </c>
      <c r="J17" s="113">
        <f t="shared" si="6"/>
        <v>-1.554482949</v>
      </c>
      <c r="K17" s="29">
        <f t="shared" si="7"/>
        <v>0.7813705469</v>
      </c>
      <c r="L17" s="1"/>
      <c r="M17" s="1"/>
      <c r="N17" s="1"/>
      <c r="O17" s="1"/>
      <c r="P17" s="1"/>
      <c r="Q17" s="1"/>
      <c r="R17" s="1"/>
      <c r="S17" s="123"/>
      <c r="T17" s="123"/>
      <c r="U17" s="123"/>
      <c r="V17" s="123"/>
      <c r="W17" s="123"/>
      <c r="X17" s="123"/>
      <c r="Y17" s="123"/>
      <c r="Z17" s="1"/>
      <c r="AA17" s="1"/>
      <c r="AB17" s="1"/>
      <c r="AC17" s="1"/>
    </row>
    <row r="18">
      <c r="A18" s="1"/>
      <c r="B18" s="112">
        <f>IFERROR(__xludf.DUMMYFUNCTION("""COMPUTED_VALUE"""),46155.64583333333)</f>
        <v>46155.64583</v>
      </c>
      <c r="C18" s="1">
        <f>IFERROR(__xludf.DUMMYFUNCTION("""COMPUTED_VALUE"""),346.55)</f>
        <v>346.55</v>
      </c>
      <c r="D18" s="1"/>
      <c r="E18" s="112">
        <f>IFERROR(__xludf.DUMMYFUNCTION("""COMPUTED_VALUE"""),46155.64583333333)</f>
        <v>46155.64583</v>
      </c>
      <c r="F18" s="1">
        <f>IFERROR(__xludf.DUMMYFUNCTION("""COMPUTED_VALUE"""),446.0)</f>
        <v>446</v>
      </c>
      <c r="G18" s="1"/>
      <c r="H18" s="29">
        <f t="shared" si="4"/>
        <v>0.7770179372</v>
      </c>
      <c r="I18" s="1">
        <f t="shared" si="5"/>
        <v>-99.45</v>
      </c>
      <c r="J18" s="113">
        <f t="shared" si="6"/>
        <v>-1.681783023</v>
      </c>
      <c r="K18" s="29">
        <f t="shared" si="7"/>
        <v>0.7770179372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IFERROR(__xludf.DUMMYFUNCTION("""COMPUTED_VALUE"""),46156.64583333333)</f>
        <v>46156.64583</v>
      </c>
      <c r="C19" s="1">
        <f>IFERROR(__xludf.DUMMYFUNCTION("""COMPUTED_VALUE"""),348.3)</f>
        <v>348.3</v>
      </c>
      <c r="D19" s="1"/>
      <c r="E19" s="112">
        <f>IFERROR(__xludf.DUMMYFUNCTION("""COMPUTED_VALUE"""),46156.64583333333)</f>
        <v>46156.64583</v>
      </c>
      <c r="F19" s="1">
        <f>IFERROR(__xludf.DUMMYFUNCTION("""COMPUTED_VALUE"""),451.45)</f>
        <v>451.45</v>
      </c>
      <c r="G19" s="1"/>
      <c r="H19" s="29">
        <f t="shared" si="4"/>
        <v>0.7715140104</v>
      </c>
      <c r="I19" s="1">
        <f t="shared" si="5"/>
        <v>-103.15</v>
      </c>
      <c r="J19" s="113">
        <f t="shared" si="6"/>
        <v>-1.833721821</v>
      </c>
      <c r="K19" s="29">
        <f t="shared" si="7"/>
        <v>0.7715140104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IFERROR(__xludf.DUMMYFUNCTION("""COMPUTED_VALUE"""),46157.64583333333)</f>
        <v>46157.64583</v>
      </c>
      <c r="C20" s="1">
        <f>IFERROR(__xludf.DUMMYFUNCTION("""COMPUTED_VALUE"""),345.85)</f>
        <v>345.85</v>
      </c>
      <c r="D20" s="1"/>
      <c r="E20" s="112">
        <f>IFERROR(__xludf.DUMMYFUNCTION("""COMPUTED_VALUE"""),46157.64583333333)</f>
        <v>46157.64583</v>
      </c>
      <c r="F20" s="1">
        <f>IFERROR(__xludf.DUMMYFUNCTION("""COMPUTED_VALUE"""),445.75)</f>
        <v>445.75</v>
      </c>
      <c r="G20" s="1"/>
      <c r="H20" s="29">
        <f t="shared" si="4"/>
        <v>0.7758833427</v>
      </c>
      <c r="I20" s="1">
        <f t="shared" si="5"/>
        <v>-99.9</v>
      </c>
      <c r="J20" s="113">
        <f t="shared" si="6"/>
        <v>-1.700262066</v>
      </c>
      <c r="K20" s="29">
        <f t="shared" si="7"/>
        <v>0.7758833427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IFERROR(__xludf.DUMMYFUNCTION("""COMPUTED_VALUE"""),46160.64583333333)</f>
        <v>46160.64583</v>
      </c>
      <c r="C21" s="1">
        <f>IFERROR(__xludf.DUMMYFUNCTION("""COMPUTED_VALUE"""),333.7)</f>
        <v>333.7</v>
      </c>
      <c r="D21" s="1"/>
      <c r="E21" s="112">
        <f>IFERROR(__xludf.DUMMYFUNCTION("""COMPUTED_VALUE"""),46160.64583333333)</f>
        <v>46160.64583</v>
      </c>
      <c r="F21" s="1">
        <f>IFERROR(__xludf.DUMMYFUNCTION("""COMPUTED_VALUE"""),429.8)</f>
        <v>429.8</v>
      </c>
      <c r="G21" s="1"/>
      <c r="H21" s="29">
        <f t="shared" si="4"/>
        <v>0.7764076315</v>
      </c>
      <c r="I21" s="1">
        <f t="shared" si="5"/>
        <v>-96.1</v>
      </c>
      <c r="J21" s="113">
        <f t="shared" si="6"/>
        <v>-1.544216814</v>
      </c>
      <c r="K21" s="29">
        <f t="shared" si="7"/>
        <v>0.7764076315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IFERROR(__xludf.DUMMYFUNCTION("""COMPUTED_VALUE"""),46161.64583333333)</f>
        <v>46161.64583</v>
      </c>
      <c r="C22" s="1">
        <f>IFERROR(__xludf.DUMMYFUNCTION("""COMPUTED_VALUE"""),334.25)</f>
        <v>334.25</v>
      </c>
      <c r="D22" s="1"/>
      <c r="E22" s="112">
        <f>IFERROR(__xludf.DUMMYFUNCTION("""COMPUTED_VALUE"""),46161.64583333333)</f>
        <v>46161.64583</v>
      </c>
      <c r="F22" s="1">
        <f>IFERROR(__xludf.DUMMYFUNCTION("""COMPUTED_VALUE"""),431.6)</f>
        <v>431.6</v>
      </c>
      <c r="G22" s="1"/>
      <c r="H22" s="29">
        <f t="shared" si="4"/>
        <v>0.7744439296</v>
      </c>
      <c r="I22" s="1">
        <f t="shared" si="5"/>
        <v>-97.35</v>
      </c>
      <c r="J22" s="113">
        <f t="shared" si="6"/>
        <v>-1.595547489</v>
      </c>
      <c r="K22" s="29">
        <f t="shared" si="7"/>
        <v>0.7744439296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IFERROR(__xludf.DUMMYFUNCTION("""COMPUTED_VALUE"""),46162.64583333333)</f>
        <v>46162.64583</v>
      </c>
      <c r="C23" s="1">
        <f>IFERROR(__xludf.DUMMYFUNCTION("""COMPUTED_VALUE"""),333.0)</f>
        <v>333</v>
      </c>
      <c r="D23" s="1"/>
      <c r="E23" s="112">
        <f>IFERROR(__xludf.DUMMYFUNCTION("""COMPUTED_VALUE"""),46162.64583333333)</f>
        <v>46162.64583</v>
      </c>
      <c r="F23" s="1">
        <f>IFERROR(__xludf.DUMMYFUNCTION("""COMPUTED_VALUE"""),429.35)</f>
        <v>429.35</v>
      </c>
      <c r="G23" s="1"/>
      <c r="H23" s="29">
        <f t="shared" si="4"/>
        <v>0.7755910097</v>
      </c>
      <c r="I23" s="1">
        <f t="shared" si="5"/>
        <v>-96.35</v>
      </c>
      <c r="J23" s="113">
        <f t="shared" si="6"/>
        <v>-1.554482949</v>
      </c>
      <c r="K23" s="29">
        <f t="shared" si="7"/>
        <v>0.7755910097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IFERROR(__xludf.DUMMYFUNCTION("""COMPUTED_VALUE"""),46163.64583333333)</f>
        <v>46163.64583</v>
      </c>
      <c r="C24" s="1">
        <f>IFERROR(__xludf.DUMMYFUNCTION("""COMPUTED_VALUE"""),333.7)</f>
        <v>333.7</v>
      </c>
      <c r="D24" s="1"/>
      <c r="E24" s="112">
        <f>IFERROR(__xludf.DUMMYFUNCTION("""COMPUTED_VALUE"""),46163.64583333333)</f>
        <v>46163.64583</v>
      </c>
      <c r="F24" s="1">
        <f>IFERROR(__xludf.DUMMYFUNCTION("""COMPUTED_VALUE"""),431.0)</f>
        <v>431</v>
      </c>
      <c r="G24" s="1"/>
      <c r="H24" s="29">
        <f t="shared" si="4"/>
        <v>0.7742459397</v>
      </c>
      <c r="I24" s="1">
        <f t="shared" si="5"/>
        <v>-97.3</v>
      </c>
      <c r="J24" s="113">
        <f t="shared" si="6"/>
        <v>-1.593494262</v>
      </c>
      <c r="K24" s="29">
        <f t="shared" si="7"/>
        <v>0.7742459397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IFERROR(__xludf.DUMMYFUNCTION("""COMPUTED_VALUE"""),46164.64583333333)</f>
        <v>46164.64583</v>
      </c>
      <c r="C25" s="1">
        <f>IFERROR(__xludf.DUMMYFUNCTION("""COMPUTED_VALUE"""),336.95)</f>
        <v>336.95</v>
      </c>
      <c r="D25" s="1"/>
      <c r="E25" s="112">
        <f>IFERROR(__xludf.DUMMYFUNCTION("""COMPUTED_VALUE"""),46164.64583333333)</f>
        <v>46164.64583</v>
      </c>
      <c r="F25" s="1">
        <f>IFERROR(__xludf.DUMMYFUNCTION("""COMPUTED_VALUE"""),430.55)</f>
        <v>430.55</v>
      </c>
      <c r="G25" s="1"/>
      <c r="H25" s="29">
        <f t="shared" si="4"/>
        <v>0.7826036465</v>
      </c>
      <c r="I25" s="1">
        <f t="shared" si="5"/>
        <v>-93.6</v>
      </c>
      <c r="J25" s="113">
        <f t="shared" si="6"/>
        <v>-1.441555465</v>
      </c>
      <c r="K25" s="29">
        <f t="shared" si="7"/>
        <v>0.7826036465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IFERROR(__xludf.DUMMYFUNCTION("""COMPUTED_VALUE"""),46167.64583333333)</f>
        <v>46167.64583</v>
      </c>
      <c r="C26" s="1">
        <f>IFERROR(__xludf.DUMMYFUNCTION("""COMPUTED_VALUE"""),342.2)</f>
        <v>342.2</v>
      </c>
      <c r="D26" s="1"/>
      <c r="E26" s="112">
        <f>IFERROR(__xludf.DUMMYFUNCTION("""COMPUTED_VALUE"""),46167.64583333333)</f>
        <v>46167.64583</v>
      </c>
      <c r="F26" s="1">
        <f>IFERROR(__xludf.DUMMYFUNCTION("""COMPUTED_VALUE"""),438.9)</f>
        <v>438.9</v>
      </c>
      <c r="G26" s="1"/>
      <c r="H26" s="29">
        <f t="shared" si="4"/>
        <v>0.7796764639</v>
      </c>
      <c r="I26" s="1">
        <f t="shared" si="5"/>
        <v>-96.7</v>
      </c>
      <c r="J26" s="113">
        <f t="shared" si="6"/>
        <v>-1.568855538</v>
      </c>
      <c r="K26" s="29">
        <f t="shared" si="7"/>
        <v>0.7796764639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IFERROR(__xludf.DUMMYFUNCTION("""COMPUTED_VALUE"""),46168.64583333333)</f>
        <v>46168.64583</v>
      </c>
      <c r="C27" s="1">
        <f>IFERROR(__xludf.DUMMYFUNCTION("""COMPUTED_VALUE"""),337.6)</f>
        <v>337.6</v>
      </c>
      <c r="D27" s="1"/>
      <c r="E27" s="112">
        <f>IFERROR(__xludf.DUMMYFUNCTION("""COMPUTED_VALUE"""),46168.64583333333)</f>
        <v>46168.64583</v>
      </c>
      <c r="F27" s="1">
        <f>IFERROR(__xludf.DUMMYFUNCTION("""COMPUTED_VALUE"""),433.7)</f>
        <v>433.7</v>
      </c>
      <c r="G27" s="1"/>
      <c r="H27" s="29">
        <f t="shared" si="4"/>
        <v>0.7784182615</v>
      </c>
      <c r="I27" s="1">
        <f t="shared" si="5"/>
        <v>-96.1</v>
      </c>
      <c r="J27" s="113">
        <f t="shared" si="6"/>
        <v>-1.544216814</v>
      </c>
      <c r="K27" s="29">
        <f t="shared" si="7"/>
        <v>0.7784182615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0.9047640471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IFERROR(__xludf.DUMMYFUNCTION("""COMPUTED_VALUE"""),46169.64583333333)</f>
        <v>46169.64583</v>
      </c>
      <c r="C28" s="1">
        <f>IFERROR(__xludf.DUMMYFUNCTION("""COMPUTED_VALUE"""),339.7)</f>
        <v>339.7</v>
      </c>
      <c r="D28" s="1"/>
      <c r="E28" s="112">
        <f>IFERROR(__xludf.DUMMYFUNCTION("""COMPUTED_VALUE"""),46169.64583333333)</f>
        <v>46169.64583</v>
      </c>
      <c r="F28" s="1">
        <f>IFERROR(__xludf.DUMMYFUNCTION("""COMPUTED_VALUE"""),433.5)</f>
        <v>433.5</v>
      </c>
      <c r="G28" s="1"/>
      <c r="H28" s="29">
        <f t="shared" si="4"/>
        <v>0.783621684</v>
      </c>
      <c r="I28" s="1">
        <f t="shared" si="5"/>
        <v>-93.8</v>
      </c>
      <c r="J28" s="113">
        <f t="shared" si="6"/>
        <v>-1.449768373</v>
      </c>
      <c r="K28" s="29">
        <f t="shared" si="7"/>
        <v>0.783621684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0.9613440381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IFERROR(__xludf.DUMMYFUNCTION("""COMPUTED_VALUE"""),46171.64583333333)</f>
        <v>46171.64583</v>
      </c>
      <c r="C29" s="1">
        <f>IFERROR(__xludf.DUMMYFUNCTION("""COMPUTED_VALUE"""),337.65)</f>
        <v>337.65</v>
      </c>
      <c r="D29" s="1"/>
      <c r="E29" s="112">
        <f>IFERROR(__xludf.DUMMYFUNCTION("""COMPUTED_VALUE"""),46171.64583333333)</f>
        <v>46171.64583</v>
      </c>
      <c r="F29" s="1">
        <f>IFERROR(__xludf.DUMMYFUNCTION("""COMPUTED_VALUE"""),428.6)</f>
        <v>428.6</v>
      </c>
      <c r="G29" s="1"/>
      <c r="H29" s="29">
        <f t="shared" si="4"/>
        <v>0.7877974802</v>
      </c>
      <c r="I29" s="1">
        <f t="shared" si="5"/>
        <v>-90.95</v>
      </c>
      <c r="J29" s="113">
        <f t="shared" si="6"/>
        <v>-1.332734434</v>
      </c>
      <c r="K29" s="29">
        <f t="shared" si="7"/>
        <v>0.7877974802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IFERROR(__xludf.DUMMYFUNCTION("""COMPUTED_VALUE"""),46174.64583333333)</f>
        <v>46174.64583</v>
      </c>
      <c r="C30" s="1">
        <f>IFERROR(__xludf.DUMMYFUNCTION("""COMPUTED_VALUE"""),331.4)</f>
        <v>331.4</v>
      </c>
      <c r="D30" s="1"/>
      <c r="E30" s="112">
        <f>IFERROR(__xludf.DUMMYFUNCTION("""COMPUTED_VALUE"""),46174.64583333333)</f>
        <v>46174.64583</v>
      </c>
      <c r="F30" s="1">
        <f>IFERROR(__xludf.DUMMYFUNCTION("""COMPUTED_VALUE"""),421.1)</f>
        <v>421.1</v>
      </c>
      <c r="G30" s="1"/>
      <c r="H30" s="29">
        <f t="shared" si="4"/>
        <v>0.786986464</v>
      </c>
      <c r="I30" s="1">
        <f t="shared" si="5"/>
        <v>-89.7</v>
      </c>
      <c r="J30" s="113">
        <f t="shared" si="6"/>
        <v>-1.281403759</v>
      </c>
      <c r="K30" s="29">
        <f t="shared" si="7"/>
        <v>0.786986464</v>
      </c>
      <c r="L30" s="1">
        <f t="shared" ref="L30:L118" si="8">AVERAGE(C11:C30)</f>
        <v>344.245</v>
      </c>
      <c r="M30" s="25">
        <f t="shared" ref="M30:M118" si="9">(C30-L30)/C30</f>
        <v>-0.03875980688</v>
      </c>
      <c r="N30" s="65">
        <f t="shared" ref="N30:N118" si="10">AVERAGE(F11:F30)</f>
        <v>441.4225</v>
      </c>
      <c r="O30" s="25">
        <f t="shared" ref="O30:O118" si="11">(F30-N30)/F30</f>
        <v>-0.04826050819</v>
      </c>
      <c r="P30" s="25">
        <f t="shared" ref="P30:P118" si="12">M30-O30</f>
        <v>0.009500701313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IFERROR(__xludf.DUMMYFUNCTION("""COMPUTED_VALUE"""),46175.64583333333)</f>
        <v>46175.64583</v>
      </c>
      <c r="C31" s="1">
        <f>IFERROR(__xludf.DUMMYFUNCTION("""COMPUTED_VALUE"""),325.05)</f>
        <v>325.05</v>
      </c>
      <c r="D31" s="1"/>
      <c r="E31" s="112">
        <f>IFERROR(__xludf.DUMMYFUNCTION("""COMPUTED_VALUE"""),46175.64583333333)</f>
        <v>46175.64583</v>
      </c>
      <c r="F31" s="1">
        <f>IFERROR(__xludf.DUMMYFUNCTION("""COMPUTED_VALUE"""),413.05)</f>
        <v>413.05</v>
      </c>
      <c r="G31" s="1"/>
      <c r="H31" s="29">
        <f t="shared" si="4"/>
        <v>0.7869507324</v>
      </c>
      <c r="I31" s="1">
        <f t="shared" si="5"/>
        <v>-88</v>
      </c>
      <c r="J31" s="113">
        <f t="shared" si="6"/>
        <v>-1.211594041</v>
      </c>
      <c r="K31" s="29">
        <f t="shared" si="7"/>
        <v>0.7869507324</v>
      </c>
      <c r="L31" s="65">
        <f t="shared" si="8"/>
        <v>342.8225</v>
      </c>
      <c r="M31" s="25">
        <f t="shared" si="9"/>
        <v>-0.05467620366</v>
      </c>
      <c r="N31" s="65">
        <f t="shared" si="10"/>
        <v>439.6625</v>
      </c>
      <c r="O31" s="25">
        <f t="shared" si="11"/>
        <v>-0.06442924585</v>
      </c>
      <c r="P31" s="25">
        <f t="shared" si="12"/>
        <v>0.009753042193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IFERROR(__xludf.DUMMYFUNCTION("""COMPUTED_VALUE"""),46176.64583333333)</f>
        <v>46176.64583</v>
      </c>
      <c r="C32" s="1">
        <f>IFERROR(__xludf.DUMMYFUNCTION("""COMPUTED_VALUE"""),325.65)</f>
        <v>325.65</v>
      </c>
      <c r="D32" s="1"/>
      <c r="E32" s="112">
        <f>IFERROR(__xludf.DUMMYFUNCTION("""COMPUTED_VALUE"""),46176.64583333333)</f>
        <v>46176.64583</v>
      </c>
      <c r="F32" s="1">
        <f>IFERROR(__xludf.DUMMYFUNCTION("""COMPUTED_VALUE"""),416.6)</f>
        <v>416.6</v>
      </c>
      <c r="G32" s="1"/>
      <c r="H32" s="29">
        <f t="shared" si="4"/>
        <v>0.7816850696</v>
      </c>
      <c r="I32" s="1">
        <f t="shared" si="5"/>
        <v>-90.95</v>
      </c>
      <c r="J32" s="113">
        <f t="shared" si="6"/>
        <v>-1.332734434</v>
      </c>
      <c r="K32" s="29">
        <f t="shared" si="7"/>
        <v>0.7816850696</v>
      </c>
      <c r="L32" s="65">
        <f t="shared" si="8"/>
        <v>341.285</v>
      </c>
      <c r="M32" s="25">
        <f t="shared" si="9"/>
        <v>-0.04801166897</v>
      </c>
      <c r="N32" s="65">
        <f t="shared" si="10"/>
        <v>437.6475</v>
      </c>
      <c r="O32" s="25">
        <f t="shared" si="11"/>
        <v>-0.05052208353</v>
      </c>
      <c r="P32" s="25">
        <f t="shared" si="12"/>
        <v>0.002510414564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IFERROR(__xludf.DUMMYFUNCTION("""COMPUTED_VALUE"""),46177.64583333333)</f>
        <v>46177.64583</v>
      </c>
      <c r="C33" s="1">
        <f>IFERROR(__xludf.DUMMYFUNCTION("""COMPUTED_VALUE"""),335.2)</f>
        <v>335.2</v>
      </c>
      <c r="D33" s="1"/>
      <c r="E33" s="112">
        <f>IFERROR(__xludf.DUMMYFUNCTION("""COMPUTED_VALUE"""),46177.64583333333)</f>
        <v>46177.64583</v>
      </c>
      <c r="F33" s="1">
        <f>IFERROR(__xludf.DUMMYFUNCTION("""COMPUTED_VALUE"""),424.45)</f>
        <v>424.45</v>
      </c>
      <c r="G33" s="1"/>
      <c r="H33" s="29">
        <f t="shared" si="4"/>
        <v>0.7897278831</v>
      </c>
      <c r="I33" s="1">
        <f t="shared" si="5"/>
        <v>-89.25</v>
      </c>
      <c r="J33" s="113">
        <f t="shared" si="6"/>
        <v>-1.262924716</v>
      </c>
      <c r="K33" s="29">
        <f t="shared" si="7"/>
        <v>0.7897278831</v>
      </c>
      <c r="L33" s="65">
        <f t="shared" si="8"/>
        <v>340.09</v>
      </c>
      <c r="M33" s="25">
        <f t="shared" si="9"/>
        <v>-0.01458830549</v>
      </c>
      <c r="N33" s="65">
        <f t="shared" si="10"/>
        <v>435.675</v>
      </c>
      <c r="O33" s="25">
        <f t="shared" si="11"/>
        <v>-0.02644598893</v>
      </c>
      <c r="P33" s="25">
        <f t="shared" si="12"/>
        <v>0.01185768344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IFERROR(__xludf.DUMMYFUNCTION("""COMPUTED_VALUE"""),46178.64583333333)</f>
        <v>46178.64583</v>
      </c>
      <c r="C34" s="1">
        <f>IFERROR(__xludf.DUMMYFUNCTION("""COMPUTED_VALUE"""),343.9)</f>
        <v>343.9</v>
      </c>
      <c r="D34" s="1"/>
      <c r="E34" s="112">
        <f>IFERROR(__xludf.DUMMYFUNCTION("""COMPUTED_VALUE"""),46178.64583333333)</f>
        <v>46178.64583</v>
      </c>
      <c r="F34" s="1">
        <f>IFERROR(__xludf.DUMMYFUNCTION("""COMPUTED_VALUE"""),431.75)</f>
        <v>431.75</v>
      </c>
      <c r="G34" s="1"/>
      <c r="H34" s="29">
        <f t="shared" si="4"/>
        <v>0.7965257672</v>
      </c>
      <c r="I34" s="1">
        <f t="shared" si="5"/>
        <v>-87.85</v>
      </c>
      <c r="J34" s="113">
        <f t="shared" si="6"/>
        <v>-1.20543436</v>
      </c>
      <c r="K34" s="29">
        <f t="shared" si="7"/>
        <v>0.7965257672</v>
      </c>
      <c r="L34" s="65">
        <f t="shared" si="8"/>
        <v>339.2975</v>
      </c>
      <c r="M34" s="25">
        <f t="shared" si="9"/>
        <v>0.01338325095</v>
      </c>
      <c r="N34" s="65">
        <f t="shared" si="10"/>
        <v>434.385</v>
      </c>
      <c r="O34" s="25">
        <f t="shared" si="11"/>
        <v>-0.006103068906</v>
      </c>
      <c r="P34" s="25">
        <f t="shared" si="12"/>
        <v>0.01948631985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IFERROR(__xludf.DUMMYFUNCTION("""COMPUTED_VALUE"""),46181.64583333333)</f>
        <v>46181.64583</v>
      </c>
      <c r="C35" s="1">
        <f>IFERROR(__xludf.DUMMYFUNCTION("""COMPUTED_VALUE"""),343.4)</f>
        <v>343.4</v>
      </c>
      <c r="D35" s="1"/>
      <c r="E35" s="112">
        <f>IFERROR(__xludf.DUMMYFUNCTION("""COMPUTED_VALUE"""),46181.64583333333)</f>
        <v>46181.64583</v>
      </c>
      <c r="F35" s="1">
        <f>IFERROR(__xludf.DUMMYFUNCTION("""COMPUTED_VALUE"""),428.4)</f>
        <v>428.4</v>
      </c>
      <c r="G35" s="1"/>
      <c r="H35" s="29">
        <f t="shared" si="4"/>
        <v>0.8015873016</v>
      </c>
      <c r="I35" s="1">
        <f t="shared" si="5"/>
        <v>-85</v>
      </c>
      <c r="J35" s="113">
        <f t="shared" si="6"/>
        <v>-1.088400421</v>
      </c>
      <c r="K35" s="29">
        <f t="shared" si="7"/>
        <v>0.8015873016</v>
      </c>
      <c r="L35" s="65">
        <f t="shared" si="8"/>
        <v>338.4975</v>
      </c>
      <c r="M35" s="25">
        <f t="shared" si="9"/>
        <v>0.01427635411</v>
      </c>
      <c r="N35" s="65">
        <f t="shared" si="10"/>
        <v>432.7375</v>
      </c>
      <c r="O35" s="25">
        <f t="shared" si="11"/>
        <v>-0.01012488329</v>
      </c>
      <c r="P35" s="25">
        <f t="shared" si="12"/>
        <v>0.02440123739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IFERROR(__xludf.DUMMYFUNCTION("""COMPUTED_VALUE"""),46182.64583333333)</f>
        <v>46182.64583</v>
      </c>
      <c r="C36" s="1">
        <f>IFERROR(__xludf.DUMMYFUNCTION("""COMPUTED_VALUE"""),352.1)</f>
        <v>352.1</v>
      </c>
      <c r="D36" s="1"/>
      <c r="E36" s="112">
        <f>IFERROR(__xludf.DUMMYFUNCTION("""COMPUTED_VALUE"""),46182.64583333333)</f>
        <v>46182.64583</v>
      </c>
      <c r="F36" s="1">
        <f>IFERROR(__xludf.DUMMYFUNCTION("""COMPUTED_VALUE"""),435.6)</f>
        <v>435.6</v>
      </c>
      <c r="G36" s="1"/>
      <c r="H36" s="29">
        <f t="shared" si="4"/>
        <v>0.8083103765</v>
      </c>
      <c r="I36" s="1">
        <f t="shared" si="5"/>
        <v>-83.5</v>
      </c>
      <c r="J36" s="113">
        <f t="shared" si="6"/>
        <v>-1.026803611</v>
      </c>
      <c r="K36" s="29">
        <f t="shared" si="7"/>
        <v>0.8083103765</v>
      </c>
      <c r="L36" s="65">
        <f t="shared" si="8"/>
        <v>338.525</v>
      </c>
      <c r="M36" s="25">
        <f t="shared" si="9"/>
        <v>0.03855438796</v>
      </c>
      <c r="N36" s="65">
        <f t="shared" si="10"/>
        <v>432.0925</v>
      </c>
      <c r="O36" s="25">
        <f t="shared" si="11"/>
        <v>0.008052112029</v>
      </c>
      <c r="P36" s="25">
        <f t="shared" si="12"/>
        <v>0.03050227593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IFERROR(__xludf.DUMMYFUNCTION("""COMPUTED_VALUE"""),46183.64583333333)</f>
        <v>46183.64583</v>
      </c>
      <c r="C37" s="1">
        <f>IFERROR(__xludf.DUMMYFUNCTION("""COMPUTED_VALUE"""),348.8)</f>
        <v>348.8</v>
      </c>
      <c r="D37" s="1"/>
      <c r="E37" s="112">
        <f>IFERROR(__xludf.DUMMYFUNCTION("""COMPUTED_VALUE"""),46183.64583333333)</f>
        <v>46183.64583</v>
      </c>
      <c r="F37" s="1">
        <f>IFERROR(__xludf.DUMMYFUNCTION("""COMPUTED_VALUE"""),431.3)</f>
        <v>431.3</v>
      </c>
      <c r="G37" s="1"/>
      <c r="H37" s="29">
        <f t="shared" si="4"/>
        <v>0.8087178298</v>
      </c>
      <c r="I37" s="1">
        <f t="shared" si="5"/>
        <v>-82.5</v>
      </c>
      <c r="J37" s="113">
        <f t="shared" si="6"/>
        <v>-0.9857390716</v>
      </c>
      <c r="K37" s="29">
        <f t="shared" si="7"/>
        <v>0.8087178298</v>
      </c>
      <c r="L37" s="65">
        <f t="shared" si="8"/>
        <v>338.7475</v>
      </c>
      <c r="M37" s="25">
        <f t="shared" si="9"/>
        <v>0.02882024083</v>
      </c>
      <c r="N37" s="65">
        <f t="shared" si="10"/>
        <v>431.6225</v>
      </c>
      <c r="O37" s="25">
        <f t="shared" si="11"/>
        <v>-0.0007477393925</v>
      </c>
      <c r="P37" s="25">
        <f t="shared" si="12"/>
        <v>0.02956798022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IFERROR(__xludf.DUMMYFUNCTION("""COMPUTED_VALUE"""),46184.64583333333)</f>
        <v>46184.64583</v>
      </c>
      <c r="C38" s="1">
        <f>IFERROR(__xludf.DUMMYFUNCTION("""COMPUTED_VALUE"""),336.85)</f>
        <v>336.85</v>
      </c>
      <c r="D38" s="1"/>
      <c r="E38" s="112">
        <f>IFERROR(__xludf.DUMMYFUNCTION("""COMPUTED_VALUE"""),46184.64583333333)</f>
        <v>46184.64583</v>
      </c>
      <c r="F38" s="1">
        <f>IFERROR(__xludf.DUMMYFUNCTION("""COMPUTED_VALUE"""),413.55)</f>
        <v>413.55</v>
      </c>
      <c r="G38" s="1"/>
      <c r="H38" s="29">
        <f t="shared" si="4"/>
        <v>0.8145327046</v>
      </c>
      <c r="I38" s="1">
        <f t="shared" si="5"/>
        <v>-76.7</v>
      </c>
      <c r="J38" s="113">
        <f t="shared" si="6"/>
        <v>-0.74756474</v>
      </c>
      <c r="K38" s="29">
        <f t="shared" si="7"/>
        <v>0.8145327046</v>
      </c>
      <c r="L38" s="65">
        <f t="shared" si="8"/>
        <v>338.2625</v>
      </c>
      <c r="M38" s="25">
        <f t="shared" si="9"/>
        <v>-0.004193261095</v>
      </c>
      <c r="N38" s="65">
        <f t="shared" si="10"/>
        <v>430</v>
      </c>
      <c r="O38" s="25">
        <f t="shared" si="11"/>
        <v>-0.03977753597</v>
      </c>
      <c r="P38" s="25">
        <f t="shared" si="12"/>
        <v>0.03558427487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IFERROR(__xludf.DUMMYFUNCTION("""COMPUTED_VALUE"""),46185.64583333333)</f>
        <v>46185.64583</v>
      </c>
      <c r="C39" s="1">
        <f>IFERROR(__xludf.DUMMYFUNCTION("""COMPUTED_VALUE"""),348.05)</f>
        <v>348.05</v>
      </c>
      <c r="D39" s="1"/>
      <c r="E39" s="112">
        <f>IFERROR(__xludf.DUMMYFUNCTION("""COMPUTED_VALUE"""),46185.64583333333)</f>
        <v>46185.64583</v>
      </c>
      <c r="F39" s="1">
        <f>IFERROR(__xludf.DUMMYFUNCTION("""COMPUTED_VALUE"""),421.05)</f>
        <v>421.05</v>
      </c>
      <c r="G39" s="1"/>
      <c r="H39" s="29">
        <f t="shared" si="4"/>
        <v>0.8266239164</v>
      </c>
      <c r="I39" s="1">
        <f t="shared" si="5"/>
        <v>-73</v>
      </c>
      <c r="J39" s="113">
        <f t="shared" si="6"/>
        <v>-0.5956259424</v>
      </c>
      <c r="K39" s="29">
        <f t="shared" si="7"/>
        <v>0.8266239164</v>
      </c>
      <c r="L39" s="65">
        <f t="shared" si="8"/>
        <v>338.25</v>
      </c>
      <c r="M39" s="25">
        <f t="shared" si="9"/>
        <v>0.02815687401</v>
      </c>
      <c r="N39" s="65">
        <f t="shared" si="10"/>
        <v>428.48</v>
      </c>
      <c r="O39" s="25">
        <f t="shared" si="11"/>
        <v>-0.01764636029</v>
      </c>
      <c r="P39" s="25">
        <f t="shared" si="12"/>
        <v>0.0458032343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IFERROR(__xludf.DUMMYFUNCTION("""COMPUTED_VALUE"""),46188.64583333333)</f>
        <v>46188.64583</v>
      </c>
      <c r="C40" s="1">
        <f>IFERROR(__xludf.DUMMYFUNCTION("""COMPUTED_VALUE"""),351.85)</f>
        <v>351.85</v>
      </c>
      <c r="D40" s="1"/>
      <c r="E40" s="112">
        <f>IFERROR(__xludf.DUMMYFUNCTION("""COMPUTED_VALUE"""),46188.64583333333)</f>
        <v>46188.64583</v>
      </c>
      <c r="F40" s="1">
        <f>IFERROR(__xludf.DUMMYFUNCTION("""COMPUTED_VALUE"""),424.5)</f>
        <v>424.5</v>
      </c>
      <c r="G40" s="1"/>
      <c r="H40" s="29">
        <f t="shared" si="4"/>
        <v>0.8288574794</v>
      </c>
      <c r="I40" s="1">
        <f t="shared" si="5"/>
        <v>-72.65</v>
      </c>
      <c r="J40" s="113">
        <f t="shared" si="6"/>
        <v>-0.5812533534</v>
      </c>
      <c r="K40" s="29">
        <f t="shared" si="7"/>
        <v>0.8288574794</v>
      </c>
      <c r="L40" s="65">
        <f t="shared" si="8"/>
        <v>338.55</v>
      </c>
      <c r="M40" s="25">
        <f t="shared" si="9"/>
        <v>0.03780019895</v>
      </c>
      <c r="N40" s="65">
        <f t="shared" si="10"/>
        <v>427.4175</v>
      </c>
      <c r="O40" s="25">
        <f t="shared" si="11"/>
        <v>-0.006872791519</v>
      </c>
      <c r="P40" s="25">
        <f t="shared" si="12"/>
        <v>0.04467299047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IFERROR(__xludf.DUMMYFUNCTION("""COMPUTED_VALUE"""),46189.64583333333)</f>
        <v>46189.64583</v>
      </c>
      <c r="C41" s="1">
        <f>IFERROR(__xludf.DUMMYFUNCTION("""COMPUTED_VALUE"""),356.55)</f>
        <v>356.55</v>
      </c>
      <c r="D41" s="1"/>
      <c r="E41" s="112">
        <f>IFERROR(__xludf.DUMMYFUNCTION("""COMPUTED_VALUE"""),46189.64583333333)</f>
        <v>46189.64583</v>
      </c>
      <c r="F41" s="1">
        <f>IFERROR(__xludf.DUMMYFUNCTION("""COMPUTED_VALUE"""),427.5)</f>
        <v>427.5</v>
      </c>
      <c r="G41" s="1"/>
      <c r="H41" s="29">
        <f t="shared" si="4"/>
        <v>0.8340350877</v>
      </c>
      <c r="I41" s="1">
        <f t="shared" si="5"/>
        <v>-70.95</v>
      </c>
      <c r="J41" s="113">
        <f t="shared" si="6"/>
        <v>-0.5114436355</v>
      </c>
      <c r="K41" s="29">
        <f t="shared" si="7"/>
        <v>0.8340350877</v>
      </c>
      <c r="L41" s="65">
        <f t="shared" si="8"/>
        <v>339.6925</v>
      </c>
      <c r="M41" s="25">
        <f t="shared" si="9"/>
        <v>0.04727948394</v>
      </c>
      <c r="N41" s="65">
        <f t="shared" si="10"/>
        <v>427.3025</v>
      </c>
      <c r="O41" s="25">
        <f t="shared" si="11"/>
        <v>0.0004619883041</v>
      </c>
      <c r="P41" s="25">
        <f t="shared" si="12"/>
        <v>0.04681749564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IFERROR(__xludf.DUMMYFUNCTION("""COMPUTED_VALUE"""),46190.64583333333)</f>
        <v>46190.64583</v>
      </c>
      <c r="C42" s="1">
        <f>IFERROR(__xludf.DUMMYFUNCTION("""COMPUTED_VALUE"""),358.75)</f>
        <v>358.75</v>
      </c>
      <c r="D42" s="1"/>
      <c r="E42" s="112">
        <f>IFERROR(__xludf.DUMMYFUNCTION("""COMPUTED_VALUE"""),46190.64583333333)</f>
        <v>46190.64583</v>
      </c>
      <c r="F42" s="1">
        <f>IFERROR(__xludf.DUMMYFUNCTION("""COMPUTED_VALUE"""),431.75)</f>
        <v>431.75</v>
      </c>
      <c r="G42" s="1"/>
      <c r="H42" s="29">
        <f t="shared" si="4"/>
        <v>0.8309206717</v>
      </c>
      <c r="I42" s="1">
        <f t="shared" si="5"/>
        <v>-73</v>
      </c>
      <c r="J42" s="113">
        <f t="shared" si="6"/>
        <v>-0.5956259424</v>
      </c>
      <c r="K42" s="29">
        <f t="shared" si="7"/>
        <v>0.8309206717</v>
      </c>
      <c r="L42" s="65">
        <f t="shared" si="8"/>
        <v>340.9175</v>
      </c>
      <c r="M42" s="25">
        <f t="shared" si="9"/>
        <v>0.04970731707</v>
      </c>
      <c r="N42" s="65">
        <f t="shared" si="10"/>
        <v>427.31</v>
      </c>
      <c r="O42" s="25">
        <f t="shared" si="11"/>
        <v>0.01028372901</v>
      </c>
      <c r="P42" s="25">
        <f t="shared" si="12"/>
        <v>0.03942358806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IFERROR(__xludf.DUMMYFUNCTION("""COMPUTED_VALUE"""),46191.64583333333)</f>
        <v>46191.64583</v>
      </c>
      <c r="C43" s="1">
        <f>IFERROR(__xludf.DUMMYFUNCTION("""COMPUTED_VALUE"""),358.7)</f>
        <v>358.7</v>
      </c>
      <c r="D43" s="1"/>
      <c r="E43" s="112">
        <f>IFERROR(__xludf.DUMMYFUNCTION("""COMPUTED_VALUE"""),46191.64583333333)</f>
        <v>46191.64583</v>
      </c>
      <c r="F43" s="1">
        <f>IFERROR(__xludf.DUMMYFUNCTION("""COMPUTED_VALUE"""),429.3)</f>
        <v>429.3</v>
      </c>
      <c r="G43" s="1"/>
      <c r="H43" s="29">
        <f t="shared" si="4"/>
        <v>0.8355462381</v>
      </c>
      <c r="I43" s="1">
        <f t="shared" si="5"/>
        <v>-70.6</v>
      </c>
      <c r="J43" s="113">
        <f t="shared" si="6"/>
        <v>-0.4970710466</v>
      </c>
      <c r="K43" s="29">
        <f t="shared" si="7"/>
        <v>0.8355462381</v>
      </c>
      <c r="L43" s="65">
        <f t="shared" si="8"/>
        <v>342.2025</v>
      </c>
      <c r="M43" s="25">
        <f t="shared" si="9"/>
        <v>0.04599247282</v>
      </c>
      <c r="N43" s="65">
        <f t="shared" si="10"/>
        <v>427.3075</v>
      </c>
      <c r="O43" s="25">
        <f t="shared" si="11"/>
        <v>0.004641276497</v>
      </c>
      <c r="P43" s="25">
        <f t="shared" si="12"/>
        <v>0.04135119632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IFERROR(__xludf.DUMMYFUNCTION("""COMPUTED_VALUE"""),46192.64583333333)</f>
        <v>46192.64583</v>
      </c>
      <c r="C44" s="1">
        <f>IFERROR(__xludf.DUMMYFUNCTION("""COMPUTED_VALUE"""),355.35)</f>
        <v>355.35</v>
      </c>
      <c r="D44" s="1"/>
      <c r="E44" s="112">
        <f>IFERROR(__xludf.DUMMYFUNCTION("""COMPUTED_VALUE"""),46192.64583333333)</f>
        <v>46192.64583</v>
      </c>
      <c r="F44" s="1">
        <f>IFERROR(__xludf.DUMMYFUNCTION("""COMPUTED_VALUE"""),431.0)</f>
        <v>431</v>
      </c>
      <c r="G44" s="1"/>
      <c r="H44" s="29">
        <f t="shared" si="4"/>
        <v>0.8244779582</v>
      </c>
      <c r="I44" s="1">
        <f t="shared" si="5"/>
        <v>-75.65</v>
      </c>
      <c r="J44" s="113">
        <f t="shared" si="6"/>
        <v>-0.7044469731</v>
      </c>
      <c r="K44" s="29">
        <f t="shared" si="7"/>
        <v>0.8244779582</v>
      </c>
      <c r="L44" s="65">
        <f t="shared" si="8"/>
        <v>343.285</v>
      </c>
      <c r="M44" s="25">
        <f t="shared" si="9"/>
        <v>0.03395244126</v>
      </c>
      <c r="N44" s="65">
        <f t="shared" si="10"/>
        <v>427.3075</v>
      </c>
      <c r="O44" s="25">
        <f t="shared" si="11"/>
        <v>0.008567285383</v>
      </c>
      <c r="P44" s="25">
        <f t="shared" si="12"/>
        <v>0.02538515587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IFERROR(__xludf.DUMMYFUNCTION("""COMPUTED_VALUE"""),46195.64583333333)</f>
        <v>46195.64583</v>
      </c>
      <c r="C45" s="1">
        <f>IFERROR(__xludf.DUMMYFUNCTION("""COMPUTED_VALUE"""),369.85)</f>
        <v>369.85</v>
      </c>
      <c r="D45" s="1"/>
      <c r="E45" s="112">
        <f>IFERROR(__xludf.DUMMYFUNCTION("""COMPUTED_VALUE"""),46195.64583333333)</f>
        <v>46195.64583</v>
      </c>
      <c r="F45" s="1">
        <f>IFERROR(__xludf.DUMMYFUNCTION("""COMPUTED_VALUE"""),440.95)</f>
        <v>440.95</v>
      </c>
      <c r="G45" s="1"/>
      <c r="H45" s="29">
        <f t="shared" si="4"/>
        <v>0.8387572287</v>
      </c>
      <c r="I45" s="1">
        <f t="shared" si="5"/>
        <v>-71.1</v>
      </c>
      <c r="J45" s="113">
        <f t="shared" si="6"/>
        <v>-0.5176033165</v>
      </c>
      <c r="K45" s="29">
        <f t="shared" si="7"/>
        <v>0.8387572287</v>
      </c>
      <c r="L45" s="65">
        <f t="shared" si="8"/>
        <v>344.93</v>
      </c>
      <c r="M45" s="25">
        <f t="shared" si="9"/>
        <v>0.06737866703</v>
      </c>
      <c r="N45" s="65">
        <f t="shared" si="10"/>
        <v>427.8275</v>
      </c>
      <c r="O45" s="25">
        <f t="shared" si="11"/>
        <v>0.02975960993</v>
      </c>
      <c r="P45" s="25">
        <f t="shared" si="12"/>
        <v>0.03761905709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IFERROR(__xludf.DUMMYFUNCTION("""COMPUTED_VALUE"""),46196.64583333333)</f>
        <v>46196.64583</v>
      </c>
      <c r="C46" s="1">
        <f>IFERROR(__xludf.DUMMYFUNCTION("""COMPUTED_VALUE"""),361.9)</f>
        <v>361.9</v>
      </c>
      <c r="D46" s="1"/>
      <c r="E46" s="112">
        <f>IFERROR(__xludf.DUMMYFUNCTION("""COMPUTED_VALUE"""),46196.64583333333)</f>
        <v>46196.64583</v>
      </c>
      <c r="F46" s="1">
        <f>IFERROR(__xludf.DUMMYFUNCTION("""COMPUTED_VALUE"""),430.9)</f>
        <v>430.9</v>
      </c>
      <c r="G46" s="1"/>
      <c r="H46" s="29">
        <f t="shared" si="4"/>
        <v>0.8398700395</v>
      </c>
      <c r="I46" s="1">
        <f t="shared" si="5"/>
        <v>-69</v>
      </c>
      <c r="J46" s="113">
        <f t="shared" si="6"/>
        <v>-0.4313677827</v>
      </c>
      <c r="K46" s="29">
        <f t="shared" si="7"/>
        <v>0.8398700395</v>
      </c>
      <c r="L46" s="65">
        <f t="shared" si="8"/>
        <v>345.915</v>
      </c>
      <c r="M46" s="25">
        <f t="shared" si="9"/>
        <v>0.04416966013</v>
      </c>
      <c r="N46" s="65">
        <f t="shared" si="10"/>
        <v>427.4275</v>
      </c>
      <c r="O46" s="25">
        <f t="shared" si="11"/>
        <v>0.008058714319</v>
      </c>
      <c r="P46" s="25">
        <f t="shared" si="12"/>
        <v>0.03611094581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IFERROR(__xludf.DUMMYFUNCTION("""COMPUTED_VALUE"""),46197.64583333333)</f>
        <v>46197.64583</v>
      </c>
      <c r="C47" s="1">
        <f>IFERROR(__xludf.DUMMYFUNCTION("""COMPUTED_VALUE"""),363.65)</f>
        <v>363.65</v>
      </c>
      <c r="D47" s="1"/>
      <c r="E47" s="112">
        <f>IFERROR(__xludf.DUMMYFUNCTION("""COMPUTED_VALUE"""),46197.64583333333)</f>
        <v>46197.64583</v>
      </c>
      <c r="F47" s="1">
        <f>IFERROR(__xludf.DUMMYFUNCTION("""COMPUTED_VALUE"""),437.1)</f>
        <v>437.1</v>
      </c>
      <c r="G47" s="1"/>
      <c r="H47" s="29">
        <f t="shared" si="4"/>
        <v>0.8319606497</v>
      </c>
      <c r="I47" s="1">
        <f t="shared" si="5"/>
        <v>-73.45</v>
      </c>
      <c r="J47" s="113">
        <f t="shared" si="6"/>
        <v>-0.6141049853</v>
      </c>
      <c r="K47" s="29">
        <f t="shared" si="7"/>
        <v>0.8319606497</v>
      </c>
      <c r="L47" s="65">
        <f t="shared" si="8"/>
        <v>347.2175</v>
      </c>
      <c r="M47" s="25">
        <f t="shared" si="9"/>
        <v>0.04518768046</v>
      </c>
      <c r="N47" s="65">
        <f t="shared" si="10"/>
        <v>427.5975</v>
      </c>
      <c r="O47" s="25">
        <f t="shared" si="11"/>
        <v>0.02173987646</v>
      </c>
      <c r="P47" s="25">
        <f t="shared" si="12"/>
        <v>0.023447804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IFERROR(__xludf.DUMMYFUNCTION("""COMPUTED_VALUE"""),46198.64583333333)</f>
        <v>46198.64583</v>
      </c>
      <c r="C48" s="1">
        <f>IFERROR(__xludf.DUMMYFUNCTION("""COMPUTED_VALUE"""),364.65)</f>
        <v>364.65</v>
      </c>
      <c r="D48" s="1"/>
      <c r="E48" s="112">
        <f>IFERROR(__xludf.DUMMYFUNCTION("""COMPUTED_VALUE"""),46198.64583333333)</f>
        <v>46198.64583</v>
      </c>
      <c r="F48" s="1">
        <f>IFERROR(__xludf.DUMMYFUNCTION("""COMPUTED_VALUE"""),432.65)</f>
        <v>432.65</v>
      </c>
      <c r="G48" s="1"/>
      <c r="H48" s="29">
        <f t="shared" si="4"/>
        <v>0.8428290766</v>
      </c>
      <c r="I48" s="1">
        <f t="shared" si="5"/>
        <v>-68</v>
      </c>
      <c r="J48" s="113">
        <f t="shared" si="6"/>
        <v>-0.3903032428</v>
      </c>
      <c r="K48" s="29">
        <f t="shared" si="7"/>
        <v>0.8428290766</v>
      </c>
      <c r="L48" s="65">
        <f t="shared" si="8"/>
        <v>348.465</v>
      </c>
      <c r="M48" s="25">
        <f t="shared" si="9"/>
        <v>0.04438502674</v>
      </c>
      <c r="N48" s="65">
        <f t="shared" si="10"/>
        <v>427.555</v>
      </c>
      <c r="O48" s="25">
        <f t="shared" si="11"/>
        <v>0.01177626257</v>
      </c>
      <c r="P48" s="25">
        <f t="shared" si="12"/>
        <v>0.03260876417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IFERROR(__xludf.DUMMYFUNCTION("""COMPUTED_VALUE"""),46202.64583333333)</f>
        <v>46202.64583</v>
      </c>
      <c r="C49" s="1">
        <f>IFERROR(__xludf.DUMMYFUNCTION("""COMPUTED_VALUE"""),364.95)</f>
        <v>364.95</v>
      </c>
      <c r="D49" s="1"/>
      <c r="E49" s="112">
        <f>IFERROR(__xludf.DUMMYFUNCTION("""COMPUTED_VALUE"""),46202.64583333333)</f>
        <v>46202.64583</v>
      </c>
      <c r="F49" s="1">
        <f>IFERROR(__xludf.DUMMYFUNCTION("""COMPUTED_VALUE"""),424.45)</f>
        <v>424.45</v>
      </c>
      <c r="G49" s="1"/>
      <c r="H49" s="29">
        <f t="shared" si="4"/>
        <v>0.8598185888</v>
      </c>
      <c r="I49" s="1">
        <f t="shared" si="5"/>
        <v>-59.5</v>
      </c>
      <c r="J49" s="113">
        <f t="shared" si="6"/>
        <v>-0.04125465352</v>
      </c>
      <c r="K49" s="29">
        <f t="shared" si="7"/>
        <v>0.8598185888</v>
      </c>
      <c r="L49" s="65">
        <f t="shared" si="8"/>
        <v>349.83</v>
      </c>
      <c r="M49" s="25">
        <f t="shared" si="9"/>
        <v>0.04143033292</v>
      </c>
      <c r="N49" s="65">
        <f t="shared" si="10"/>
        <v>427.3475</v>
      </c>
      <c r="O49" s="25">
        <f t="shared" si="11"/>
        <v>-0.006826481329</v>
      </c>
      <c r="P49" s="25">
        <f t="shared" si="12"/>
        <v>0.04825681425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IFERROR(__xludf.DUMMYFUNCTION("""COMPUTED_VALUE"""),46203.64583333333)</f>
        <v>46203.64583</v>
      </c>
      <c r="C50" s="1">
        <f>IFERROR(__xludf.DUMMYFUNCTION("""COMPUTED_VALUE"""),363.8)</f>
        <v>363.8</v>
      </c>
      <c r="D50" s="1"/>
      <c r="E50" s="112">
        <f>IFERROR(__xludf.DUMMYFUNCTION("""COMPUTED_VALUE"""),46203.64583333333)</f>
        <v>46203.64583</v>
      </c>
      <c r="F50" s="1">
        <f>IFERROR(__xludf.DUMMYFUNCTION("""COMPUTED_VALUE"""),424.3)</f>
        <v>424.3</v>
      </c>
      <c r="G50" s="1"/>
      <c r="H50" s="29">
        <f t="shared" si="4"/>
        <v>0.8574122083</v>
      </c>
      <c r="I50" s="1">
        <f t="shared" si="5"/>
        <v>-60.5</v>
      </c>
      <c r="J50" s="113">
        <f t="shared" si="6"/>
        <v>-0.08231919344</v>
      </c>
      <c r="K50" s="29">
        <f t="shared" si="7"/>
        <v>0.8574122083</v>
      </c>
      <c r="L50" s="65">
        <f t="shared" si="8"/>
        <v>351.45</v>
      </c>
      <c r="M50" s="25">
        <f t="shared" si="9"/>
        <v>0.03394722375</v>
      </c>
      <c r="N50" s="65">
        <f t="shared" si="10"/>
        <v>427.5075</v>
      </c>
      <c r="O50" s="25">
        <f t="shared" si="11"/>
        <v>-0.007559509781</v>
      </c>
      <c r="P50" s="25">
        <f t="shared" si="12"/>
        <v>0.04150673353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IFERROR(__xludf.DUMMYFUNCTION("""COMPUTED_VALUE"""),46204.64583333333)</f>
        <v>46204.64583</v>
      </c>
      <c r="C51" s="1">
        <f>IFERROR(__xludf.DUMMYFUNCTION("""COMPUTED_VALUE"""),370.1)</f>
        <v>370.1</v>
      </c>
      <c r="D51" s="1"/>
      <c r="E51" s="112">
        <f>IFERROR(__xludf.DUMMYFUNCTION("""COMPUTED_VALUE"""),46204.64583333333)</f>
        <v>46204.64583</v>
      </c>
      <c r="F51" s="1">
        <f>IFERROR(__xludf.DUMMYFUNCTION("""COMPUTED_VALUE"""),430.75)</f>
        <v>430.75</v>
      </c>
      <c r="G51" s="1"/>
      <c r="H51" s="29">
        <f t="shared" si="4"/>
        <v>0.8591990714</v>
      </c>
      <c r="I51" s="1">
        <f t="shared" si="5"/>
        <v>-60.65</v>
      </c>
      <c r="J51" s="113">
        <f t="shared" si="6"/>
        <v>-0.08847887443</v>
      </c>
      <c r="K51" s="29">
        <f t="shared" si="7"/>
        <v>0.8591990714</v>
      </c>
      <c r="L51" s="65">
        <f t="shared" si="8"/>
        <v>353.7025</v>
      </c>
      <c r="M51" s="25">
        <f t="shared" si="9"/>
        <v>0.04430559308</v>
      </c>
      <c r="N51" s="65">
        <f t="shared" si="10"/>
        <v>428.3925</v>
      </c>
      <c r="O51" s="25">
        <f t="shared" si="11"/>
        <v>0.005473012188</v>
      </c>
      <c r="P51" s="25">
        <f t="shared" si="12"/>
        <v>0.03883258089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IFERROR(__xludf.DUMMYFUNCTION("""COMPUTED_VALUE"""),46205.64583333333)</f>
        <v>46205.64583</v>
      </c>
      <c r="C52" s="1">
        <f>IFERROR(__xludf.DUMMYFUNCTION("""COMPUTED_VALUE"""),369.6)</f>
        <v>369.6</v>
      </c>
      <c r="D52" s="1"/>
      <c r="E52" s="112">
        <f>IFERROR(__xludf.DUMMYFUNCTION("""COMPUTED_VALUE"""),46205.64583333333)</f>
        <v>46205.64583</v>
      </c>
      <c r="F52" s="1">
        <f>IFERROR(__xludf.DUMMYFUNCTION("""COMPUTED_VALUE"""),430.05)</f>
        <v>430.05</v>
      </c>
      <c r="G52" s="1"/>
      <c r="H52" s="29">
        <f t="shared" si="4"/>
        <v>0.8594349494</v>
      </c>
      <c r="I52" s="1">
        <f t="shared" si="5"/>
        <v>-60.45</v>
      </c>
      <c r="J52" s="113">
        <f t="shared" si="6"/>
        <v>-0.08026596644</v>
      </c>
      <c r="K52" s="29">
        <f t="shared" si="7"/>
        <v>0.8594349494</v>
      </c>
      <c r="L52" s="65">
        <f t="shared" si="8"/>
        <v>355.9</v>
      </c>
      <c r="M52" s="25">
        <f t="shared" si="9"/>
        <v>0.03706709957</v>
      </c>
      <c r="N52" s="65">
        <f t="shared" si="10"/>
        <v>429.065</v>
      </c>
      <c r="O52" s="25">
        <f t="shared" si="11"/>
        <v>0.002290431345</v>
      </c>
      <c r="P52" s="25">
        <f t="shared" si="12"/>
        <v>0.03477666822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IFERROR(__xludf.DUMMYFUNCTION("""COMPUTED_VALUE"""),46206.64583333333)</f>
        <v>46206.64583</v>
      </c>
      <c r="C53" s="1">
        <f>IFERROR(__xludf.DUMMYFUNCTION("""COMPUTED_VALUE"""),365.15)</f>
        <v>365.15</v>
      </c>
      <c r="D53" s="1"/>
      <c r="E53" s="112">
        <f>IFERROR(__xludf.DUMMYFUNCTION("""COMPUTED_VALUE"""),46206.64583333333)</f>
        <v>46206.64583</v>
      </c>
      <c r="F53" s="1">
        <f>IFERROR(__xludf.DUMMYFUNCTION("""COMPUTED_VALUE"""),425.8)</f>
        <v>425.8</v>
      </c>
      <c r="G53" s="1"/>
      <c r="H53" s="29">
        <f t="shared" si="4"/>
        <v>0.8575622358</v>
      </c>
      <c r="I53" s="1">
        <f t="shared" si="5"/>
        <v>-60.65</v>
      </c>
      <c r="J53" s="113">
        <f t="shared" si="6"/>
        <v>-0.08847887443</v>
      </c>
      <c r="K53" s="29">
        <f t="shared" si="7"/>
        <v>0.8575622358</v>
      </c>
      <c r="L53" s="65">
        <f t="shared" si="8"/>
        <v>357.3975</v>
      </c>
      <c r="M53" s="25">
        <f t="shared" si="9"/>
        <v>0.02123100096</v>
      </c>
      <c r="N53" s="65">
        <f t="shared" si="10"/>
        <v>429.1325</v>
      </c>
      <c r="O53" s="25">
        <f t="shared" si="11"/>
        <v>-0.00782644434</v>
      </c>
      <c r="P53" s="25">
        <f t="shared" si="12"/>
        <v>0.0290574453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IFERROR(__xludf.DUMMYFUNCTION("""COMPUTED_VALUE"""),46209.64583333333)</f>
        <v>46209.64583</v>
      </c>
      <c r="C54" s="1">
        <f>IFERROR(__xludf.DUMMYFUNCTION("""COMPUTED_VALUE"""),364.75)</f>
        <v>364.75</v>
      </c>
      <c r="D54" s="1"/>
      <c r="E54" s="112">
        <f>IFERROR(__xludf.DUMMYFUNCTION("""COMPUTED_VALUE"""),46209.64583333333)</f>
        <v>46209.64583</v>
      </c>
      <c r="F54" s="1">
        <f>IFERROR(__xludf.DUMMYFUNCTION("""COMPUTED_VALUE"""),421.1)</f>
        <v>421.1</v>
      </c>
      <c r="G54" s="1"/>
      <c r="H54" s="29">
        <f t="shared" si="4"/>
        <v>0.8661838043</v>
      </c>
      <c r="I54" s="1">
        <f t="shared" si="5"/>
        <v>-56.35</v>
      </c>
      <c r="J54" s="113">
        <f t="shared" si="6"/>
        <v>0.0880986472</v>
      </c>
      <c r="K54" s="29">
        <f t="shared" si="7"/>
        <v>0.8661838043</v>
      </c>
      <c r="L54" s="65">
        <f t="shared" si="8"/>
        <v>358.44</v>
      </c>
      <c r="M54" s="25">
        <f t="shared" si="9"/>
        <v>0.01729952022</v>
      </c>
      <c r="N54" s="65">
        <f t="shared" si="10"/>
        <v>428.6</v>
      </c>
      <c r="O54" s="25">
        <f t="shared" si="11"/>
        <v>-0.01781049632</v>
      </c>
      <c r="P54" s="25">
        <f t="shared" si="12"/>
        <v>0.03511001654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IFERROR(__xludf.DUMMYFUNCTION("""COMPUTED_VALUE"""),46210.64583333333)</f>
        <v>46210.64583</v>
      </c>
      <c r="C55" s="1">
        <f>IFERROR(__xludf.DUMMYFUNCTION("""COMPUTED_VALUE"""),356.25)</f>
        <v>356.25</v>
      </c>
      <c r="D55" s="1"/>
      <c r="E55" s="112">
        <f>IFERROR(__xludf.DUMMYFUNCTION("""COMPUTED_VALUE"""),46210.64583333333)</f>
        <v>46210.64583</v>
      </c>
      <c r="F55" s="1">
        <f>IFERROR(__xludf.DUMMYFUNCTION("""COMPUTED_VALUE"""),413.15)</f>
        <v>413.15</v>
      </c>
      <c r="G55" s="1"/>
      <c r="H55" s="29">
        <f t="shared" si="4"/>
        <v>0.8622776231</v>
      </c>
      <c r="I55" s="1">
        <f t="shared" si="5"/>
        <v>-56.9</v>
      </c>
      <c r="J55" s="113">
        <f t="shared" si="6"/>
        <v>0.06551315025</v>
      </c>
      <c r="K55" s="29">
        <f t="shared" si="7"/>
        <v>0.8622776231</v>
      </c>
      <c r="L55" s="65">
        <f t="shared" si="8"/>
        <v>359.0825</v>
      </c>
      <c r="M55" s="25">
        <f t="shared" si="9"/>
        <v>-0.007950877193</v>
      </c>
      <c r="N55" s="65">
        <f t="shared" si="10"/>
        <v>427.8375</v>
      </c>
      <c r="O55" s="25">
        <f t="shared" si="11"/>
        <v>-0.03555004236</v>
      </c>
      <c r="P55" s="25">
        <f t="shared" si="12"/>
        <v>0.02759916516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IFERROR(__xludf.DUMMYFUNCTION("""COMPUTED_VALUE"""),46211.64583333333)</f>
        <v>46211.64583</v>
      </c>
      <c r="C56" s="1">
        <f>IFERROR(__xludf.DUMMYFUNCTION("""COMPUTED_VALUE"""),348.75)</f>
        <v>348.75</v>
      </c>
      <c r="D56" s="1"/>
      <c r="E56" s="112">
        <f>IFERROR(__xludf.DUMMYFUNCTION("""COMPUTED_VALUE"""),46211.64583333333)</f>
        <v>46211.64583</v>
      </c>
      <c r="F56" s="1">
        <f>IFERROR(__xludf.DUMMYFUNCTION("""COMPUTED_VALUE"""),403.6)</f>
        <v>403.6</v>
      </c>
      <c r="G56" s="1"/>
      <c r="H56" s="29">
        <f t="shared" si="4"/>
        <v>0.8640981169</v>
      </c>
      <c r="I56" s="1">
        <f t="shared" si="5"/>
        <v>-54.85</v>
      </c>
      <c r="J56" s="113">
        <f t="shared" si="6"/>
        <v>0.1496954571</v>
      </c>
      <c r="K56" s="29">
        <f t="shared" si="7"/>
        <v>0.8640981169</v>
      </c>
      <c r="L56" s="65">
        <f t="shared" si="8"/>
        <v>358.915</v>
      </c>
      <c r="M56" s="25">
        <f t="shared" si="9"/>
        <v>-0.02914695341</v>
      </c>
      <c r="N56" s="65">
        <f t="shared" si="10"/>
        <v>426.2375</v>
      </c>
      <c r="O56" s="25">
        <f t="shared" si="11"/>
        <v>-0.05608894945</v>
      </c>
      <c r="P56" s="25">
        <f t="shared" si="12"/>
        <v>0.02694199605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IFERROR(__xludf.DUMMYFUNCTION("""COMPUTED_VALUE"""),46212.64583333333)</f>
        <v>46212.64583</v>
      </c>
      <c r="C57" s="1">
        <f>IFERROR(__xludf.DUMMYFUNCTION("""COMPUTED_VALUE"""),352.0)</f>
        <v>352</v>
      </c>
      <c r="D57" s="1"/>
      <c r="E57" s="112">
        <f>IFERROR(__xludf.DUMMYFUNCTION("""COMPUTED_VALUE"""),46212.64583333333)</f>
        <v>46212.64583</v>
      </c>
      <c r="F57" s="1">
        <f>IFERROR(__xludf.DUMMYFUNCTION("""COMPUTED_VALUE"""),404.1)</f>
        <v>404.1</v>
      </c>
      <c r="G57" s="1"/>
      <c r="H57" s="29">
        <f t="shared" si="4"/>
        <v>0.871071517</v>
      </c>
      <c r="I57" s="1">
        <f t="shared" si="5"/>
        <v>-52.1</v>
      </c>
      <c r="J57" s="113">
        <f t="shared" si="6"/>
        <v>0.2626229418</v>
      </c>
      <c r="K57" s="29">
        <f t="shared" si="7"/>
        <v>0.871071517</v>
      </c>
      <c r="L57" s="65">
        <f t="shared" si="8"/>
        <v>359.075</v>
      </c>
      <c r="M57" s="25">
        <f t="shared" si="9"/>
        <v>-0.02009943182</v>
      </c>
      <c r="N57" s="65">
        <f t="shared" si="10"/>
        <v>424.8775</v>
      </c>
      <c r="O57" s="25">
        <f t="shared" si="11"/>
        <v>-0.05141672853</v>
      </c>
      <c r="P57" s="25">
        <f t="shared" si="12"/>
        <v>0.03131729671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IFERROR(__xludf.DUMMYFUNCTION("""COMPUTED_VALUE"""),46213.64583333333)</f>
        <v>46213.64583</v>
      </c>
      <c r="C58" s="1">
        <f>IFERROR(__xludf.DUMMYFUNCTION("""COMPUTED_VALUE"""),351.95)</f>
        <v>351.95</v>
      </c>
      <c r="D58" s="1"/>
      <c r="E58" s="112">
        <f>IFERROR(__xludf.DUMMYFUNCTION("""COMPUTED_VALUE"""),46213.64583333333)</f>
        <v>46213.64583</v>
      </c>
      <c r="F58" s="1">
        <f>IFERROR(__xludf.DUMMYFUNCTION("""COMPUTED_VALUE"""),406.5)</f>
        <v>406.5</v>
      </c>
      <c r="G58" s="1"/>
      <c r="H58" s="29">
        <f t="shared" si="4"/>
        <v>0.8658056581</v>
      </c>
      <c r="I58" s="1">
        <f t="shared" si="5"/>
        <v>-54.55</v>
      </c>
      <c r="J58" s="113">
        <f t="shared" si="6"/>
        <v>0.1620148191</v>
      </c>
      <c r="K58" s="29">
        <f t="shared" si="7"/>
        <v>0.8658056581</v>
      </c>
      <c r="L58" s="65">
        <f t="shared" si="8"/>
        <v>359.83</v>
      </c>
      <c r="M58" s="25">
        <f t="shared" si="9"/>
        <v>-0.02238954397</v>
      </c>
      <c r="N58" s="65">
        <f t="shared" si="10"/>
        <v>424.525</v>
      </c>
      <c r="O58" s="25">
        <f t="shared" si="11"/>
        <v>-0.04434194342</v>
      </c>
      <c r="P58" s="25">
        <f t="shared" si="12"/>
        <v>0.02195239945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IFERROR(__xludf.DUMMYFUNCTION("""COMPUTED_VALUE"""),46216.64583333333)</f>
        <v>46216.64583</v>
      </c>
      <c r="C59" s="1">
        <f>IFERROR(__xludf.DUMMYFUNCTION("""COMPUTED_VALUE"""),351.05)</f>
        <v>351.05</v>
      </c>
      <c r="D59" s="1"/>
      <c r="E59" s="112">
        <f>IFERROR(__xludf.DUMMYFUNCTION("""COMPUTED_VALUE"""),46216.64583333333)</f>
        <v>46216.64583</v>
      </c>
      <c r="F59" s="1">
        <f>IFERROR(__xludf.DUMMYFUNCTION("""COMPUTED_VALUE"""),405.1)</f>
        <v>405.1</v>
      </c>
      <c r="G59" s="1"/>
      <c r="H59" s="29">
        <f t="shared" si="4"/>
        <v>0.866576154</v>
      </c>
      <c r="I59" s="1">
        <f t="shared" si="5"/>
        <v>-54.05</v>
      </c>
      <c r="J59" s="113">
        <f t="shared" si="6"/>
        <v>0.182547089</v>
      </c>
      <c r="K59" s="29">
        <f t="shared" si="7"/>
        <v>0.866576154</v>
      </c>
      <c r="L59" s="65">
        <f t="shared" si="8"/>
        <v>359.98</v>
      </c>
      <c r="M59" s="25">
        <f t="shared" si="9"/>
        <v>-0.0254379718</v>
      </c>
      <c r="N59" s="65">
        <f t="shared" si="10"/>
        <v>423.7275</v>
      </c>
      <c r="O59" s="25">
        <f t="shared" si="11"/>
        <v>-0.04598247346</v>
      </c>
      <c r="P59" s="25">
        <f t="shared" si="12"/>
        <v>0.02054450166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IFERROR(__xludf.DUMMYFUNCTION("""COMPUTED_VALUE"""),46217.64583333333)</f>
        <v>46217.64583</v>
      </c>
      <c r="C60" s="1">
        <f>IFERROR(__xludf.DUMMYFUNCTION("""COMPUTED_VALUE"""),352.45)</f>
        <v>352.45</v>
      </c>
      <c r="D60" s="1"/>
      <c r="E60" s="112">
        <f>IFERROR(__xludf.DUMMYFUNCTION("""COMPUTED_VALUE"""),46217.64583333333)</f>
        <v>46217.64583</v>
      </c>
      <c r="F60" s="1">
        <f>IFERROR(__xludf.DUMMYFUNCTION("""COMPUTED_VALUE"""),409.15)</f>
        <v>409.15</v>
      </c>
      <c r="G60" s="1"/>
      <c r="H60" s="29">
        <f t="shared" si="4"/>
        <v>0.8614200171</v>
      </c>
      <c r="I60" s="1">
        <f t="shared" si="5"/>
        <v>-56.7</v>
      </c>
      <c r="J60" s="113">
        <f t="shared" si="6"/>
        <v>0.07372605823</v>
      </c>
      <c r="K60" s="29">
        <f t="shared" si="7"/>
        <v>0.8614200171</v>
      </c>
      <c r="L60" s="65">
        <f t="shared" si="8"/>
        <v>360.01</v>
      </c>
      <c r="M60" s="25">
        <f t="shared" si="9"/>
        <v>-0.02144985104</v>
      </c>
      <c r="N60" s="65">
        <f t="shared" si="10"/>
        <v>422.96</v>
      </c>
      <c r="O60" s="25">
        <f t="shared" si="11"/>
        <v>-0.03375290236</v>
      </c>
      <c r="P60" s="25">
        <f t="shared" si="12"/>
        <v>0.01230305132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IFERROR(__xludf.DUMMYFUNCTION("""COMPUTED_VALUE"""),46218.64583333333)</f>
        <v>46218.64583</v>
      </c>
      <c r="C61" s="1">
        <f>IFERROR(__xludf.DUMMYFUNCTION("""COMPUTED_VALUE"""),351.7)</f>
        <v>351.7</v>
      </c>
      <c r="D61" s="1"/>
      <c r="E61" s="112">
        <f>IFERROR(__xludf.DUMMYFUNCTION("""COMPUTED_VALUE"""),46218.64583333333)</f>
        <v>46218.64583</v>
      </c>
      <c r="F61" s="1">
        <f>IFERROR(__xludf.DUMMYFUNCTION("""COMPUTED_VALUE"""),405.65)</f>
        <v>405.65</v>
      </c>
      <c r="G61" s="1"/>
      <c r="H61" s="29">
        <f t="shared" si="4"/>
        <v>0.8670035745</v>
      </c>
      <c r="I61" s="1">
        <f t="shared" si="5"/>
        <v>-53.95</v>
      </c>
      <c r="J61" s="113">
        <f t="shared" si="6"/>
        <v>0.186653543</v>
      </c>
      <c r="K61" s="29">
        <f t="shared" si="7"/>
        <v>0.8670035745</v>
      </c>
      <c r="L61" s="65">
        <f t="shared" si="8"/>
        <v>359.7675</v>
      </c>
      <c r="M61" s="25">
        <f t="shared" si="9"/>
        <v>-0.02293858402</v>
      </c>
      <c r="N61" s="65">
        <f t="shared" si="10"/>
        <v>421.8675</v>
      </c>
      <c r="O61" s="25">
        <f t="shared" si="11"/>
        <v>-0.03997904598</v>
      </c>
      <c r="P61" s="25">
        <f t="shared" si="12"/>
        <v>0.01704046196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IFERROR(__xludf.DUMMYFUNCTION("""COMPUTED_VALUE"""),46219.64583333333)</f>
        <v>46219.64583</v>
      </c>
      <c r="C62" s="1">
        <f>IFERROR(__xludf.DUMMYFUNCTION("""COMPUTED_VALUE"""),349.6)</f>
        <v>349.6</v>
      </c>
      <c r="D62" s="1"/>
      <c r="E62" s="112">
        <f>IFERROR(__xludf.DUMMYFUNCTION("""COMPUTED_VALUE"""),46219.64583333333)</f>
        <v>46219.64583</v>
      </c>
      <c r="F62" s="1">
        <f>IFERROR(__xludf.DUMMYFUNCTION("""COMPUTED_VALUE"""),401.35)</f>
        <v>401.35</v>
      </c>
      <c r="G62" s="1"/>
      <c r="H62" s="29">
        <f t="shared" si="4"/>
        <v>0.8710601719</v>
      </c>
      <c r="I62" s="1">
        <f t="shared" si="5"/>
        <v>-51.75</v>
      </c>
      <c r="J62" s="113">
        <f t="shared" si="6"/>
        <v>0.2769955308</v>
      </c>
      <c r="K62" s="29">
        <f t="shared" si="7"/>
        <v>0.8710601719</v>
      </c>
      <c r="L62" s="65">
        <f t="shared" si="8"/>
        <v>359.31</v>
      </c>
      <c r="M62" s="25">
        <f t="shared" si="9"/>
        <v>-0.02777459954</v>
      </c>
      <c r="N62" s="65">
        <f t="shared" si="10"/>
        <v>420.3475</v>
      </c>
      <c r="O62" s="25">
        <f t="shared" si="11"/>
        <v>-0.04733399776</v>
      </c>
      <c r="P62" s="25">
        <f t="shared" si="12"/>
        <v>0.01955939822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IFERROR(__xludf.DUMMYFUNCTION("""COMPUTED_VALUE"""),46220.64583333333)</f>
        <v>46220.64583</v>
      </c>
      <c r="C63" s="1">
        <f>IFERROR(__xludf.DUMMYFUNCTION("""COMPUTED_VALUE"""),355.1)</f>
        <v>355.1</v>
      </c>
      <c r="D63" s="1"/>
      <c r="E63" s="112">
        <f>IFERROR(__xludf.DUMMYFUNCTION("""COMPUTED_VALUE"""),46220.64583333333)</f>
        <v>46220.64583</v>
      </c>
      <c r="F63" s="1">
        <f>IFERROR(__xludf.DUMMYFUNCTION("""COMPUTED_VALUE"""),404.85)</f>
        <v>404.85</v>
      </c>
      <c r="G63" s="1"/>
      <c r="H63" s="29">
        <f t="shared" si="4"/>
        <v>0.8771149809</v>
      </c>
      <c r="I63" s="1">
        <f t="shared" si="5"/>
        <v>-49.75</v>
      </c>
      <c r="J63" s="113">
        <f t="shared" si="6"/>
        <v>0.3591246106</v>
      </c>
      <c r="K63" s="29">
        <f t="shared" si="7"/>
        <v>0.8771149809</v>
      </c>
      <c r="L63" s="65">
        <f t="shared" si="8"/>
        <v>359.13</v>
      </c>
      <c r="M63" s="25">
        <f t="shared" si="9"/>
        <v>-0.0113489158</v>
      </c>
      <c r="N63" s="65">
        <f t="shared" si="10"/>
        <v>419.125</v>
      </c>
      <c r="O63" s="25">
        <f t="shared" si="11"/>
        <v>-0.03525997283</v>
      </c>
      <c r="P63" s="25">
        <f t="shared" si="12"/>
        <v>0.02391105703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IFERROR(__xludf.DUMMYFUNCTION("""COMPUTED_VALUE"""),46223.64583333333)</f>
        <v>46223.64583</v>
      </c>
      <c r="C64" s="1">
        <f>IFERROR(__xludf.DUMMYFUNCTION("""COMPUTED_VALUE"""),363.5)</f>
        <v>363.5</v>
      </c>
      <c r="D64" s="1"/>
      <c r="E64" s="112">
        <f>IFERROR(__xludf.DUMMYFUNCTION("""COMPUTED_VALUE"""),46223.64583333333)</f>
        <v>46223.64583</v>
      </c>
      <c r="F64" s="1">
        <f>IFERROR(__xludf.DUMMYFUNCTION("""COMPUTED_VALUE"""),413.85)</f>
        <v>413.85</v>
      </c>
      <c r="G64" s="1"/>
      <c r="H64" s="29">
        <f t="shared" si="4"/>
        <v>0.8783375619</v>
      </c>
      <c r="I64" s="1">
        <f t="shared" si="5"/>
        <v>-50.35</v>
      </c>
      <c r="J64" s="113">
        <f t="shared" si="6"/>
        <v>0.3344858867</v>
      </c>
      <c r="K64" s="29">
        <f t="shared" si="7"/>
        <v>0.8783375619</v>
      </c>
      <c r="L64" s="65">
        <f t="shared" si="8"/>
        <v>359.5375</v>
      </c>
      <c r="M64" s="25">
        <f t="shared" si="9"/>
        <v>0.01090096286</v>
      </c>
      <c r="N64" s="65">
        <f t="shared" si="10"/>
        <v>418.2675</v>
      </c>
      <c r="O64" s="25">
        <f t="shared" si="11"/>
        <v>-0.0106741573</v>
      </c>
      <c r="P64" s="25">
        <f t="shared" si="12"/>
        <v>0.02157512016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IFERROR(__xludf.DUMMYFUNCTION("""COMPUTED_VALUE"""),46224.64583333333)</f>
        <v>46224.64583</v>
      </c>
      <c r="C65" s="1">
        <f>IFERROR(__xludf.DUMMYFUNCTION("""COMPUTED_VALUE"""),362.05)</f>
        <v>362.05</v>
      </c>
      <c r="D65" s="1"/>
      <c r="E65" s="112">
        <f>IFERROR(__xludf.DUMMYFUNCTION("""COMPUTED_VALUE"""),46224.64583333333)</f>
        <v>46224.64583</v>
      </c>
      <c r="F65" s="1">
        <f>IFERROR(__xludf.DUMMYFUNCTION("""COMPUTED_VALUE"""),414.85)</f>
        <v>414.85</v>
      </c>
      <c r="G65" s="1"/>
      <c r="H65" s="29">
        <f t="shared" si="4"/>
        <v>0.8727250814</v>
      </c>
      <c r="I65" s="1">
        <f t="shared" si="5"/>
        <v>-52.8</v>
      </c>
      <c r="J65" s="113">
        <f t="shared" si="6"/>
        <v>0.2338777639</v>
      </c>
      <c r="K65" s="29">
        <f t="shared" si="7"/>
        <v>0.8727250814</v>
      </c>
      <c r="L65" s="65">
        <f t="shared" si="8"/>
        <v>359.1475</v>
      </c>
      <c r="M65" s="25">
        <f t="shared" si="9"/>
        <v>0.008016848502</v>
      </c>
      <c r="N65" s="65">
        <f t="shared" si="10"/>
        <v>416.9625</v>
      </c>
      <c r="O65" s="25">
        <f t="shared" si="11"/>
        <v>-0.005092202001</v>
      </c>
      <c r="P65" s="25">
        <f t="shared" si="12"/>
        <v>0.0131090505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IFERROR(__xludf.DUMMYFUNCTION("""COMPUTED_VALUE"""),46225.64583333333)</f>
        <v>46225.64583</v>
      </c>
      <c r="C66" s="1">
        <f>IFERROR(__xludf.DUMMYFUNCTION("""COMPUTED_VALUE"""),360.65)</f>
        <v>360.65</v>
      </c>
      <c r="D66" s="1"/>
      <c r="E66" s="112">
        <f>IFERROR(__xludf.DUMMYFUNCTION("""COMPUTED_VALUE"""),46225.64583333333)</f>
        <v>46225.64583</v>
      </c>
      <c r="F66" s="1">
        <f>IFERROR(__xludf.DUMMYFUNCTION("""COMPUTED_VALUE"""),412.3)</f>
        <v>412.3</v>
      </c>
      <c r="G66" s="1"/>
      <c r="H66" s="29">
        <f t="shared" si="4"/>
        <v>0.8747271404</v>
      </c>
      <c r="I66" s="1">
        <f t="shared" si="5"/>
        <v>-51.65</v>
      </c>
      <c r="J66" s="113">
        <f t="shared" si="6"/>
        <v>0.2811019848</v>
      </c>
      <c r="K66" s="29">
        <f t="shared" si="7"/>
        <v>0.8747271404</v>
      </c>
      <c r="L66" s="65">
        <f t="shared" si="8"/>
        <v>359.085</v>
      </c>
      <c r="M66" s="25">
        <f t="shared" si="9"/>
        <v>0.004339387218</v>
      </c>
      <c r="N66" s="65">
        <f t="shared" si="10"/>
        <v>416.0325</v>
      </c>
      <c r="O66" s="25">
        <f t="shared" si="11"/>
        <v>-0.009052874121</v>
      </c>
      <c r="P66" s="25">
        <f t="shared" si="12"/>
        <v>0.01339226134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IFERROR(__xludf.DUMMYFUNCTION("""COMPUTED_VALUE"""),46226.64583333333)</f>
        <v>46226.64583</v>
      </c>
      <c r="C67" s="1">
        <f>IFERROR(__xludf.DUMMYFUNCTION("""COMPUTED_VALUE"""),358.45)</f>
        <v>358.45</v>
      </c>
      <c r="D67" s="1"/>
      <c r="E67" s="112">
        <f>IFERROR(__xludf.DUMMYFUNCTION("""COMPUTED_VALUE"""),46226.64583333333)</f>
        <v>46226.64583</v>
      </c>
      <c r="F67" s="1">
        <f>IFERROR(__xludf.DUMMYFUNCTION("""COMPUTED_VALUE"""),410.05)</f>
        <v>410.05</v>
      </c>
      <c r="G67" s="1"/>
      <c r="H67" s="29">
        <f t="shared" si="4"/>
        <v>0.8741616876</v>
      </c>
      <c r="I67" s="1">
        <f t="shared" si="5"/>
        <v>-51.6</v>
      </c>
      <c r="J67" s="113">
        <f t="shared" si="6"/>
        <v>0.2831552118</v>
      </c>
      <c r="K67" s="29">
        <f t="shared" si="7"/>
        <v>0.8741616876</v>
      </c>
      <c r="L67" s="65">
        <f t="shared" si="8"/>
        <v>358.825</v>
      </c>
      <c r="M67" s="25">
        <f t="shared" si="9"/>
        <v>-0.001046171014</v>
      </c>
      <c r="N67" s="65">
        <f t="shared" si="10"/>
        <v>414.68</v>
      </c>
      <c r="O67" s="25">
        <f t="shared" si="11"/>
        <v>-0.01129130594</v>
      </c>
      <c r="P67" s="25">
        <f t="shared" si="12"/>
        <v>0.01024513492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IFERROR(__xludf.DUMMYFUNCTION("""COMPUTED_VALUE"""),46227.64583333333)</f>
        <v>46227.64583</v>
      </c>
      <c r="C68" s="1">
        <f>IFERROR(__xludf.DUMMYFUNCTION("""COMPUTED_VALUE"""),361.6)</f>
        <v>361.6</v>
      </c>
      <c r="D68" s="1"/>
      <c r="E68" s="112">
        <f>IFERROR(__xludf.DUMMYFUNCTION("""COMPUTED_VALUE"""),46227.64583333333)</f>
        <v>46227.64583</v>
      </c>
      <c r="F68" s="1">
        <f>IFERROR(__xludf.DUMMYFUNCTION("""COMPUTED_VALUE"""),411.9)</f>
        <v>411.9</v>
      </c>
      <c r="G68" s="1"/>
      <c r="H68" s="29">
        <f t="shared" si="4"/>
        <v>0.8778829813</v>
      </c>
      <c r="I68" s="1">
        <f t="shared" si="5"/>
        <v>-50.3</v>
      </c>
      <c r="J68" s="113">
        <f t="shared" si="6"/>
        <v>0.3365391137</v>
      </c>
      <c r="K68" s="29">
        <f t="shared" si="7"/>
        <v>0.8778829813</v>
      </c>
      <c r="L68" s="65">
        <f t="shared" si="8"/>
        <v>358.6725</v>
      </c>
      <c r="M68" s="25">
        <f t="shared" si="9"/>
        <v>0.008095962389</v>
      </c>
      <c r="N68" s="65">
        <f t="shared" si="10"/>
        <v>413.6425</v>
      </c>
      <c r="O68" s="25">
        <f t="shared" si="11"/>
        <v>-0.004230395727</v>
      </c>
      <c r="P68" s="25">
        <f t="shared" si="12"/>
        <v>0.01232635812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IFERROR(__xludf.DUMMYFUNCTION("""COMPUTED_VALUE"""),46230.64583333333)</f>
        <v>46230.64583</v>
      </c>
      <c r="C69" s="1">
        <f>IFERROR(__xludf.DUMMYFUNCTION("""COMPUTED_VALUE"""),368.15)</f>
        <v>368.15</v>
      </c>
      <c r="D69" s="1"/>
      <c r="E69" s="112">
        <f>IFERROR(__xludf.DUMMYFUNCTION("""COMPUTED_VALUE"""),46230.64583333333)</f>
        <v>46230.64583</v>
      </c>
      <c r="F69" s="1">
        <f>IFERROR(__xludf.DUMMYFUNCTION("""COMPUTED_VALUE"""),420.1)</f>
        <v>420.1</v>
      </c>
      <c r="G69" s="1"/>
      <c r="H69" s="29">
        <f t="shared" si="4"/>
        <v>0.8763389669</v>
      </c>
      <c r="I69" s="1">
        <f t="shared" si="5"/>
        <v>-51.95</v>
      </c>
      <c r="J69" s="113">
        <f t="shared" si="6"/>
        <v>0.2687826228</v>
      </c>
      <c r="K69" s="29">
        <f t="shared" si="7"/>
        <v>0.8763389669</v>
      </c>
      <c r="L69" s="65">
        <f t="shared" si="8"/>
        <v>358.8325</v>
      </c>
      <c r="M69" s="25">
        <f t="shared" si="9"/>
        <v>0.02530897732</v>
      </c>
      <c r="N69" s="65">
        <f t="shared" si="10"/>
        <v>413.425</v>
      </c>
      <c r="O69" s="25">
        <f t="shared" si="11"/>
        <v>0.01588907403</v>
      </c>
      <c r="P69" s="25">
        <f t="shared" si="12"/>
        <v>0.009419903289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IFERROR(__xludf.DUMMYFUNCTION("""COMPUTED_VALUE"""),46231.64583333333)</f>
        <v>46231.64583</v>
      </c>
      <c r="C70" s="1">
        <f>IFERROR(__xludf.DUMMYFUNCTION("""COMPUTED_VALUE"""),368.45)</f>
        <v>368.45</v>
      </c>
      <c r="D70" s="1"/>
      <c r="E70" s="112">
        <f>IFERROR(__xludf.DUMMYFUNCTION("""COMPUTED_VALUE"""),46231.64583333333)</f>
        <v>46231.64583</v>
      </c>
      <c r="F70" s="1">
        <f>IFERROR(__xludf.DUMMYFUNCTION("""COMPUTED_VALUE"""),419.9)</f>
        <v>419.9</v>
      </c>
      <c r="G70" s="1"/>
      <c r="H70" s="29">
        <f t="shared" si="4"/>
        <v>0.8774708264</v>
      </c>
      <c r="I70" s="1">
        <f t="shared" si="5"/>
        <v>-51.45</v>
      </c>
      <c r="J70" s="113">
        <f t="shared" si="6"/>
        <v>0.2893148928</v>
      </c>
      <c r="K70" s="29">
        <f t="shared" si="7"/>
        <v>0.8774708264</v>
      </c>
      <c r="L70" s="65">
        <f t="shared" si="8"/>
        <v>359.065</v>
      </c>
      <c r="M70" s="25">
        <f t="shared" si="9"/>
        <v>0.02547157009</v>
      </c>
      <c r="N70" s="65">
        <f t="shared" si="10"/>
        <v>413.205</v>
      </c>
      <c r="O70" s="25">
        <f t="shared" si="11"/>
        <v>0.01594427245</v>
      </c>
      <c r="P70" s="25">
        <f t="shared" si="12"/>
        <v>0.009527297645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IFERROR(__xludf.DUMMYFUNCTION("""COMPUTED_VALUE"""),46232.64583333333)</f>
        <v>46232.64583</v>
      </c>
      <c r="C71" s="1">
        <f>IFERROR(__xludf.DUMMYFUNCTION("""COMPUTED_VALUE"""),374.25)</f>
        <v>374.25</v>
      </c>
      <c r="D71" s="1"/>
      <c r="E71" s="112">
        <f>IFERROR(__xludf.DUMMYFUNCTION("""COMPUTED_VALUE"""),46232.64583333333)</f>
        <v>46232.64583</v>
      </c>
      <c r="F71" s="1">
        <f>IFERROR(__xludf.DUMMYFUNCTION("""COMPUTED_VALUE"""),427.1)</f>
        <v>427.1</v>
      </c>
      <c r="G71" s="1"/>
      <c r="H71" s="29">
        <f t="shared" si="4"/>
        <v>0.8762584875</v>
      </c>
      <c r="I71" s="1">
        <f t="shared" si="5"/>
        <v>-52.85</v>
      </c>
      <c r="J71" s="113">
        <f t="shared" si="6"/>
        <v>0.2318245369</v>
      </c>
      <c r="K71" s="29">
        <f t="shared" si="7"/>
        <v>0.8762584875</v>
      </c>
      <c r="L71" s="65">
        <f t="shared" si="8"/>
        <v>359.2725</v>
      </c>
      <c r="M71" s="25">
        <f t="shared" si="9"/>
        <v>0.04002004008</v>
      </c>
      <c r="N71" s="65">
        <f t="shared" si="10"/>
        <v>413.0225</v>
      </c>
      <c r="O71" s="25">
        <f t="shared" si="11"/>
        <v>0.03296066495</v>
      </c>
      <c r="P71" s="25">
        <f t="shared" si="12"/>
        <v>0.007059375131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IFERROR(__xludf.DUMMYFUNCTION("""COMPUTED_VALUE"""),46233.64583333333)</f>
        <v>46233.64583</v>
      </c>
      <c r="C72" s="1">
        <f>IFERROR(__xludf.DUMMYFUNCTION("""COMPUTED_VALUE"""),374.9)</f>
        <v>374.9</v>
      </c>
      <c r="D72" s="1"/>
      <c r="E72" s="112">
        <f>IFERROR(__xludf.DUMMYFUNCTION("""COMPUTED_VALUE"""),46233.64583333333)</f>
        <v>46233.64583</v>
      </c>
      <c r="F72" s="1">
        <f>IFERROR(__xludf.DUMMYFUNCTION("""COMPUTED_VALUE"""),426.25)</f>
        <v>426.25</v>
      </c>
      <c r="G72" s="1"/>
      <c r="H72" s="29">
        <f t="shared" si="4"/>
        <v>0.8795307918</v>
      </c>
      <c r="I72" s="1">
        <f t="shared" si="5"/>
        <v>-51.35</v>
      </c>
      <c r="J72" s="113">
        <f t="shared" si="6"/>
        <v>0.2934213468</v>
      </c>
      <c r="K72" s="29">
        <f t="shared" si="7"/>
        <v>0.8795307918</v>
      </c>
      <c r="L72" s="65">
        <f t="shared" si="8"/>
        <v>359.5375</v>
      </c>
      <c r="M72" s="25">
        <f t="shared" si="9"/>
        <v>0.04097759403</v>
      </c>
      <c r="N72" s="65">
        <f t="shared" si="10"/>
        <v>412.8325</v>
      </c>
      <c r="O72" s="25">
        <f t="shared" si="11"/>
        <v>0.03147800587</v>
      </c>
      <c r="P72" s="25">
        <f t="shared" si="12"/>
        <v>0.00949958816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IFERROR(__xludf.DUMMYFUNCTION("""COMPUTED_VALUE"""),46234.64583333333)</f>
        <v>46234.64583</v>
      </c>
      <c r="C73" s="1">
        <f>IFERROR(__xludf.DUMMYFUNCTION("""COMPUTED_VALUE"""),372.95)</f>
        <v>372.95</v>
      </c>
      <c r="D73" s="1"/>
      <c r="E73" s="112">
        <f>IFERROR(__xludf.DUMMYFUNCTION("""COMPUTED_VALUE"""),46234.64583333333)</f>
        <v>46234.64583</v>
      </c>
      <c r="F73" s="1">
        <f>IFERROR(__xludf.DUMMYFUNCTION("""COMPUTED_VALUE"""),424.35)</f>
        <v>424.35</v>
      </c>
      <c r="G73" s="1"/>
      <c r="H73" s="29">
        <f t="shared" si="4"/>
        <v>0.8788735713</v>
      </c>
      <c r="I73" s="1">
        <f t="shared" si="5"/>
        <v>-51.4</v>
      </c>
      <c r="J73" s="113">
        <f t="shared" si="6"/>
        <v>0.2913681198</v>
      </c>
      <c r="K73" s="29">
        <f t="shared" si="7"/>
        <v>0.8788735713</v>
      </c>
      <c r="L73" s="65">
        <f t="shared" si="8"/>
        <v>359.9275</v>
      </c>
      <c r="M73" s="25">
        <f t="shared" si="9"/>
        <v>0.03491754927</v>
      </c>
      <c r="N73" s="65">
        <f t="shared" si="10"/>
        <v>412.76</v>
      </c>
      <c r="O73" s="25">
        <f t="shared" si="11"/>
        <v>0.02731236008</v>
      </c>
      <c r="P73" s="25">
        <f t="shared" si="12"/>
        <v>0.007605189189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IFERROR(__xludf.DUMMYFUNCTION("""COMPUTED_VALUE"""),46237.64583333333)</f>
        <v>46237.64583</v>
      </c>
      <c r="C74" s="1">
        <f>IFERROR(__xludf.DUMMYFUNCTION("""COMPUTED_VALUE"""),368.1)</f>
        <v>368.1</v>
      </c>
      <c r="D74" s="1"/>
      <c r="E74" s="112">
        <f>IFERROR(__xludf.DUMMYFUNCTION("""COMPUTED_VALUE"""),46237.64583333333)</f>
        <v>46237.64583</v>
      </c>
      <c r="F74" s="1">
        <f>IFERROR(__xludf.DUMMYFUNCTION("""COMPUTED_VALUE"""),421.5)</f>
        <v>421.5</v>
      </c>
      <c r="G74" s="1"/>
      <c r="H74" s="29">
        <f t="shared" si="4"/>
        <v>0.8733096085</v>
      </c>
      <c r="I74" s="1">
        <f t="shared" si="5"/>
        <v>-53.4</v>
      </c>
      <c r="J74" s="113">
        <f t="shared" si="6"/>
        <v>0.20923904</v>
      </c>
      <c r="K74" s="29">
        <f t="shared" si="7"/>
        <v>0.8733096085</v>
      </c>
      <c r="L74" s="65">
        <f t="shared" si="8"/>
        <v>360.095</v>
      </c>
      <c r="M74" s="25">
        <f t="shared" si="9"/>
        <v>0.02174680793</v>
      </c>
      <c r="N74" s="65">
        <f t="shared" si="10"/>
        <v>412.78</v>
      </c>
      <c r="O74" s="25">
        <f t="shared" si="11"/>
        <v>0.02068801898</v>
      </c>
      <c r="P74" s="25">
        <f t="shared" si="12"/>
        <v>0.001058788953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IFERROR(__xludf.DUMMYFUNCTION("""COMPUTED_VALUE"""),46238.64583333333)</f>
        <v>46238.64583</v>
      </c>
      <c r="C75" s="1">
        <f>IFERROR(__xludf.DUMMYFUNCTION("""COMPUTED_VALUE"""),368.0)</f>
        <v>368</v>
      </c>
      <c r="D75" s="1"/>
      <c r="E75" s="112">
        <f>IFERROR(__xludf.DUMMYFUNCTION("""COMPUTED_VALUE"""),46238.64583333333)</f>
        <v>46238.64583</v>
      </c>
      <c r="F75" s="1">
        <f>IFERROR(__xludf.DUMMYFUNCTION("""COMPUTED_VALUE"""),420.0)</f>
        <v>420</v>
      </c>
      <c r="G75" s="1"/>
      <c r="H75" s="29">
        <f t="shared" si="4"/>
        <v>0.8761904762</v>
      </c>
      <c r="I75" s="1">
        <f t="shared" si="5"/>
        <v>-52</v>
      </c>
      <c r="J75" s="113">
        <f t="shared" si="6"/>
        <v>0.2667293958</v>
      </c>
      <c r="K75" s="29">
        <f t="shared" si="7"/>
        <v>0.8761904762</v>
      </c>
      <c r="L75" s="65">
        <f t="shared" si="8"/>
        <v>360.6825</v>
      </c>
      <c r="M75" s="25">
        <f t="shared" si="9"/>
        <v>0.01988451087</v>
      </c>
      <c r="N75" s="65">
        <f t="shared" si="10"/>
        <v>413.1225</v>
      </c>
      <c r="O75" s="25">
        <f t="shared" si="11"/>
        <v>0.016375</v>
      </c>
      <c r="P75" s="25">
        <f t="shared" si="12"/>
        <v>0.00350951087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IFERROR(__xludf.DUMMYFUNCTION("""COMPUTED_VALUE"""),46239.64583333333)</f>
        <v>46239.64583</v>
      </c>
      <c r="C76" s="1">
        <f>IFERROR(__xludf.DUMMYFUNCTION("""COMPUTED_VALUE"""),366.0)</f>
        <v>366</v>
      </c>
      <c r="D76" s="1"/>
      <c r="E76" s="112">
        <f>IFERROR(__xludf.DUMMYFUNCTION("""COMPUTED_VALUE"""),46239.64583333333)</f>
        <v>46239.64583</v>
      </c>
      <c r="F76" s="1">
        <f>IFERROR(__xludf.DUMMYFUNCTION("""COMPUTED_VALUE"""),418.0)</f>
        <v>418</v>
      </c>
      <c r="G76" s="1"/>
      <c r="H76" s="29">
        <f t="shared" si="4"/>
        <v>0.8755980861</v>
      </c>
      <c r="I76" s="1">
        <f t="shared" si="5"/>
        <v>-52</v>
      </c>
      <c r="J76" s="113">
        <f t="shared" si="6"/>
        <v>0.2667293958</v>
      </c>
      <c r="K76" s="29">
        <f t="shared" si="7"/>
        <v>0.8755980861</v>
      </c>
      <c r="L76" s="65">
        <f t="shared" si="8"/>
        <v>361.545</v>
      </c>
      <c r="M76" s="25">
        <f t="shared" si="9"/>
        <v>0.01217213115</v>
      </c>
      <c r="N76" s="65">
        <f t="shared" si="10"/>
        <v>413.8425</v>
      </c>
      <c r="O76" s="25">
        <f t="shared" si="11"/>
        <v>0.009946172249</v>
      </c>
      <c r="P76" s="25">
        <f t="shared" si="12"/>
        <v>0.002225958899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IFERROR(__xludf.DUMMYFUNCTION("""COMPUTED_VALUE"""),46240.64583333333)</f>
        <v>46240.64583</v>
      </c>
      <c r="C77" s="1">
        <f>IFERROR(__xludf.DUMMYFUNCTION("""COMPUTED_VALUE"""),361.5)</f>
        <v>361.5</v>
      </c>
      <c r="D77" s="1"/>
      <c r="E77" s="112">
        <f>IFERROR(__xludf.DUMMYFUNCTION("""COMPUTED_VALUE"""),46240.64583333333)</f>
        <v>46240.64583</v>
      </c>
      <c r="F77" s="1">
        <f>IFERROR(__xludf.DUMMYFUNCTION("""COMPUTED_VALUE"""),418.0)</f>
        <v>418</v>
      </c>
      <c r="G77" s="1"/>
      <c r="H77" s="29">
        <f t="shared" si="4"/>
        <v>0.8648325359</v>
      </c>
      <c r="I77" s="1">
        <f t="shared" si="5"/>
        <v>-56.5</v>
      </c>
      <c r="J77" s="113">
        <f t="shared" si="6"/>
        <v>0.08193896622</v>
      </c>
      <c r="K77" s="29">
        <f t="shared" si="7"/>
        <v>0.8648325359</v>
      </c>
      <c r="L77" s="65">
        <f t="shared" si="8"/>
        <v>362.02</v>
      </c>
      <c r="M77" s="25">
        <f t="shared" si="9"/>
        <v>-0.001438450899</v>
      </c>
      <c r="N77" s="65">
        <f t="shared" si="10"/>
        <v>414.5375</v>
      </c>
      <c r="O77" s="25">
        <f t="shared" si="11"/>
        <v>0.008283492823</v>
      </c>
      <c r="P77" s="25">
        <f t="shared" si="12"/>
        <v>-0.009721943722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IFERROR(__xludf.DUMMYFUNCTION("""COMPUTED_VALUE"""),46241.64583333333)</f>
        <v>46241.64583</v>
      </c>
      <c r="C78" s="1">
        <f>IFERROR(__xludf.DUMMYFUNCTION("""COMPUTED_VALUE"""),367.0)</f>
        <v>367</v>
      </c>
      <c r="D78" s="1"/>
      <c r="E78" s="112">
        <f>IFERROR(__xludf.DUMMYFUNCTION("""COMPUTED_VALUE"""),46241.64583333333)</f>
        <v>46241.64583</v>
      </c>
      <c r="F78" s="1">
        <f>IFERROR(__xludf.DUMMYFUNCTION("""COMPUTED_VALUE"""),420.0)</f>
        <v>420</v>
      </c>
      <c r="G78" s="1"/>
      <c r="H78" s="29">
        <f t="shared" si="4"/>
        <v>0.8738095238</v>
      </c>
      <c r="I78" s="1">
        <f t="shared" si="5"/>
        <v>-53</v>
      </c>
      <c r="J78" s="113">
        <f t="shared" si="6"/>
        <v>0.2256648559</v>
      </c>
      <c r="K78" s="29">
        <f t="shared" si="7"/>
        <v>0.8738095238</v>
      </c>
      <c r="L78" s="65">
        <f t="shared" si="8"/>
        <v>362.7725</v>
      </c>
      <c r="M78" s="25">
        <f t="shared" si="9"/>
        <v>0.01151907357</v>
      </c>
      <c r="N78" s="65">
        <f t="shared" si="10"/>
        <v>415.2125</v>
      </c>
      <c r="O78" s="25">
        <f t="shared" si="11"/>
        <v>0.01139880952</v>
      </c>
      <c r="P78" s="25">
        <f t="shared" si="12"/>
        <v>0.0001202640457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IFERROR(__xludf.DUMMYFUNCTION("""COMPUTED_VALUE"""),46244.64583333333)</f>
        <v>46244.64583</v>
      </c>
      <c r="C79" s="1">
        <f>IFERROR(__xludf.DUMMYFUNCTION("""COMPUTED_VALUE"""),343.75)</f>
        <v>343.75</v>
      </c>
      <c r="D79" s="1"/>
      <c r="E79" s="112">
        <f>IFERROR(__xludf.DUMMYFUNCTION("""COMPUTED_VALUE"""),46244.64583333333)</f>
        <v>46244.64583</v>
      </c>
      <c r="F79" s="1">
        <f>IFERROR(__xludf.DUMMYFUNCTION("""COMPUTED_VALUE"""),385.15)</f>
        <v>385.15</v>
      </c>
      <c r="G79" s="1"/>
      <c r="H79" s="29">
        <f t="shared" si="4"/>
        <v>0.8925094119</v>
      </c>
      <c r="I79" s="1">
        <f t="shared" si="5"/>
        <v>-41.4</v>
      </c>
      <c r="J79" s="113">
        <f t="shared" si="6"/>
        <v>0.7020135189</v>
      </c>
      <c r="K79" s="29">
        <f t="shared" si="7"/>
        <v>0.8925094119</v>
      </c>
      <c r="L79" s="65">
        <f t="shared" si="8"/>
        <v>362.4075</v>
      </c>
      <c r="M79" s="25">
        <f t="shared" si="9"/>
        <v>-0.05427636364</v>
      </c>
      <c r="N79" s="65">
        <f t="shared" si="10"/>
        <v>414.215</v>
      </c>
      <c r="O79" s="25">
        <f t="shared" si="11"/>
        <v>-0.07546410489</v>
      </c>
      <c r="P79" s="25">
        <f t="shared" si="12"/>
        <v>0.02118774126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IFERROR(__xludf.DUMMYFUNCTION("""COMPUTED_VALUE"""),46245.64583333333)</f>
        <v>46245.64583</v>
      </c>
      <c r="C80" s="1">
        <f>IFERROR(__xludf.DUMMYFUNCTION("""COMPUTED_VALUE"""),344.7)</f>
        <v>344.7</v>
      </c>
      <c r="D80" s="1"/>
      <c r="E80" s="112">
        <f>IFERROR(__xludf.DUMMYFUNCTION("""COMPUTED_VALUE"""),46245.64583333333)</f>
        <v>46245.64583</v>
      </c>
      <c r="F80" s="1">
        <f>IFERROR(__xludf.DUMMYFUNCTION("""COMPUTED_VALUE"""),381.0)</f>
        <v>381</v>
      </c>
      <c r="G80" s="1"/>
      <c r="H80" s="29">
        <f t="shared" si="4"/>
        <v>0.9047244094</v>
      </c>
      <c r="I80" s="1">
        <f t="shared" si="5"/>
        <v>-36.3</v>
      </c>
      <c r="J80" s="113">
        <f t="shared" si="6"/>
        <v>0.9114426725</v>
      </c>
      <c r="K80" s="29">
        <f t="shared" si="7"/>
        <v>0.9047244094</v>
      </c>
      <c r="L80" s="65">
        <f t="shared" si="8"/>
        <v>362.02</v>
      </c>
      <c r="M80" s="25">
        <f t="shared" si="9"/>
        <v>-0.05024659124</v>
      </c>
      <c r="N80" s="65">
        <f t="shared" si="10"/>
        <v>412.8075</v>
      </c>
      <c r="O80" s="25">
        <f t="shared" si="11"/>
        <v>-0.08348425197</v>
      </c>
      <c r="P80" s="25">
        <f t="shared" si="12"/>
        <v>0.03323766073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IFERROR(__xludf.DUMMYFUNCTION("""COMPUTED_VALUE"""),46246.64583333333)</f>
        <v>46246.64583</v>
      </c>
      <c r="C81" s="1">
        <f>IFERROR(__xludf.DUMMYFUNCTION("""COMPUTED_VALUE"""),346.0)</f>
        <v>346</v>
      </c>
      <c r="D81" s="1"/>
      <c r="E81" s="112">
        <f>IFERROR(__xludf.DUMMYFUNCTION("""COMPUTED_VALUE"""),46246.64583333333)</f>
        <v>46246.64583</v>
      </c>
      <c r="F81" s="1">
        <f>IFERROR(__xludf.DUMMYFUNCTION("""COMPUTED_VALUE"""),376.5)</f>
        <v>376.5</v>
      </c>
      <c r="G81" s="1"/>
      <c r="H81" s="29">
        <f t="shared" si="4"/>
        <v>0.9189907039</v>
      </c>
      <c r="I81" s="1">
        <f t="shared" si="5"/>
        <v>-30.5</v>
      </c>
      <c r="J81" s="113">
        <f t="shared" si="6"/>
        <v>1.149617004</v>
      </c>
      <c r="K81" s="29">
        <f t="shared" si="7"/>
        <v>0.9189907039</v>
      </c>
      <c r="L81" s="65">
        <f t="shared" si="8"/>
        <v>361.735</v>
      </c>
      <c r="M81" s="25">
        <f t="shared" si="9"/>
        <v>-0.04547687861</v>
      </c>
      <c r="N81" s="65">
        <f t="shared" si="10"/>
        <v>411.35</v>
      </c>
      <c r="O81" s="25">
        <f t="shared" si="11"/>
        <v>-0.09256308101</v>
      </c>
      <c r="P81" s="25">
        <f t="shared" si="12"/>
        <v>0.0470862024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IFERROR(__xludf.DUMMYFUNCTION("""COMPUTED_VALUE"""),46247.64583333333)</f>
        <v>46247.64583</v>
      </c>
      <c r="C82" s="1">
        <f>IFERROR(__xludf.DUMMYFUNCTION("""COMPUTED_VALUE"""),346.5)</f>
        <v>346.5</v>
      </c>
      <c r="D82" s="1"/>
      <c r="E82" s="112">
        <f>IFERROR(__xludf.DUMMYFUNCTION("""COMPUTED_VALUE"""),46247.64583333333)</f>
        <v>46247.64583</v>
      </c>
      <c r="F82" s="1">
        <f>IFERROR(__xludf.DUMMYFUNCTION("""COMPUTED_VALUE"""),378.95)</f>
        <v>378.95</v>
      </c>
      <c r="G82" s="1"/>
      <c r="H82" s="29">
        <f t="shared" si="4"/>
        <v>0.9143686502</v>
      </c>
      <c r="I82" s="1">
        <f t="shared" si="5"/>
        <v>-32.45</v>
      </c>
      <c r="J82" s="113">
        <f t="shared" si="6"/>
        <v>1.069541151</v>
      </c>
      <c r="K82" s="29">
        <f t="shared" si="7"/>
        <v>0.9143686502</v>
      </c>
      <c r="L82" s="65">
        <f t="shared" si="8"/>
        <v>361.58</v>
      </c>
      <c r="M82" s="25">
        <f t="shared" si="9"/>
        <v>-0.04352092352</v>
      </c>
      <c r="N82" s="65">
        <f t="shared" si="10"/>
        <v>410.23</v>
      </c>
      <c r="O82" s="25">
        <f t="shared" si="11"/>
        <v>-0.08254387122</v>
      </c>
      <c r="P82" s="25">
        <f t="shared" si="12"/>
        <v>0.0390229477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IFERROR(__xludf.DUMMYFUNCTION("""COMPUTED_VALUE"""),46248.64583333333)</f>
        <v>46248.64583</v>
      </c>
      <c r="C83" s="1">
        <f>IFERROR(__xludf.DUMMYFUNCTION("""COMPUTED_VALUE"""),335.0)</f>
        <v>335</v>
      </c>
      <c r="D83" s="1"/>
      <c r="E83" s="112">
        <f>IFERROR(__xludf.DUMMYFUNCTION("""COMPUTED_VALUE"""),46248.64583333333)</f>
        <v>46248.64583</v>
      </c>
      <c r="F83" s="1">
        <f>IFERROR(__xludf.DUMMYFUNCTION("""COMPUTED_VALUE"""),376.0)</f>
        <v>376</v>
      </c>
      <c r="G83" s="1"/>
      <c r="H83" s="29">
        <f t="shared" si="4"/>
        <v>0.8909574468</v>
      </c>
      <c r="I83" s="1">
        <f t="shared" si="5"/>
        <v>-41</v>
      </c>
      <c r="J83" s="113">
        <f t="shared" si="6"/>
        <v>0.7184393349</v>
      </c>
      <c r="K83" s="29">
        <f t="shared" si="7"/>
        <v>0.8909574468</v>
      </c>
      <c r="L83" s="65">
        <f t="shared" si="8"/>
        <v>360.575</v>
      </c>
      <c r="M83" s="25">
        <f t="shared" si="9"/>
        <v>-0.07634328358</v>
      </c>
      <c r="N83" s="65">
        <f t="shared" si="10"/>
        <v>408.7875</v>
      </c>
      <c r="O83" s="25">
        <f t="shared" si="11"/>
        <v>-0.08720079787</v>
      </c>
      <c r="P83" s="25">
        <f t="shared" si="12"/>
        <v>0.01085751429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IFERROR(__xludf.DUMMYFUNCTION("""COMPUTED_VALUE"""),46251.64583333333)</f>
        <v>46251.64583</v>
      </c>
      <c r="C84" s="1">
        <f>IFERROR(__xludf.DUMMYFUNCTION("""COMPUTED_VALUE"""),340.0)</f>
        <v>340</v>
      </c>
      <c r="D84" s="1"/>
      <c r="E84" s="112">
        <f>IFERROR(__xludf.DUMMYFUNCTION("""COMPUTED_VALUE"""),46251.64583333333)</f>
        <v>46251.64583</v>
      </c>
      <c r="F84" s="1">
        <f>IFERROR(__xludf.DUMMYFUNCTION("""COMPUTED_VALUE"""),374.4)</f>
        <v>374.4</v>
      </c>
      <c r="G84" s="1"/>
      <c r="H84" s="29">
        <f t="shared" si="4"/>
        <v>0.9081196581</v>
      </c>
      <c r="I84" s="1">
        <f t="shared" si="5"/>
        <v>-34.4</v>
      </c>
      <c r="J84" s="113">
        <f t="shared" si="6"/>
        <v>0.9894652983</v>
      </c>
      <c r="K84" s="29">
        <f t="shared" si="7"/>
        <v>0.9081196581</v>
      </c>
      <c r="L84" s="65">
        <f t="shared" si="8"/>
        <v>359.4</v>
      </c>
      <c r="M84" s="25">
        <f t="shared" si="9"/>
        <v>-0.05705882353</v>
      </c>
      <c r="N84" s="65">
        <f t="shared" si="10"/>
        <v>406.815</v>
      </c>
      <c r="O84" s="25">
        <f t="shared" si="11"/>
        <v>-0.08657852564</v>
      </c>
      <c r="P84" s="25">
        <f t="shared" si="12"/>
        <v>0.02951970211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IFERROR(__xludf.DUMMYFUNCTION("""COMPUTED_VALUE"""),46252.64583333333)</f>
        <v>46252.64583</v>
      </c>
      <c r="C85" s="1">
        <f>IFERROR(__xludf.DUMMYFUNCTION("""COMPUTED_VALUE"""),338.5)</f>
        <v>338.5</v>
      </c>
      <c r="D85" s="1"/>
      <c r="E85" s="112">
        <f>IFERROR(__xludf.DUMMYFUNCTION("""COMPUTED_VALUE"""),46252.64583333333)</f>
        <v>46252.64583</v>
      </c>
      <c r="F85" s="1">
        <f>IFERROR(__xludf.DUMMYFUNCTION("""COMPUTED_VALUE"""),374.45)</f>
        <v>374.45</v>
      </c>
      <c r="G85" s="1"/>
      <c r="H85" s="29">
        <f t="shared" si="4"/>
        <v>0.9039925224</v>
      </c>
      <c r="I85" s="1">
        <f t="shared" si="5"/>
        <v>-35.95</v>
      </c>
      <c r="J85" s="113">
        <f t="shared" si="6"/>
        <v>0.9258152615</v>
      </c>
      <c r="K85" s="29">
        <f t="shared" si="7"/>
        <v>0.9039925224</v>
      </c>
      <c r="L85" s="65">
        <f t="shared" si="8"/>
        <v>358.2225</v>
      </c>
      <c r="M85" s="25">
        <f t="shared" si="9"/>
        <v>-0.05826440177</v>
      </c>
      <c r="N85" s="65">
        <f t="shared" si="10"/>
        <v>404.795</v>
      </c>
      <c r="O85" s="25">
        <f t="shared" si="11"/>
        <v>-0.08103885699</v>
      </c>
      <c r="P85" s="25">
        <f t="shared" si="12"/>
        <v>0.02277445522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IFERROR(__xludf.DUMMYFUNCTION("""COMPUTED_VALUE"""),46253.64583333333)</f>
        <v>46253.64583</v>
      </c>
      <c r="C86" s="1">
        <f>IFERROR(__xludf.DUMMYFUNCTION("""COMPUTED_VALUE"""),337.0)</f>
        <v>337</v>
      </c>
      <c r="D86" s="1"/>
      <c r="E86" s="112">
        <f>IFERROR(__xludf.DUMMYFUNCTION("""COMPUTED_VALUE"""),46253.64583333333)</f>
        <v>46253.64583</v>
      </c>
      <c r="F86" s="1">
        <f>IFERROR(__xludf.DUMMYFUNCTION("""COMPUTED_VALUE"""),374.45)</f>
        <v>374.45</v>
      </c>
      <c r="G86" s="1"/>
      <c r="H86" s="29">
        <f t="shared" si="4"/>
        <v>0.8999866471</v>
      </c>
      <c r="I86" s="1">
        <f t="shared" si="5"/>
        <v>-37.45</v>
      </c>
      <c r="J86" s="113">
        <f t="shared" si="6"/>
        <v>0.8642184516</v>
      </c>
      <c r="K86" s="29">
        <f t="shared" si="7"/>
        <v>0.8999866471</v>
      </c>
      <c r="L86" s="65">
        <f t="shared" si="8"/>
        <v>357.04</v>
      </c>
      <c r="M86" s="25">
        <f t="shared" si="9"/>
        <v>-0.05946587537</v>
      </c>
      <c r="N86" s="65">
        <f t="shared" si="10"/>
        <v>402.9025</v>
      </c>
      <c r="O86" s="25">
        <f t="shared" si="11"/>
        <v>-0.07598477767</v>
      </c>
      <c r="P86" s="25">
        <f t="shared" si="12"/>
        <v>0.0165189023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IFERROR(__xludf.DUMMYFUNCTION("""COMPUTED_VALUE"""),46254.64583333333)</f>
        <v>46254.64583</v>
      </c>
      <c r="C87" s="1">
        <f>IFERROR(__xludf.DUMMYFUNCTION("""COMPUTED_VALUE"""),328.1)</f>
        <v>328.1</v>
      </c>
      <c r="D87" s="1"/>
      <c r="E87" s="112">
        <f>IFERROR(__xludf.DUMMYFUNCTION("""COMPUTED_VALUE"""),46254.64583333333)</f>
        <v>46254.64583</v>
      </c>
      <c r="F87" s="1">
        <f>IFERROR(__xludf.DUMMYFUNCTION("""COMPUTED_VALUE"""),363.8)</f>
        <v>363.8</v>
      </c>
      <c r="G87" s="1"/>
      <c r="H87" s="29">
        <f t="shared" si="4"/>
        <v>0.9018691589</v>
      </c>
      <c r="I87" s="1">
        <f t="shared" si="5"/>
        <v>-35.7</v>
      </c>
      <c r="J87" s="113">
        <f t="shared" si="6"/>
        <v>0.9360813964</v>
      </c>
      <c r="K87" s="29">
        <f t="shared" si="7"/>
        <v>0.9018691589</v>
      </c>
      <c r="L87" s="65">
        <f t="shared" si="8"/>
        <v>355.5225</v>
      </c>
      <c r="M87" s="25">
        <f t="shared" si="9"/>
        <v>-0.08357970131</v>
      </c>
      <c r="N87" s="65">
        <f t="shared" si="10"/>
        <v>400.59</v>
      </c>
      <c r="O87" s="25">
        <f t="shared" si="11"/>
        <v>-0.1011269929</v>
      </c>
      <c r="P87" s="25">
        <f t="shared" si="12"/>
        <v>0.01754729154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IFERROR(__xludf.DUMMYFUNCTION("""COMPUTED_VALUE"""),46255.64583333333)</f>
        <v>46255.64583</v>
      </c>
      <c r="C88" s="1">
        <f>IFERROR(__xludf.DUMMYFUNCTION("""COMPUTED_VALUE"""),326.65)</f>
        <v>326.65</v>
      </c>
      <c r="D88" s="1"/>
      <c r="E88" s="112">
        <f>IFERROR(__xludf.DUMMYFUNCTION("""COMPUTED_VALUE"""),46255.64583333333)</f>
        <v>46255.64583</v>
      </c>
      <c r="F88" s="1">
        <f>IFERROR(__xludf.DUMMYFUNCTION("""COMPUTED_VALUE"""),363.0)</f>
        <v>363</v>
      </c>
      <c r="G88" s="1"/>
      <c r="H88" s="29">
        <f t="shared" si="4"/>
        <v>0.899862259</v>
      </c>
      <c r="I88" s="1">
        <f t="shared" si="5"/>
        <v>-36.35</v>
      </c>
      <c r="J88" s="113">
        <f t="shared" si="6"/>
        <v>0.9093894455</v>
      </c>
      <c r="K88" s="29">
        <f t="shared" si="7"/>
        <v>0.899862259</v>
      </c>
      <c r="L88" s="65">
        <f t="shared" si="8"/>
        <v>353.775</v>
      </c>
      <c r="M88" s="25">
        <f t="shared" si="9"/>
        <v>-0.08303995102</v>
      </c>
      <c r="N88" s="65">
        <f t="shared" si="10"/>
        <v>398.145</v>
      </c>
      <c r="O88" s="25">
        <f t="shared" si="11"/>
        <v>-0.09681818182</v>
      </c>
      <c r="P88" s="25">
        <f t="shared" si="12"/>
        <v>0.0137782308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IFERROR(__xludf.DUMMYFUNCTION("""COMPUTED_VALUE"""),46258.64583333333)</f>
        <v>46258.64583</v>
      </c>
      <c r="C89" s="1">
        <f>IFERROR(__xludf.DUMMYFUNCTION("""COMPUTED_VALUE"""),327.9)</f>
        <v>327.9</v>
      </c>
      <c r="D89" s="1"/>
      <c r="E89" s="112">
        <f>IFERROR(__xludf.DUMMYFUNCTION("""COMPUTED_VALUE"""),46258.64583333333)</f>
        <v>46258.64583</v>
      </c>
      <c r="F89" s="1">
        <f>IFERROR(__xludf.DUMMYFUNCTION("""COMPUTED_VALUE"""),364.0)</f>
        <v>364</v>
      </c>
      <c r="G89" s="1"/>
      <c r="H89" s="29">
        <f t="shared" si="4"/>
        <v>0.9008241758</v>
      </c>
      <c r="I89" s="1">
        <f t="shared" si="5"/>
        <v>-36.1</v>
      </c>
      <c r="J89" s="113">
        <f t="shared" si="6"/>
        <v>0.9196555805</v>
      </c>
      <c r="K89" s="29">
        <f t="shared" si="7"/>
        <v>0.9008241758</v>
      </c>
      <c r="L89" s="65">
        <f t="shared" si="8"/>
        <v>351.7625</v>
      </c>
      <c r="M89" s="25">
        <f t="shared" si="9"/>
        <v>-0.0727737115</v>
      </c>
      <c r="N89" s="65">
        <f t="shared" si="10"/>
        <v>395.34</v>
      </c>
      <c r="O89" s="25">
        <f t="shared" si="11"/>
        <v>-0.0860989011</v>
      </c>
      <c r="P89" s="25">
        <f t="shared" si="12"/>
        <v>0.0133251896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IFERROR(__xludf.DUMMYFUNCTION("""COMPUTED_VALUE"""),46259.64583333333)</f>
        <v>46259.64583</v>
      </c>
      <c r="C90" s="1">
        <f>IFERROR(__xludf.DUMMYFUNCTION("""COMPUTED_VALUE"""),326.0)</f>
        <v>326</v>
      </c>
      <c r="D90" s="25"/>
      <c r="E90" s="112">
        <f>IFERROR(__xludf.DUMMYFUNCTION("""COMPUTED_VALUE"""),46259.64583333333)</f>
        <v>46259.64583</v>
      </c>
      <c r="F90" s="1">
        <f>IFERROR(__xludf.DUMMYFUNCTION("""COMPUTED_VALUE"""),367.0)</f>
        <v>367</v>
      </c>
      <c r="G90" s="1"/>
      <c r="H90" s="29">
        <f t="shared" si="4"/>
        <v>0.8882833787</v>
      </c>
      <c r="I90" s="1">
        <f t="shared" si="5"/>
        <v>-41</v>
      </c>
      <c r="J90" s="113">
        <f t="shared" si="6"/>
        <v>0.7184393349</v>
      </c>
      <c r="K90" s="29">
        <f t="shared" si="7"/>
        <v>0.8882833787</v>
      </c>
      <c r="L90" s="65">
        <f t="shared" si="8"/>
        <v>349.64</v>
      </c>
      <c r="M90" s="25">
        <f t="shared" si="9"/>
        <v>-0.07251533742</v>
      </c>
      <c r="N90" s="65">
        <f t="shared" si="10"/>
        <v>392.695</v>
      </c>
      <c r="O90" s="25">
        <f t="shared" si="11"/>
        <v>-0.07001362398</v>
      </c>
      <c r="P90" s="25">
        <f t="shared" si="12"/>
        <v>-0.002501713445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IFERROR(__xludf.DUMMYFUNCTION("""COMPUTED_VALUE"""),46260.64583333333)</f>
        <v>46260.64583</v>
      </c>
      <c r="C91" s="1">
        <f>IFERROR(__xludf.DUMMYFUNCTION("""COMPUTED_VALUE"""),322.2)</f>
        <v>322.2</v>
      </c>
      <c r="D91" s="1"/>
      <c r="E91" s="112">
        <f>IFERROR(__xludf.DUMMYFUNCTION("""COMPUTED_VALUE"""),46260.64583333333)</f>
        <v>46260.64583</v>
      </c>
      <c r="F91" s="1">
        <f>IFERROR(__xludf.DUMMYFUNCTION("""COMPUTED_VALUE"""),364.1)</f>
        <v>364.1</v>
      </c>
      <c r="G91" s="1"/>
      <c r="H91" s="29">
        <f t="shared" si="4"/>
        <v>0.8849217248</v>
      </c>
      <c r="I91" s="1">
        <f t="shared" si="5"/>
        <v>-41.9</v>
      </c>
      <c r="J91" s="113">
        <f t="shared" si="6"/>
        <v>0.681481249</v>
      </c>
      <c r="K91" s="29">
        <f t="shared" si="7"/>
        <v>0.8849217248</v>
      </c>
      <c r="L91" s="65">
        <f t="shared" si="8"/>
        <v>347.0375</v>
      </c>
      <c r="M91" s="25">
        <f t="shared" si="9"/>
        <v>-0.07708721291</v>
      </c>
      <c r="N91" s="65">
        <f t="shared" si="10"/>
        <v>389.545</v>
      </c>
      <c r="O91" s="25">
        <f t="shared" si="11"/>
        <v>-0.06988464707</v>
      </c>
      <c r="P91" s="25">
        <f t="shared" si="12"/>
        <v>-0.007202565836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IFERROR(__xludf.DUMMYFUNCTION("""COMPUTED_VALUE"""),46261.64583333333)</f>
        <v>46261.64583</v>
      </c>
      <c r="C92" s="1">
        <f>IFERROR(__xludf.DUMMYFUNCTION("""COMPUTED_VALUE"""),320.9)</f>
        <v>320.9</v>
      </c>
      <c r="D92" s="1"/>
      <c r="E92" s="112">
        <f>IFERROR(__xludf.DUMMYFUNCTION("""COMPUTED_VALUE"""),46261.64583333333)</f>
        <v>46261.64583</v>
      </c>
      <c r="F92" s="1">
        <f>IFERROR(__xludf.DUMMYFUNCTION("""COMPUTED_VALUE"""),355.85)</f>
        <v>355.85</v>
      </c>
      <c r="G92" s="1"/>
      <c r="H92" s="29">
        <f t="shared" si="4"/>
        <v>0.9017844597</v>
      </c>
      <c r="I92" s="1">
        <f t="shared" si="5"/>
        <v>-34.95</v>
      </c>
      <c r="J92" s="113">
        <f t="shared" si="6"/>
        <v>0.9668798014</v>
      </c>
      <c r="K92" s="29">
        <f t="shared" si="7"/>
        <v>0.9017844597</v>
      </c>
      <c r="L92" s="65">
        <f t="shared" si="8"/>
        <v>344.3375</v>
      </c>
      <c r="M92" s="25">
        <f t="shared" si="9"/>
        <v>-0.07303677158</v>
      </c>
      <c r="N92" s="65">
        <f t="shared" si="10"/>
        <v>386.025</v>
      </c>
      <c r="O92" s="25">
        <f t="shared" si="11"/>
        <v>-0.08479696501</v>
      </c>
      <c r="P92" s="25">
        <f t="shared" si="12"/>
        <v>0.01176019343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IFERROR(__xludf.DUMMYFUNCTION("""COMPUTED_VALUE"""),46262.64583333333)</f>
        <v>46262.64583</v>
      </c>
      <c r="C93" s="1">
        <f>IFERROR(__xludf.DUMMYFUNCTION("""COMPUTED_VALUE"""),316.8)</f>
        <v>316.8</v>
      </c>
      <c r="D93" s="1"/>
      <c r="E93" s="112">
        <f>IFERROR(__xludf.DUMMYFUNCTION("""COMPUTED_VALUE"""),46262.64583333333)</f>
        <v>46262.64583</v>
      </c>
      <c r="F93" s="1">
        <f>IFERROR(__xludf.DUMMYFUNCTION("""COMPUTED_VALUE"""),352.0)</f>
        <v>352</v>
      </c>
      <c r="G93" s="1"/>
      <c r="H93" s="29">
        <f t="shared" si="4"/>
        <v>0.9</v>
      </c>
      <c r="I93" s="1">
        <f t="shared" si="5"/>
        <v>-35.2</v>
      </c>
      <c r="J93" s="113">
        <f t="shared" si="6"/>
        <v>0.9566136664</v>
      </c>
      <c r="K93" s="29">
        <f t="shared" si="7"/>
        <v>0.9</v>
      </c>
      <c r="L93" s="65">
        <f t="shared" si="8"/>
        <v>341.53</v>
      </c>
      <c r="M93" s="25">
        <f t="shared" si="9"/>
        <v>-0.07806186869</v>
      </c>
      <c r="N93" s="65">
        <f t="shared" si="10"/>
        <v>382.4075</v>
      </c>
      <c r="O93" s="25">
        <f t="shared" si="11"/>
        <v>-0.08638494318</v>
      </c>
      <c r="P93" s="25">
        <f t="shared" si="12"/>
        <v>0.008323074495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IFERROR(__xludf.DUMMYFUNCTION("""COMPUTED_VALUE"""),46265.64583333333)</f>
        <v>46265.64583</v>
      </c>
      <c r="C94" s="1">
        <f>IFERROR(__xludf.DUMMYFUNCTION("""COMPUTED_VALUE"""),323.3)</f>
        <v>323.3</v>
      </c>
      <c r="D94" s="1"/>
      <c r="E94" s="112">
        <f>IFERROR(__xludf.DUMMYFUNCTION("""COMPUTED_VALUE"""),46265.64583333333)</f>
        <v>46265.64583</v>
      </c>
      <c r="F94" s="1">
        <f>IFERROR(__xludf.DUMMYFUNCTION("""COMPUTED_VALUE"""),336.3)</f>
        <v>336.3</v>
      </c>
      <c r="G94" s="1"/>
      <c r="H94" s="29">
        <f t="shared" si="4"/>
        <v>0.9613440381</v>
      </c>
      <c r="I94" s="1">
        <f t="shared" si="5"/>
        <v>-13</v>
      </c>
      <c r="J94" s="113">
        <f t="shared" si="6"/>
        <v>1.868246452</v>
      </c>
      <c r="K94" s="29">
        <f t="shared" si="7"/>
        <v>0.9613440381</v>
      </c>
      <c r="L94" s="65">
        <f t="shared" si="8"/>
        <v>339.29</v>
      </c>
      <c r="M94" s="25">
        <f t="shared" si="9"/>
        <v>-0.04945870708</v>
      </c>
      <c r="N94" s="65">
        <f t="shared" si="10"/>
        <v>378.1475</v>
      </c>
      <c r="O94" s="25">
        <f t="shared" si="11"/>
        <v>-0.1244350282</v>
      </c>
      <c r="P94" s="25">
        <f t="shared" si="12"/>
        <v>0.07497632117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IFERROR(__xludf.DUMMYFUNCTION("""COMPUTED_VALUE"""),46266.64583333333)</f>
        <v>46266.64583</v>
      </c>
      <c r="C95" s="1">
        <f>IFERROR(__xludf.DUMMYFUNCTION("""COMPUTED_VALUE"""),314.05)</f>
        <v>314.05</v>
      </c>
      <c r="D95" s="1"/>
      <c r="E95" s="112">
        <f>IFERROR(__xludf.DUMMYFUNCTION("""COMPUTED_VALUE"""),46266.64583333333)</f>
        <v>46266.64583</v>
      </c>
      <c r="F95" s="1">
        <f>IFERROR(__xludf.DUMMYFUNCTION("""COMPUTED_VALUE"""),345.8)</f>
        <v>345.8</v>
      </c>
      <c r="G95" s="1"/>
      <c r="H95" s="29">
        <f t="shared" si="4"/>
        <v>0.9081839213</v>
      </c>
      <c r="I95" s="1">
        <f t="shared" si="5"/>
        <v>-31.75</v>
      </c>
      <c r="J95" s="113">
        <f t="shared" si="6"/>
        <v>1.098286329</v>
      </c>
      <c r="K95" s="29">
        <f t="shared" si="7"/>
        <v>0.9081839213</v>
      </c>
      <c r="L95" s="65">
        <f t="shared" si="8"/>
        <v>336.5925</v>
      </c>
      <c r="M95" s="25">
        <f t="shared" si="9"/>
        <v>-0.07177997134</v>
      </c>
      <c r="N95" s="65">
        <f t="shared" si="10"/>
        <v>374.4375</v>
      </c>
      <c r="O95" s="25">
        <f t="shared" si="11"/>
        <v>-0.0828152111</v>
      </c>
      <c r="P95" s="25">
        <f t="shared" si="12"/>
        <v>0.01103523976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IFERROR(__xludf.DUMMYFUNCTION("""COMPUTED_VALUE"""),46267.64583333333)</f>
        <v>46267.64583</v>
      </c>
      <c r="C96" s="1">
        <f>IFERROR(__xludf.DUMMYFUNCTION("""COMPUTED_VALUE"""),316.45)</f>
        <v>316.45</v>
      </c>
      <c r="D96" s="1"/>
      <c r="E96" s="112">
        <f>IFERROR(__xludf.DUMMYFUNCTION("""COMPUTED_VALUE"""),46267.64583333333)</f>
        <v>46267.64583</v>
      </c>
      <c r="F96" s="1">
        <f>IFERROR(__xludf.DUMMYFUNCTION("""COMPUTED_VALUE"""),346.5)</f>
        <v>346.5</v>
      </c>
      <c r="G96" s="1"/>
      <c r="H96" s="29">
        <f t="shared" si="4"/>
        <v>0.9132756133</v>
      </c>
      <c r="I96" s="1">
        <f t="shared" si="5"/>
        <v>-30.05</v>
      </c>
      <c r="J96" s="113">
        <f t="shared" si="6"/>
        <v>1.168096047</v>
      </c>
      <c r="K96" s="29">
        <f t="shared" si="7"/>
        <v>0.9132756133</v>
      </c>
      <c r="L96" s="65">
        <f t="shared" si="8"/>
        <v>334.115</v>
      </c>
      <c r="M96" s="25">
        <f t="shared" si="9"/>
        <v>-0.0558224048</v>
      </c>
      <c r="N96" s="65">
        <f t="shared" si="10"/>
        <v>370.8625</v>
      </c>
      <c r="O96" s="25">
        <f t="shared" si="11"/>
        <v>-0.07031024531</v>
      </c>
      <c r="P96" s="25">
        <f t="shared" si="12"/>
        <v>0.01448784051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IFERROR(__xludf.DUMMYFUNCTION("""COMPUTED_VALUE"""),46268.64583333333)</f>
        <v>46268.64583</v>
      </c>
      <c r="C97" s="1">
        <f>IFERROR(__xludf.DUMMYFUNCTION("""COMPUTED_VALUE"""),313.6)</f>
        <v>313.6</v>
      </c>
      <c r="D97" s="1"/>
      <c r="E97" s="112">
        <f>IFERROR(__xludf.DUMMYFUNCTION("""COMPUTED_VALUE"""),46268.64583333333)</f>
        <v>46268.64583</v>
      </c>
      <c r="F97" s="1">
        <f>IFERROR(__xludf.DUMMYFUNCTION("""COMPUTED_VALUE"""),345.5)</f>
        <v>345.5</v>
      </c>
      <c r="G97" s="1"/>
      <c r="H97" s="29">
        <f t="shared" si="4"/>
        <v>0.9076700434</v>
      </c>
      <c r="I97" s="1">
        <f t="shared" si="5"/>
        <v>-31.9</v>
      </c>
      <c r="J97" s="113">
        <f t="shared" si="6"/>
        <v>1.092126648</v>
      </c>
      <c r="K97" s="29">
        <f t="shared" si="7"/>
        <v>0.9076700434</v>
      </c>
      <c r="L97" s="65">
        <f t="shared" si="8"/>
        <v>331.72</v>
      </c>
      <c r="M97" s="25">
        <f t="shared" si="9"/>
        <v>-0.05778061224</v>
      </c>
      <c r="N97" s="65">
        <f t="shared" si="10"/>
        <v>367.2375</v>
      </c>
      <c r="O97" s="25">
        <f t="shared" si="11"/>
        <v>-0.06291606368</v>
      </c>
      <c r="P97" s="25">
        <f t="shared" si="12"/>
        <v>0.005135451431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IFERROR(__xludf.DUMMYFUNCTION("""COMPUTED_VALUE"""),46269.64583333333)</f>
        <v>46269.64583</v>
      </c>
      <c r="C98" s="1">
        <f>IFERROR(__xludf.DUMMYFUNCTION("""COMPUTED_VALUE"""),318.7)</f>
        <v>318.7</v>
      </c>
      <c r="D98" s="1"/>
      <c r="E98" s="112">
        <f>IFERROR(__xludf.DUMMYFUNCTION("""COMPUTED_VALUE"""),46269.64583333333)</f>
        <v>46269.64583</v>
      </c>
      <c r="F98" s="1">
        <f>IFERROR(__xludf.DUMMYFUNCTION("""COMPUTED_VALUE"""),355.6)</f>
        <v>355.6</v>
      </c>
      <c r="G98" s="1"/>
      <c r="H98" s="29">
        <f t="shared" si="4"/>
        <v>0.896231721</v>
      </c>
      <c r="I98" s="1">
        <f t="shared" si="5"/>
        <v>-36.9</v>
      </c>
      <c r="J98" s="113">
        <f t="shared" si="6"/>
        <v>0.8868039485</v>
      </c>
      <c r="K98" s="29">
        <f t="shared" si="7"/>
        <v>0.896231721</v>
      </c>
      <c r="L98" s="65">
        <f t="shared" si="8"/>
        <v>329.305</v>
      </c>
      <c r="M98" s="25">
        <f t="shared" si="9"/>
        <v>-0.03327580797</v>
      </c>
      <c r="N98" s="65">
        <f t="shared" si="10"/>
        <v>364.0175</v>
      </c>
      <c r="O98" s="25">
        <f t="shared" si="11"/>
        <v>-0.02367125984</v>
      </c>
      <c r="P98" s="25">
        <f t="shared" si="12"/>
        <v>-0.009604548127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IFERROR(__xludf.DUMMYFUNCTION("""COMPUTED_VALUE"""),46272.64583333333)</f>
        <v>46272.64583</v>
      </c>
      <c r="C99" s="1">
        <f>IFERROR(__xludf.DUMMYFUNCTION("""COMPUTED_VALUE"""),316.4)</f>
        <v>316.4</v>
      </c>
      <c r="D99" s="1"/>
      <c r="E99" s="112">
        <f>IFERROR(__xludf.DUMMYFUNCTION("""COMPUTED_VALUE"""),46272.64583333333)</f>
        <v>46272.64583</v>
      </c>
      <c r="F99" s="1">
        <f>IFERROR(__xludf.DUMMYFUNCTION("""COMPUTED_VALUE"""),353.1)</f>
        <v>353.1</v>
      </c>
      <c r="G99" s="1"/>
      <c r="H99" s="29">
        <f t="shared" si="4"/>
        <v>0.8960634381</v>
      </c>
      <c r="I99" s="1">
        <f t="shared" si="5"/>
        <v>-36.7</v>
      </c>
      <c r="J99" s="113">
        <f t="shared" si="6"/>
        <v>0.8950168565</v>
      </c>
      <c r="K99" s="29">
        <f t="shared" si="7"/>
        <v>0.8960634381</v>
      </c>
      <c r="L99" s="65">
        <f t="shared" si="8"/>
        <v>327.9375</v>
      </c>
      <c r="M99" s="25">
        <f t="shared" si="9"/>
        <v>-0.03646491783</v>
      </c>
      <c r="N99" s="65">
        <f t="shared" si="10"/>
        <v>362.415</v>
      </c>
      <c r="O99" s="25">
        <f t="shared" si="11"/>
        <v>-0.02638062872</v>
      </c>
      <c r="P99" s="25">
        <f t="shared" si="12"/>
        <v>-0.01008428911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IFERROR(__xludf.DUMMYFUNCTION("""COMPUTED_VALUE"""),46273.64583333333)</f>
        <v>46273.64583</v>
      </c>
      <c r="C100" s="1">
        <f>IFERROR(__xludf.DUMMYFUNCTION("""COMPUTED_VALUE"""),317.85)</f>
        <v>317.85</v>
      </c>
      <c r="D100" s="1"/>
      <c r="E100" s="112">
        <f>IFERROR(__xludf.DUMMYFUNCTION("""COMPUTED_VALUE"""),46273.64583333333)</f>
        <v>46273.64583</v>
      </c>
      <c r="F100" s="1">
        <f>IFERROR(__xludf.DUMMYFUNCTION("""COMPUTED_VALUE"""),355.9)</f>
        <v>355.9</v>
      </c>
      <c r="G100" s="1"/>
      <c r="H100" s="29">
        <f t="shared" si="4"/>
        <v>0.8930879461</v>
      </c>
      <c r="I100" s="1">
        <f t="shared" si="5"/>
        <v>-38.05</v>
      </c>
      <c r="J100" s="113">
        <f t="shared" si="6"/>
        <v>0.8395797276</v>
      </c>
      <c r="K100" s="29">
        <f t="shared" si="7"/>
        <v>0.8930879461</v>
      </c>
      <c r="L100" s="65">
        <f t="shared" si="8"/>
        <v>326.595</v>
      </c>
      <c r="M100" s="25">
        <f t="shared" si="9"/>
        <v>-0.02751297782</v>
      </c>
      <c r="N100" s="65">
        <f t="shared" si="10"/>
        <v>361.16</v>
      </c>
      <c r="O100" s="25">
        <f t="shared" si="11"/>
        <v>-0.01477943242</v>
      </c>
      <c r="P100" s="25">
        <f t="shared" si="12"/>
        <v>-0.01273354539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IFERROR(__xludf.DUMMYFUNCTION("""COMPUTED_VALUE"""),46274.64583333333)</f>
        <v>46274.64583</v>
      </c>
      <c r="C101" s="1">
        <f>IFERROR(__xludf.DUMMYFUNCTION("""COMPUTED_VALUE"""),314.5)</f>
        <v>314.5</v>
      </c>
      <c r="D101" s="1"/>
      <c r="E101" s="112">
        <f>IFERROR(__xludf.DUMMYFUNCTION("""COMPUTED_VALUE"""),46274.64583333333)</f>
        <v>46274.64583</v>
      </c>
      <c r="F101" s="1">
        <f>IFERROR(__xludf.DUMMYFUNCTION("""COMPUTED_VALUE"""),351.4)</f>
        <v>351.4</v>
      </c>
      <c r="G101" s="1"/>
      <c r="H101" s="29">
        <f t="shared" si="4"/>
        <v>0.8949914627</v>
      </c>
      <c r="I101" s="1">
        <f t="shared" si="5"/>
        <v>-36.9</v>
      </c>
      <c r="J101" s="113">
        <f t="shared" si="6"/>
        <v>0.8868039485</v>
      </c>
      <c r="K101" s="29">
        <f t="shared" si="7"/>
        <v>0.8949914627</v>
      </c>
      <c r="L101" s="65">
        <f t="shared" si="8"/>
        <v>325.02</v>
      </c>
      <c r="M101" s="25">
        <f t="shared" si="9"/>
        <v>-0.03344992051</v>
      </c>
      <c r="N101" s="65">
        <f t="shared" si="10"/>
        <v>359.905</v>
      </c>
      <c r="O101" s="25">
        <f t="shared" si="11"/>
        <v>-0.02420318725</v>
      </c>
      <c r="P101" s="25">
        <f t="shared" si="12"/>
        <v>-0.009246733258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IFERROR(__xludf.DUMMYFUNCTION("""COMPUTED_VALUE"""),46275.64583333333)</f>
        <v>46275.64583</v>
      </c>
      <c r="C102" s="1">
        <f>IFERROR(__xludf.DUMMYFUNCTION("""COMPUTED_VALUE"""),313.8)</f>
        <v>313.8</v>
      </c>
      <c r="D102" s="1"/>
      <c r="E102" s="112">
        <f>IFERROR(__xludf.DUMMYFUNCTION("""COMPUTED_VALUE"""),46275.64583333333)</f>
        <v>46275.64583</v>
      </c>
      <c r="F102" s="1">
        <f>IFERROR(__xludf.DUMMYFUNCTION("""COMPUTED_VALUE"""),352.8)</f>
        <v>352.8</v>
      </c>
      <c r="G102" s="1"/>
      <c r="H102" s="29">
        <f t="shared" si="4"/>
        <v>0.8894557823</v>
      </c>
      <c r="I102" s="1">
        <f t="shared" si="5"/>
        <v>-39</v>
      </c>
      <c r="J102" s="113">
        <f t="shared" si="6"/>
        <v>0.8005684147</v>
      </c>
      <c r="K102" s="29">
        <f t="shared" si="7"/>
        <v>0.8894557823</v>
      </c>
      <c r="L102" s="65">
        <f t="shared" si="8"/>
        <v>323.385</v>
      </c>
      <c r="M102" s="25">
        <f t="shared" si="9"/>
        <v>-0.03054493308</v>
      </c>
      <c r="N102" s="65">
        <f t="shared" si="10"/>
        <v>358.5975</v>
      </c>
      <c r="O102" s="25">
        <f t="shared" si="11"/>
        <v>-0.01643282313</v>
      </c>
      <c r="P102" s="25">
        <f t="shared" si="12"/>
        <v>-0.01411210995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IFERROR(__xludf.DUMMYFUNCTION("""COMPUTED_VALUE"""),46276.64583333333)</f>
        <v>46276.64583</v>
      </c>
      <c r="C103" s="1">
        <f>IFERROR(__xludf.DUMMYFUNCTION("""COMPUTED_VALUE"""),312.7)</f>
        <v>312.7</v>
      </c>
      <c r="D103" s="1"/>
      <c r="E103" s="112">
        <f>IFERROR(__xludf.DUMMYFUNCTION("""COMPUTED_VALUE"""),46276.64583333333)</f>
        <v>46276.64583</v>
      </c>
      <c r="F103" s="1">
        <f>IFERROR(__xludf.DUMMYFUNCTION("""COMPUTED_VALUE"""),353.45)</f>
        <v>353.45</v>
      </c>
      <c r="G103" s="1"/>
      <c r="H103" s="29">
        <f t="shared" si="4"/>
        <v>0.8847078795</v>
      </c>
      <c r="I103" s="1">
        <f t="shared" si="5"/>
        <v>-40.75</v>
      </c>
      <c r="J103" s="113">
        <f t="shared" si="6"/>
        <v>0.7287054699</v>
      </c>
      <c r="K103" s="29">
        <f t="shared" si="7"/>
        <v>0.8847078795</v>
      </c>
      <c r="L103" s="65">
        <f t="shared" si="8"/>
        <v>322.27</v>
      </c>
      <c r="M103" s="25">
        <f t="shared" si="9"/>
        <v>-0.03060441318</v>
      </c>
      <c r="N103" s="65">
        <f t="shared" si="10"/>
        <v>357.47</v>
      </c>
      <c r="O103" s="25">
        <f t="shared" si="11"/>
        <v>-0.01137360306</v>
      </c>
      <c r="P103" s="25">
        <f t="shared" si="12"/>
        <v>-0.01923081012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IFERROR(__xludf.DUMMYFUNCTION("""COMPUTED_VALUE"""),46280.64583333333)</f>
        <v>46280.64583</v>
      </c>
      <c r="C104" s="1">
        <f>IFERROR(__xludf.DUMMYFUNCTION("""COMPUTED_VALUE"""),308.5)</f>
        <v>308.5</v>
      </c>
      <c r="D104" s="1"/>
      <c r="E104" s="112">
        <f>IFERROR(__xludf.DUMMYFUNCTION("""COMPUTED_VALUE"""),46280.64583333333)</f>
        <v>46280.64583</v>
      </c>
      <c r="F104" s="1">
        <f>IFERROR(__xludf.DUMMYFUNCTION("""COMPUTED_VALUE"""),344.0)</f>
        <v>344</v>
      </c>
      <c r="G104" s="1"/>
      <c r="H104" s="29">
        <f t="shared" si="4"/>
        <v>0.8968023256</v>
      </c>
      <c r="I104" s="1">
        <f t="shared" si="5"/>
        <v>-35.5</v>
      </c>
      <c r="J104" s="113">
        <f t="shared" si="6"/>
        <v>0.9442943044</v>
      </c>
      <c r="K104" s="29">
        <f t="shared" si="7"/>
        <v>0.8968023256</v>
      </c>
      <c r="L104" s="65">
        <f t="shared" si="8"/>
        <v>320.695</v>
      </c>
      <c r="M104" s="25">
        <f t="shared" si="9"/>
        <v>-0.03952998379</v>
      </c>
      <c r="N104" s="65">
        <f t="shared" si="10"/>
        <v>355.95</v>
      </c>
      <c r="O104" s="25">
        <f t="shared" si="11"/>
        <v>-0.03473837209</v>
      </c>
      <c r="P104" s="25">
        <f t="shared" si="12"/>
        <v>-0.0047916117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IFERROR(__xludf.DUMMYFUNCTION("""COMPUTED_VALUE"""),46281.64583333333)</f>
        <v>46281.64583</v>
      </c>
      <c r="C105" s="1">
        <f>IFERROR(__xludf.DUMMYFUNCTION("""COMPUTED_VALUE"""),312.65)</f>
        <v>312.65</v>
      </c>
      <c r="D105" s="1"/>
      <c r="E105" s="112">
        <f>IFERROR(__xludf.DUMMYFUNCTION("""COMPUTED_VALUE"""),46281.64583333333)</f>
        <v>46281.64583</v>
      </c>
      <c r="F105" s="1">
        <f>IFERROR(__xludf.DUMMYFUNCTION("""COMPUTED_VALUE"""),346.0)</f>
        <v>346</v>
      </c>
      <c r="G105" s="1"/>
      <c r="H105" s="29">
        <f t="shared" si="4"/>
        <v>0.9036127168</v>
      </c>
      <c r="I105" s="1">
        <f t="shared" si="5"/>
        <v>-33.35</v>
      </c>
      <c r="J105" s="113">
        <f t="shared" si="6"/>
        <v>1.032583065</v>
      </c>
      <c r="K105" s="29">
        <f t="shared" si="7"/>
        <v>0.9036127168</v>
      </c>
      <c r="L105" s="65">
        <f t="shared" si="8"/>
        <v>319.4025</v>
      </c>
      <c r="M105" s="25">
        <f t="shared" si="9"/>
        <v>-0.02159763314</v>
      </c>
      <c r="N105" s="65">
        <f t="shared" si="10"/>
        <v>354.5275</v>
      </c>
      <c r="O105" s="25">
        <f t="shared" si="11"/>
        <v>-0.02464595376</v>
      </c>
      <c r="P105" s="25">
        <f t="shared" si="12"/>
        <v>0.003048320621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IFERROR(__xludf.DUMMYFUNCTION("""COMPUTED_VALUE"""),46282.64583333333)</f>
        <v>46282.64583</v>
      </c>
      <c r="C106" s="1">
        <f>IFERROR(__xludf.DUMMYFUNCTION("""COMPUTED_VALUE"""),310.5)</f>
        <v>310.5</v>
      </c>
      <c r="D106" s="1"/>
      <c r="E106" s="112">
        <f>IFERROR(__xludf.DUMMYFUNCTION("""COMPUTED_VALUE"""),46282.64583333333)</f>
        <v>46282.64583</v>
      </c>
      <c r="F106" s="1">
        <f>IFERROR(__xludf.DUMMYFUNCTION("""COMPUTED_VALUE"""),344.95)</f>
        <v>344.95</v>
      </c>
      <c r="G106" s="1"/>
      <c r="H106" s="29">
        <f t="shared" si="4"/>
        <v>0.9001304537</v>
      </c>
      <c r="I106" s="1">
        <f t="shared" si="5"/>
        <v>-34.45</v>
      </c>
      <c r="J106" s="113">
        <f t="shared" si="6"/>
        <v>0.9874120713</v>
      </c>
      <c r="K106" s="29">
        <f t="shared" si="7"/>
        <v>0.9001304537</v>
      </c>
      <c r="L106" s="65">
        <f t="shared" si="8"/>
        <v>318.0775</v>
      </c>
      <c r="M106" s="25">
        <f t="shared" si="9"/>
        <v>-0.0244041868</v>
      </c>
      <c r="N106" s="65">
        <f t="shared" si="10"/>
        <v>353.0525</v>
      </c>
      <c r="O106" s="25">
        <f t="shared" si="11"/>
        <v>-0.02348891144</v>
      </c>
      <c r="P106" s="25">
        <f t="shared" si="12"/>
        <v>-0.0009152753591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IFERROR(__xludf.DUMMYFUNCTION("""COMPUTED_VALUE"""),46283.64583333333)</f>
        <v>46283.64583</v>
      </c>
      <c r="C107" s="1">
        <f>IFERROR(__xludf.DUMMYFUNCTION("""COMPUTED_VALUE"""),312.0)</f>
        <v>312</v>
      </c>
      <c r="D107" s="1"/>
      <c r="E107" s="112">
        <f>IFERROR(__xludf.DUMMYFUNCTION("""COMPUTED_VALUE"""),46283.64583333333)</f>
        <v>46283.64583</v>
      </c>
      <c r="F107" s="1">
        <f>IFERROR(__xludf.DUMMYFUNCTION("""COMPUTED_VALUE"""),342.55)</f>
        <v>342.55</v>
      </c>
      <c r="G107" s="1"/>
      <c r="H107" s="29">
        <f t="shared" si="4"/>
        <v>0.9108159393</v>
      </c>
      <c r="I107" s="1">
        <f t="shared" si="5"/>
        <v>-30.55</v>
      </c>
      <c r="J107" s="113">
        <f t="shared" si="6"/>
        <v>1.147563777</v>
      </c>
      <c r="K107" s="29">
        <f t="shared" si="7"/>
        <v>0.9108159393</v>
      </c>
      <c r="L107" s="65">
        <f t="shared" si="8"/>
        <v>317.2725</v>
      </c>
      <c r="M107" s="25">
        <f t="shared" si="9"/>
        <v>-0.01689903846</v>
      </c>
      <c r="N107" s="65">
        <f t="shared" si="10"/>
        <v>351.99</v>
      </c>
      <c r="O107" s="25">
        <f t="shared" si="11"/>
        <v>-0.02755802073</v>
      </c>
      <c r="P107" s="25">
        <f t="shared" si="12"/>
        <v>0.01065898227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IFERROR(__xludf.DUMMYFUNCTION("""COMPUTED_VALUE"""),46286.64583333333)</f>
        <v>46286.64583</v>
      </c>
      <c r="C108" s="1">
        <f>IFERROR(__xludf.DUMMYFUNCTION("""COMPUTED_VALUE"""),310.2)</f>
        <v>310.2</v>
      </c>
      <c r="D108" s="1"/>
      <c r="E108" s="112">
        <f>IFERROR(__xludf.DUMMYFUNCTION("""COMPUTED_VALUE"""),46286.64583333333)</f>
        <v>46286.64583</v>
      </c>
      <c r="F108" s="1">
        <f>IFERROR(__xludf.DUMMYFUNCTION("""COMPUTED_VALUE"""),344.75)</f>
        <v>344.75</v>
      </c>
      <c r="G108" s="1"/>
      <c r="H108" s="29">
        <f t="shared" si="4"/>
        <v>0.8997824511</v>
      </c>
      <c r="I108" s="1">
        <f t="shared" si="5"/>
        <v>-34.55</v>
      </c>
      <c r="J108" s="113">
        <f t="shared" si="6"/>
        <v>0.9833056173</v>
      </c>
      <c r="K108" s="29">
        <f t="shared" si="7"/>
        <v>0.8997824511</v>
      </c>
      <c r="L108" s="65">
        <f t="shared" si="8"/>
        <v>316.45</v>
      </c>
      <c r="M108" s="25">
        <f t="shared" si="9"/>
        <v>-0.02014829142</v>
      </c>
      <c r="N108" s="65">
        <f t="shared" si="10"/>
        <v>351.0775</v>
      </c>
      <c r="O108" s="25">
        <f t="shared" si="11"/>
        <v>-0.01835387962</v>
      </c>
      <c r="P108" s="25">
        <f t="shared" si="12"/>
        <v>-0.001794411802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IFERROR(__xludf.DUMMYFUNCTION("""COMPUTED_VALUE"""),46287.64583333333)</f>
        <v>46287.64583</v>
      </c>
      <c r="C109" s="1">
        <f>IFERROR(__xludf.DUMMYFUNCTION("""COMPUTED_VALUE"""),307.1)</f>
        <v>307.1</v>
      </c>
      <c r="D109" s="1"/>
      <c r="E109" s="112">
        <f>IFERROR(__xludf.DUMMYFUNCTION("""COMPUTED_VALUE"""),46287.64583333333)</f>
        <v>46287.64583</v>
      </c>
      <c r="F109" s="1">
        <f>IFERROR(__xludf.DUMMYFUNCTION("""COMPUTED_VALUE"""),345.8)</f>
        <v>345.8</v>
      </c>
      <c r="G109" s="1"/>
      <c r="H109" s="29">
        <f t="shared" si="4"/>
        <v>0.8880855986</v>
      </c>
      <c r="I109" s="1">
        <f t="shared" si="5"/>
        <v>-38.7</v>
      </c>
      <c r="J109" s="113">
        <f t="shared" si="6"/>
        <v>0.8128877767</v>
      </c>
      <c r="K109" s="29">
        <f t="shared" si="7"/>
        <v>0.8880855986</v>
      </c>
      <c r="L109" s="65">
        <f t="shared" si="8"/>
        <v>315.41</v>
      </c>
      <c r="M109" s="25">
        <f t="shared" si="9"/>
        <v>-0.02705958971</v>
      </c>
      <c r="N109" s="65">
        <f t="shared" si="10"/>
        <v>350.1675</v>
      </c>
      <c r="O109" s="25">
        <f t="shared" si="11"/>
        <v>-0.01263013302</v>
      </c>
      <c r="P109" s="25">
        <f t="shared" si="12"/>
        <v>-0.01442945669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IFERROR(__xludf.DUMMYFUNCTION("""COMPUTED_VALUE"""),46288.64583333333)</f>
        <v>46288.64583</v>
      </c>
      <c r="C110" s="1">
        <f>IFERROR(__xludf.DUMMYFUNCTION("""COMPUTED_VALUE"""),311.5)</f>
        <v>311.5</v>
      </c>
      <c r="D110" s="1"/>
      <c r="E110" s="112">
        <f>IFERROR(__xludf.DUMMYFUNCTION("""COMPUTED_VALUE"""),46288.64583333333)</f>
        <v>46288.64583</v>
      </c>
      <c r="F110" s="1">
        <f>IFERROR(__xludf.DUMMYFUNCTION("""COMPUTED_VALUE"""),346.0)</f>
        <v>346</v>
      </c>
      <c r="G110" s="1"/>
      <c r="H110" s="29">
        <f t="shared" si="4"/>
        <v>0.9002890173</v>
      </c>
      <c r="I110" s="1">
        <f t="shared" si="5"/>
        <v>-34.5</v>
      </c>
      <c r="J110" s="113">
        <f t="shared" si="6"/>
        <v>0.9853588443</v>
      </c>
      <c r="K110" s="29">
        <f t="shared" si="7"/>
        <v>0.9002890173</v>
      </c>
      <c r="L110" s="65">
        <f t="shared" si="8"/>
        <v>314.685</v>
      </c>
      <c r="M110" s="25">
        <f t="shared" si="9"/>
        <v>-0.0102247191</v>
      </c>
      <c r="N110" s="65">
        <f t="shared" si="10"/>
        <v>349.1175</v>
      </c>
      <c r="O110" s="25">
        <f t="shared" si="11"/>
        <v>-0.009010115607</v>
      </c>
      <c r="P110" s="25">
        <f t="shared" si="12"/>
        <v>-0.001214603494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IFERROR(__xludf.DUMMYFUNCTION("""COMPUTED_VALUE"""),46289.64583333333)</f>
        <v>46289.64583</v>
      </c>
      <c r="C111" s="1">
        <f>IFERROR(__xludf.DUMMYFUNCTION("""COMPUTED_VALUE"""),308.25)</f>
        <v>308.25</v>
      </c>
      <c r="D111" s="1"/>
      <c r="E111" s="112">
        <f>IFERROR(__xludf.DUMMYFUNCTION("""COMPUTED_VALUE"""),46289.64583333333)</f>
        <v>46289.64583</v>
      </c>
      <c r="F111" s="1">
        <f>IFERROR(__xludf.DUMMYFUNCTION("""COMPUTED_VALUE"""),339.35)</f>
        <v>339.35</v>
      </c>
      <c r="G111" s="1"/>
      <c r="H111" s="29">
        <f t="shared" si="4"/>
        <v>0.9083542066</v>
      </c>
      <c r="I111" s="1">
        <f t="shared" si="5"/>
        <v>-31.1</v>
      </c>
      <c r="J111" s="113">
        <f t="shared" si="6"/>
        <v>1.12497828</v>
      </c>
      <c r="K111" s="29">
        <f t="shared" si="7"/>
        <v>0.9083542066</v>
      </c>
      <c r="L111" s="65">
        <f t="shared" si="8"/>
        <v>313.9875</v>
      </c>
      <c r="M111" s="25">
        <f t="shared" si="9"/>
        <v>-0.01861313869</v>
      </c>
      <c r="N111" s="65">
        <f t="shared" si="10"/>
        <v>347.88</v>
      </c>
      <c r="O111" s="25">
        <f t="shared" si="11"/>
        <v>-0.02513628997</v>
      </c>
      <c r="P111" s="25">
        <f t="shared" si="12"/>
        <v>0.00652315128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IFERROR(__xludf.DUMMYFUNCTION("""COMPUTED_VALUE"""),46290.64583333333)</f>
        <v>46290.64583</v>
      </c>
      <c r="C112" s="1">
        <f>IFERROR(__xludf.DUMMYFUNCTION("""COMPUTED_VALUE"""),312.95)</f>
        <v>312.95</v>
      </c>
      <c r="D112" s="1"/>
      <c r="E112" s="112">
        <f>IFERROR(__xludf.DUMMYFUNCTION("""COMPUTED_VALUE"""),46290.64583333333)</f>
        <v>46290.64583</v>
      </c>
      <c r="F112" s="1">
        <f>IFERROR(__xludf.DUMMYFUNCTION("""COMPUTED_VALUE"""),338.0)</f>
        <v>338</v>
      </c>
      <c r="G112" s="1"/>
      <c r="H112" s="29">
        <f t="shared" si="4"/>
        <v>0.925887574</v>
      </c>
      <c r="I112" s="1">
        <f t="shared" si="5"/>
        <v>-25.05</v>
      </c>
      <c r="J112" s="113">
        <f t="shared" si="6"/>
        <v>1.373418747</v>
      </c>
      <c r="K112" s="29">
        <f t="shared" si="7"/>
        <v>0.925887574</v>
      </c>
      <c r="L112" s="65">
        <f t="shared" si="8"/>
        <v>313.59</v>
      </c>
      <c r="M112" s="25">
        <f t="shared" si="9"/>
        <v>-0.002045055121</v>
      </c>
      <c r="N112" s="65">
        <f t="shared" si="10"/>
        <v>346.9875</v>
      </c>
      <c r="O112" s="25">
        <f t="shared" si="11"/>
        <v>-0.02659023669</v>
      </c>
      <c r="P112" s="25">
        <f t="shared" si="12"/>
        <v>0.02454518157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IFERROR(__xludf.DUMMYFUNCTION("""COMPUTED_VALUE"""),46293.64583333333)</f>
        <v>46293.64583</v>
      </c>
      <c r="C113" s="1">
        <f>IFERROR(__xludf.DUMMYFUNCTION("""COMPUTED_VALUE"""),303.25)</f>
        <v>303.25</v>
      </c>
      <c r="D113" s="1"/>
      <c r="E113" s="112">
        <f>IFERROR(__xludf.DUMMYFUNCTION("""COMPUTED_VALUE"""),46293.64583333333)</f>
        <v>46293.64583</v>
      </c>
      <c r="F113" s="1">
        <f>IFERROR(__xludf.DUMMYFUNCTION("""COMPUTED_VALUE"""),330.0)</f>
        <v>330</v>
      </c>
      <c r="G113" s="1"/>
      <c r="H113" s="29">
        <f t="shared" si="4"/>
        <v>0.9189393939</v>
      </c>
      <c r="I113" s="1">
        <f t="shared" si="5"/>
        <v>-26.75</v>
      </c>
      <c r="J113" s="113">
        <f t="shared" si="6"/>
        <v>1.303609029</v>
      </c>
      <c r="K113" s="29">
        <f t="shared" si="7"/>
        <v>0.9189393939</v>
      </c>
      <c r="L113" s="65">
        <f t="shared" si="8"/>
        <v>312.9125</v>
      </c>
      <c r="M113" s="25">
        <f t="shared" si="9"/>
        <v>-0.03186314922</v>
      </c>
      <c r="N113" s="65">
        <f t="shared" si="10"/>
        <v>345.8875</v>
      </c>
      <c r="O113" s="25">
        <f t="shared" si="11"/>
        <v>-0.04814393939</v>
      </c>
      <c r="P113" s="25">
        <f t="shared" si="12"/>
        <v>0.01628079018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IFERROR(__xludf.DUMMYFUNCTION("""COMPUTED_VALUE"""),46294.64583333333)</f>
        <v>46294.64583</v>
      </c>
      <c r="C114" s="1">
        <f>IFERROR(__xludf.DUMMYFUNCTION("""COMPUTED_VALUE"""),292.45)</f>
        <v>292.45</v>
      </c>
      <c r="D114" s="1"/>
      <c r="E114" s="112">
        <f>IFERROR(__xludf.DUMMYFUNCTION("""COMPUTED_VALUE"""),46294.64583333333)</f>
        <v>46294.64583</v>
      </c>
      <c r="F114" s="1">
        <f>IFERROR(__xludf.DUMMYFUNCTION("""COMPUTED_VALUE"""),324.1)</f>
        <v>324.1</v>
      </c>
      <c r="G114" s="1"/>
      <c r="H114" s="29">
        <f t="shared" si="4"/>
        <v>0.9023449553</v>
      </c>
      <c r="I114" s="1">
        <f t="shared" si="5"/>
        <v>-31.65</v>
      </c>
      <c r="J114" s="113">
        <f t="shared" si="6"/>
        <v>1.102392783</v>
      </c>
      <c r="K114" s="29">
        <f t="shared" si="7"/>
        <v>0.9023449553</v>
      </c>
      <c r="L114" s="65">
        <f t="shared" si="8"/>
        <v>311.37</v>
      </c>
      <c r="M114" s="25">
        <f t="shared" si="9"/>
        <v>-0.06469481963</v>
      </c>
      <c r="N114" s="65">
        <f t="shared" si="10"/>
        <v>345.2775</v>
      </c>
      <c r="O114" s="25">
        <f t="shared" si="11"/>
        <v>-0.06534248689</v>
      </c>
      <c r="P114" s="25">
        <f t="shared" si="12"/>
        <v>0.0006476672595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IFERROR(__xludf.DUMMYFUNCTION("""COMPUTED_VALUE"""),46295.64583333333)</f>
        <v>46295.64583</v>
      </c>
      <c r="C115" s="1">
        <f>IFERROR(__xludf.DUMMYFUNCTION("""COMPUTED_VALUE"""),299.0)</f>
        <v>299</v>
      </c>
      <c r="D115" s="1"/>
      <c r="E115" s="112">
        <f>IFERROR(__xludf.DUMMYFUNCTION("""COMPUTED_VALUE"""),46295.64583333333)</f>
        <v>46295.64583</v>
      </c>
      <c r="F115" s="1">
        <f>IFERROR(__xludf.DUMMYFUNCTION("""COMPUTED_VALUE"""),325.5)</f>
        <v>325.5</v>
      </c>
      <c r="G115" s="1"/>
      <c r="H115" s="29">
        <f t="shared" si="4"/>
        <v>0.9185867896</v>
      </c>
      <c r="I115" s="1">
        <f t="shared" si="5"/>
        <v>-26.5</v>
      </c>
      <c r="J115" s="113">
        <f t="shared" si="6"/>
        <v>1.313875164</v>
      </c>
      <c r="K115" s="269">
        <f t="shared" ref="K115:K118" si="13">C116/F115</f>
        <v>0.8840245776</v>
      </c>
      <c r="L115" s="65">
        <f t="shared" si="8"/>
        <v>310.6175</v>
      </c>
      <c r="M115" s="25">
        <f t="shared" si="9"/>
        <v>-0.03885451505</v>
      </c>
      <c r="N115" s="65">
        <f t="shared" si="10"/>
        <v>344.2625</v>
      </c>
      <c r="O115" s="25">
        <f t="shared" si="11"/>
        <v>-0.05764208909</v>
      </c>
      <c r="P115" s="25">
        <f t="shared" si="12"/>
        <v>0.01878757404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IFERROR(__xludf.DUMMYFUNCTION("""COMPUTED_VALUE"""),46296.64583333333)</f>
        <v>46296.64583</v>
      </c>
      <c r="C116" s="1">
        <f>IFERROR(__xludf.DUMMYFUNCTION("""COMPUTED_VALUE"""),287.75)</f>
        <v>287.75</v>
      </c>
      <c r="D116" s="1"/>
      <c r="E116" s="112">
        <f>IFERROR(__xludf.DUMMYFUNCTION("""COMPUTED_VALUE"""),46296.64583333333)</f>
        <v>46296.64583</v>
      </c>
      <c r="F116" s="1">
        <f>IFERROR(__xludf.DUMMYFUNCTION("""COMPUTED_VALUE"""),318.0)</f>
        <v>318</v>
      </c>
      <c r="G116" s="1"/>
      <c r="H116" s="29">
        <f t="shared" si="4"/>
        <v>0.9048742138</v>
      </c>
      <c r="I116" s="1">
        <f t="shared" si="5"/>
        <v>-30.25</v>
      </c>
      <c r="J116" s="113">
        <f t="shared" si="6"/>
        <v>1.159883139</v>
      </c>
      <c r="K116" s="269">
        <f t="shared" si="13"/>
        <v>0.9297169811</v>
      </c>
      <c r="L116" s="65">
        <f t="shared" si="8"/>
        <v>309.1825</v>
      </c>
      <c r="M116" s="25">
        <f t="shared" si="9"/>
        <v>-0.07448305821</v>
      </c>
      <c r="N116" s="65">
        <f t="shared" si="10"/>
        <v>342.8375</v>
      </c>
      <c r="O116" s="25">
        <f t="shared" si="11"/>
        <v>-0.07810534591</v>
      </c>
      <c r="P116" s="25">
        <f t="shared" si="12"/>
        <v>0.003622287702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IFERROR(__xludf.DUMMYFUNCTION("""COMPUTED_VALUE"""),46300.64583333333)</f>
        <v>46300.64583</v>
      </c>
      <c r="C117" s="1">
        <f>IFERROR(__xludf.DUMMYFUNCTION("""COMPUTED_VALUE"""),295.65)</f>
        <v>295.65</v>
      </c>
      <c r="D117" s="1"/>
      <c r="E117" s="112">
        <f>IFERROR(__xludf.DUMMYFUNCTION("""COMPUTED_VALUE"""),46300.64583333333)</f>
        <v>46300.64583</v>
      </c>
      <c r="F117" s="1">
        <f>IFERROR(__xludf.DUMMYFUNCTION("""COMPUTED_VALUE"""),322.0)</f>
        <v>322</v>
      </c>
      <c r="G117" s="1"/>
      <c r="H117" s="29">
        <f t="shared" si="4"/>
        <v>0.9181677019</v>
      </c>
      <c r="I117" s="1">
        <f t="shared" si="5"/>
        <v>-26.35</v>
      </c>
      <c r="J117" s="113">
        <f t="shared" si="6"/>
        <v>1.320034845</v>
      </c>
      <c r="K117" s="269">
        <f t="shared" si="13"/>
        <v>0.9316770186</v>
      </c>
      <c r="L117" s="65">
        <f t="shared" si="8"/>
        <v>308.285</v>
      </c>
      <c r="M117" s="25">
        <f t="shared" si="9"/>
        <v>-0.04273634365</v>
      </c>
      <c r="N117" s="65">
        <f t="shared" si="10"/>
        <v>341.6625</v>
      </c>
      <c r="O117" s="25">
        <f t="shared" si="11"/>
        <v>-0.0610636646</v>
      </c>
      <c r="P117" s="25">
        <f t="shared" si="12"/>
        <v>0.01832732095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IFERROR(__xludf.DUMMYFUNCTION("""COMPUTED_VALUE"""),46301.64583333333)</f>
        <v>46301.64583</v>
      </c>
      <c r="C118" s="1">
        <f>IFERROR(__xludf.DUMMYFUNCTION("""COMPUTED_VALUE"""),300.0)</f>
        <v>300</v>
      </c>
      <c r="D118" s="1"/>
      <c r="E118" s="112">
        <f>IFERROR(__xludf.DUMMYFUNCTION("""COMPUTED_VALUE"""),46301.64583333333)</f>
        <v>46301.64583</v>
      </c>
      <c r="F118" s="1">
        <f>IFERROR(__xludf.DUMMYFUNCTION("""COMPUTED_VALUE"""),322.6)</f>
        <v>322.6</v>
      </c>
      <c r="G118" s="1"/>
      <c r="H118" s="29">
        <f t="shared" si="4"/>
        <v>0.9299442033</v>
      </c>
      <c r="I118" s="1">
        <f t="shared" si="5"/>
        <v>-22.6</v>
      </c>
      <c r="J118" s="113">
        <f t="shared" si="6"/>
        <v>1.474026869</v>
      </c>
      <c r="K118" s="269">
        <f t="shared" si="13"/>
        <v>0.9265344079</v>
      </c>
      <c r="L118" s="65">
        <f t="shared" si="8"/>
        <v>307.35</v>
      </c>
      <c r="M118" s="25">
        <f t="shared" si="9"/>
        <v>-0.0245</v>
      </c>
      <c r="N118" s="65">
        <f t="shared" si="10"/>
        <v>340.0125</v>
      </c>
      <c r="O118" s="25">
        <f t="shared" si="11"/>
        <v>-0.05397551147</v>
      </c>
      <c r="P118" s="25">
        <f t="shared" si="12"/>
        <v>0.02947551147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IFERROR(__xludf.DUMMYFUNCTION("""COMPUTED_VALUE"""),46302.64583333333)</f>
        <v>46302.64583</v>
      </c>
      <c r="C119" s="1">
        <f>IFERROR(__xludf.DUMMYFUNCTION("""COMPUTED_VALUE"""),298.9)</f>
        <v>298.9</v>
      </c>
      <c r="D119" s="1"/>
      <c r="E119" s="112">
        <f>IFERROR(__xludf.DUMMYFUNCTION("""COMPUTED_VALUE"""),46302.64583333333)</f>
        <v>46302.64583</v>
      </c>
      <c r="F119" s="1">
        <f>IFERROR(__xludf.DUMMYFUNCTION("""COMPUTED_VALUE"""),325.55)</f>
        <v>325.55</v>
      </c>
      <c r="G119" s="1"/>
      <c r="H119" s="29">
        <f t="shared" si="4"/>
        <v>0.9181385348</v>
      </c>
      <c r="I119" s="1"/>
      <c r="J119" s="1"/>
      <c r="K119" s="269" t="str">
        <f>#REF!/F119</f>
        <v>#REF!</v>
      </c>
      <c r="L119" s="65"/>
      <c r="M119" s="25"/>
      <c r="N119" s="65"/>
      <c r="O119" s="2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81"/>
      <c r="B120" s="182">
        <f>IFERROR(__xludf.DUMMYFUNCTION("""COMPUTED_VALUE"""),46303.64583333333)</f>
        <v>46303.64583</v>
      </c>
      <c r="C120" s="183">
        <f>IFERROR(__xludf.DUMMYFUNCTION("""COMPUTED_VALUE"""),295.0)</f>
        <v>295</v>
      </c>
      <c r="D120" s="183"/>
      <c r="E120" s="182">
        <f>IFERROR(__xludf.DUMMYFUNCTION("""COMPUTED_VALUE"""),46303.64583333333)</f>
        <v>46303.64583</v>
      </c>
      <c r="F120" s="183">
        <f>IFERROR(__xludf.DUMMYFUNCTION("""COMPUTED_VALUE"""),323.7)</f>
        <v>323.7</v>
      </c>
      <c r="G120" s="183"/>
      <c r="H120" s="29">
        <f t="shared" si="4"/>
        <v>0.9113376583</v>
      </c>
      <c r="J120" s="1"/>
      <c r="K120" s="184"/>
      <c r="L120" s="185"/>
      <c r="M120" s="186"/>
      <c r="N120" s="185"/>
      <c r="O120" s="186"/>
      <c r="P120" s="18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73"/>
      <c r="B121" s="174">
        <f>IFERROR(__xludf.DUMMYFUNCTION("""COMPUTED_VALUE"""),46304.64583333333)</f>
        <v>46304.64583</v>
      </c>
      <c r="C121" s="175">
        <f>IFERROR(__xludf.DUMMYFUNCTION("""COMPUTED_VALUE"""),300.0)</f>
        <v>300</v>
      </c>
      <c r="D121" s="175"/>
      <c r="E121" s="174">
        <f>IFERROR(__xludf.DUMMYFUNCTION("""COMPUTED_VALUE"""),46304.64583333333)</f>
        <v>46304.64583</v>
      </c>
      <c r="F121" s="175">
        <f>IFERROR(__xludf.DUMMYFUNCTION("""COMPUTED_VALUE"""),327.8)</f>
        <v>327.8</v>
      </c>
      <c r="G121" s="175"/>
      <c r="H121" s="29">
        <f t="shared" si="4"/>
        <v>0.9151921904</v>
      </c>
      <c r="I121" s="175"/>
      <c r="J121" s="176"/>
      <c r="K121" s="179"/>
      <c r="L121" s="177"/>
      <c r="M121" s="178"/>
      <c r="N121" s="177"/>
      <c r="O121" s="178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</row>
    <row r="122">
      <c r="A122" s="173"/>
      <c r="B122" s="174">
        <f>IFERROR(__xludf.DUMMYFUNCTION("""COMPUTED_VALUE"""),46307.64583333333)</f>
        <v>46307.64583</v>
      </c>
      <c r="C122" s="175">
        <f>IFERROR(__xludf.DUMMYFUNCTION("""COMPUTED_VALUE"""),301.0)</f>
        <v>301</v>
      </c>
      <c r="D122" s="175"/>
      <c r="E122" s="174">
        <f>IFERROR(__xludf.DUMMYFUNCTION("""COMPUTED_VALUE"""),46307.64583333333)</f>
        <v>46307.64583</v>
      </c>
      <c r="F122" s="175">
        <f>IFERROR(__xludf.DUMMYFUNCTION("""COMPUTED_VALUE"""),337.9)</f>
        <v>337.9</v>
      </c>
      <c r="G122" s="175"/>
      <c r="H122" s="29">
        <f t="shared" si="4"/>
        <v>0.8907960935</v>
      </c>
      <c r="I122" s="175"/>
      <c r="J122" s="176"/>
      <c r="K122" s="179"/>
      <c r="L122" s="177"/>
      <c r="M122" s="178"/>
      <c r="N122" s="177"/>
      <c r="O122" s="178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</row>
    <row r="123">
      <c r="A123" s="173"/>
      <c r="B123" s="174">
        <f>IFERROR(__xludf.DUMMYFUNCTION("""COMPUTED_VALUE"""),46308.64583333333)</f>
        <v>46308.64583</v>
      </c>
      <c r="C123" s="175">
        <f>IFERROR(__xludf.DUMMYFUNCTION("""COMPUTED_VALUE"""),307.0)</f>
        <v>307</v>
      </c>
      <c r="D123" s="175"/>
      <c r="E123" s="174">
        <f>IFERROR(__xludf.DUMMYFUNCTION("""COMPUTED_VALUE"""),46308.64583333333)</f>
        <v>46308.64583</v>
      </c>
      <c r="F123" s="175">
        <f>IFERROR(__xludf.DUMMYFUNCTION("""COMPUTED_VALUE"""),342.05)</f>
        <v>342.05</v>
      </c>
      <c r="G123" s="175"/>
      <c r="H123" s="29">
        <f t="shared" si="4"/>
        <v>0.8975296009</v>
      </c>
      <c r="I123" s="175"/>
      <c r="J123" s="176"/>
      <c r="K123" s="179"/>
      <c r="L123" s="177"/>
      <c r="M123" s="178"/>
      <c r="N123" s="177"/>
      <c r="O123" s="178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</row>
    <row r="124">
      <c r="A124" s="173"/>
      <c r="B124" s="174">
        <f>IFERROR(__xludf.DUMMYFUNCTION("""COMPUTED_VALUE"""),46309.64583333333)</f>
        <v>46309.64583</v>
      </c>
      <c r="C124" s="175">
        <f>IFERROR(__xludf.DUMMYFUNCTION("""COMPUTED_VALUE"""),311.8)</f>
        <v>311.8</v>
      </c>
      <c r="D124" s="175"/>
      <c r="E124" s="174">
        <f>IFERROR(__xludf.DUMMYFUNCTION("""COMPUTED_VALUE"""),46309.64583333333)</f>
        <v>46309.64583</v>
      </c>
      <c r="F124" s="175">
        <f>IFERROR(__xludf.DUMMYFUNCTION("""COMPUTED_VALUE"""),344.5)</f>
        <v>344.5</v>
      </c>
      <c r="G124" s="175"/>
      <c r="H124" s="179"/>
      <c r="I124" s="175"/>
      <c r="J124" s="176"/>
      <c r="K124" s="179"/>
      <c r="L124" s="177"/>
      <c r="M124" s="178"/>
      <c r="N124" s="177"/>
      <c r="O124" s="178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</row>
    <row r="125">
      <c r="B125" s="166">
        <f>IFERROR(__xludf.DUMMYFUNCTION("""COMPUTED_VALUE"""),46310.64583333333)</f>
        <v>46310.64583</v>
      </c>
      <c r="C125" s="230">
        <f>IFERROR(__xludf.DUMMYFUNCTION("""COMPUTED_VALUE"""),309.75)</f>
        <v>309.75</v>
      </c>
      <c r="E125" s="166">
        <f>IFERROR(__xludf.DUMMYFUNCTION("""COMPUTED_VALUE"""),46310.64583333333)</f>
        <v>46310.64583</v>
      </c>
      <c r="F125" s="230">
        <f>IFERROR(__xludf.DUMMYFUNCTION("""COMPUTED_VALUE"""),342.3)</f>
        <v>342.3</v>
      </c>
    </row>
    <row r="126">
      <c r="B126" s="166">
        <f>IFERROR(__xludf.DUMMYFUNCTION("""COMPUTED_VALUE"""),46311.64583333333)</f>
        <v>46311.64583</v>
      </c>
      <c r="C126" s="230">
        <f>IFERROR(__xludf.DUMMYFUNCTION("""COMPUTED_VALUE"""),307.8)</f>
        <v>307.8</v>
      </c>
      <c r="E126" s="166">
        <f>IFERROR(__xludf.DUMMYFUNCTION("""COMPUTED_VALUE"""),46311.64583333333)</f>
        <v>46311.64583</v>
      </c>
      <c r="F126" s="230">
        <f>IFERROR(__xludf.DUMMYFUNCTION("""COMPUTED_VALUE"""),333.25)</f>
        <v>333.25</v>
      </c>
    </row>
    <row r="128">
      <c r="A128" s="1"/>
      <c r="B128" s="1"/>
      <c r="C128" s="193"/>
      <c r="D128" s="193"/>
      <c r="E128" s="193"/>
      <c r="F128" s="194"/>
      <c r="G128" s="19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73" t="s">
        <v>9</v>
      </c>
      <c r="B129" s="174">
        <f>IFERROR(__xludf.DUMMYFUNCTION("GOOGLEFINANCE(B9,""TRADETIME"")"),46311.64583333333)</f>
        <v>46311.64583</v>
      </c>
      <c r="C129" s="175">
        <f>IFERROR(__xludf.DUMMYFUNCTION("GOOGLEFINANCE(B9,""PRICE"")"),307.8)</f>
        <v>307.8</v>
      </c>
      <c r="D129" s="175"/>
      <c r="E129" s="174">
        <f>IFERROR(__xludf.DUMMYFUNCTION("GOOGLEFINANCE(E9,""TRADETIME"")"),46311.64583333333)</f>
        <v>46311.64583</v>
      </c>
      <c r="F129" s="175">
        <f>IFERROR(__xludf.DUMMYFUNCTION("GOOGLEFINANCE(E9,""PRICE"")"),333.25)</f>
        <v>333.25</v>
      </c>
      <c r="G129" s="175"/>
      <c r="H129" s="179">
        <f>C129/F129</f>
        <v>0.9236309077</v>
      </c>
      <c r="I129" s="175">
        <f>C129-F129</f>
        <v>-25.45</v>
      </c>
      <c r="J129" s="176">
        <f>((I129-$I$130)/$I$131)</f>
        <v>1.356992931</v>
      </c>
      <c r="K129" s="179">
        <f>C129/F129</f>
        <v>0.9236309077</v>
      </c>
      <c r="L129" s="177">
        <f>AVERAGE(C73:C109)</f>
        <v>330.4283784</v>
      </c>
      <c r="M129" s="178">
        <f>(C129-L129)/C129</f>
        <v>-0.07351649896</v>
      </c>
      <c r="N129" s="177">
        <f>AVERAGE(F73:F109)</f>
        <v>368.5648649</v>
      </c>
      <c r="O129" s="178">
        <f>(F129-N129)/F129</f>
        <v>-0.1059710874</v>
      </c>
      <c r="P129" s="178">
        <f>M129-O129</f>
        <v>0.03245458841</v>
      </c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</row>
    <row r="130">
      <c r="A130" s="1"/>
      <c r="B130" s="1"/>
      <c r="C130" s="1"/>
      <c r="D130" s="1"/>
      <c r="E130" s="1"/>
      <c r="F130" s="1"/>
      <c r="G130" s="1"/>
      <c r="H130" s="96" t="s">
        <v>138</v>
      </c>
      <c r="I130" s="177">
        <f>AVERAGE(I11:I118)</f>
        <v>-58.49537037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96" t="s">
        <v>139</v>
      </c>
      <c r="I131" s="189">
        <f>_xlfn.STDEV.P(I11:I117)</f>
        <v>24.35191048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93"/>
      <c r="D132" s="193"/>
      <c r="E132" s="193"/>
      <c r="F132" s="193"/>
      <c r="G132" s="19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5" max="5" width="20.63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18.88"/>
    <col customWidth="1" min="20" max="20" width="26.0"/>
    <col customWidth="1" min="21" max="21" width="18.5"/>
    <col customWidth="1" min="24" max="24" width="13.38"/>
  </cols>
  <sheetData>
    <row r="1">
      <c r="A1" s="1"/>
      <c r="B1" s="2" t="s">
        <v>0</v>
      </c>
      <c r="C1" s="4">
        <f>AVERAGE(C98:C118)</f>
        <v>717.3595238</v>
      </c>
      <c r="D1" s="1"/>
      <c r="E1" s="2" t="s">
        <v>0</v>
      </c>
      <c r="F1" s="4">
        <f>AVERAGE(F98:F118)</f>
        <v>55858.24286</v>
      </c>
      <c r="G1" s="1">
        <f>STDEV(F74:F93)</f>
        <v>252.2445135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29</v>
      </c>
      <c r="V1" s="7" t="s">
        <v>31</v>
      </c>
      <c r="W1" s="7" t="s">
        <v>11</v>
      </c>
      <c r="X1" s="13" t="s">
        <v>12</v>
      </c>
      <c r="Y1" s="1"/>
      <c r="Z1" s="1"/>
      <c r="AA1" s="1"/>
      <c r="AB1" s="1"/>
      <c r="AC1" s="1"/>
    </row>
    <row r="2">
      <c r="A2" s="1"/>
      <c r="B2" s="17" t="s">
        <v>20</v>
      </c>
      <c r="C2" s="19">
        <f>AVERAGE(C18:C88)</f>
        <v>765.8873239</v>
      </c>
      <c r="D2" s="1"/>
      <c r="E2" s="17" t="s">
        <v>20</v>
      </c>
      <c r="F2" s="19">
        <f>AVERAGE(F88:F118)</f>
        <v>56406.52742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-0.03060101979</v>
      </c>
      <c r="O2" s="7" t="s">
        <v>25</v>
      </c>
      <c r="P2" s="29">
        <f>AVERAGE(K88:K117)</f>
        <v>0.01271463876</v>
      </c>
      <c r="Q2" s="29">
        <f>MAX(K88:K117)</f>
        <v>0.01331921611</v>
      </c>
      <c r="R2" s="29">
        <f>MIN(K88:K117)</f>
        <v>0.01220522759</v>
      </c>
      <c r="S2" s="40">
        <f t="shared" ref="S2:S5" si="1">Q2-R2</f>
        <v>0.001113988518</v>
      </c>
      <c r="T2" s="1">
        <f>MATCH(MAX(K11:K116), K11:K116, 0)</f>
        <v>11</v>
      </c>
      <c r="U2" s="1">
        <f t="array" ref="U2">INDEX(C11:C116, MATCH(MAX(K11:K116), K11:K116, 0))</f>
        <v>768.65</v>
      </c>
      <c r="V2" s="1">
        <f t="array" ref="V2">INDEX(F11:F116, MATCH(MAX(K11:K116), K11:K116, 0))</f>
        <v>53537</v>
      </c>
      <c r="W2" s="54">
        <f t="shared" ref="W2:W3" si="2">U2/V2</f>
        <v>0.01435736033</v>
      </c>
      <c r="X2" s="7" t="s">
        <v>2</v>
      </c>
      <c r="Y2" s="1"/>
      <c r="Z2" s="1"/>
      <c r="AA2" s="1"/>
      <c r="AB2" s="1"/>
      <c r="AC2" s="1"/>
    </row>
    <row r="3">
      <c r="A3" s="1">
        <f>STDEV(C75:C93)</f>
        <v>6.496678189</v>
      </c>
      <c r="B3" s="58" t="s">
        <v>61</v>
      </c>
      <c r="C3" s="61">
        <f>max(C98:C118)</f>
        <v>739.5</v>
      </c>
      <c r="D3" s="65">
        <f>C1+A3*2</f>
        <v>730.3528802</v>
      </c>
      <c r="E3" s="58" t="s">
        <v>61</v>
      </c>
      <c r="F3" s="61">
        <f>max(F98:F118)</f>
        <v>57369.65</v>
      </c>
      <c r="G3" s="65">
        <f>F1+G1*2</f>
        <v>56362.73188</v>
      </c>
      <c r="H3" s="1"/>
      <c r="I3" s="1"/>
      <c r="J3" s="1"/>
      <c r="K3" s="1"/>
      <c r="L3" s="1"/>
      <c r="M3" s="7" t="s">
        <v>64</v>
      </c>
      <c r="N3" s="25">
        <f>CORREL(C58:C118,F58:F118)</f>
        <v>0.4251475642</v>
      </c>
      <c r="O3" s="7" t="s">
        <v>67</v>
      </c>
      <c r="P3" s="29">
        <f>AVERAGE((K58:K117))</f>
        <v>0.01291238279</v>
      </c>
      <c r="Q3" s="29">
        <f>MAX(K58:K117)</f>
        <v>0.01421202876</v>
      </c>
      <c r="R3" s="29">
        <f>MIN(K58:K117)</f>
        <v>0.01220522759</v>
      </c>
      <c r="S3" s="40">
        <f t="shared" si="1"/>
        <v>0.002006801168</v>
      </c>
      <c r="T3" s="1">
        <f>MATCH(Min(K11:K116), K11:K116, 0)</f>
        <v>91</v>
      </c>
      <c r="U3" s="1">
        <f t="array" ref="U3">INDEX(C11:C116, MATCH(Min(K11:K116), K11:K116, 0))</f>
        <v>687.1</v>
      </c>
      <c r="V3" s="1">
        <f t="array" ref="V3">INDEX(F11:F116, MATCH(MIN(K11:K116), K11:K116, 0))</f>
        <v>56295.55</v>
      </c>
      <c r="W3" s="54">
        <f t="shared" si="2"/>
        <v>0.01220522759</v>
      </c>
      <c r="X3" s="7" t="s">
        <v>3</v>
      </c>
      <c r="Y3" s="1"/>
      <c r="Z3" s="1"/>
      <c r="AA3" s="1"/>
      <c r="AB3" s="1"/>
      <c r="AC3" s="1"/>
    </row>
    <row r="4">
      <c r="A4" s="1"/>
      <c r="B4" s="58" t="s">
        <v>73</v>
      </c>
      <c r="C4" s="61">
        <f>MIN(C98:C118)</f>
        <v>687.1</v>
      </c>
      <c r="D4" s="65">
        <f>C1-A3*2</f>
        <v>704.3661674</v>
      </c>
      <c r="E4" s="58" t="s">
        <v>73</v>
      </c>
      <c r="F4" s="61">
        <f>MIN(F98:F118)</f>
        <v>54259.95</v>
      </c>
      <c r="G4" s="65">
        <f>F1-G1*2</f>
        <v>55353.75383</v>
      </c>
      <c r="H4" s="1"/>
      <c r="I4" s="1"/>
      <c r="J4" s="1"/>
      <c r="K4" s="1"/>
      <c r="L4" s="1"/>
      <c r="M4" s="7" t="s">
        <v>77</v>
      </c>
      <c r="N4" s="25">
        <f>CORREL(C28:C118,F28:F118)</f>
        <v>0.3781754232</v>
      </c>
      <c r="O4" s="7" t="s">
        <v>79</v>
      </c>
      <c r="P4" s="29">
        <f>AVERAGE(K28:K117)</f>
        <v>0.01319983047</v>
      </c>
      <c r="Q4" s="29">
        <f>MAX(K28:K117)</f>
        <v>0.01428027619</v>
      </c>
      <c r="R4" s="29">
        <f>MIN(K28:K117)</f>
        <v>0.01220522759</v>
      </c>
      <c r="S4" s="40">
        <f t="shared" si="1"/>
        <v>0.002075048606</v>
      </c>
      <c r="T4" s="1"/>
      <c r="U4" s="1"/>
      <c r="V4" s="1"/>
      <c r="W4" s="54"/>
      <c r="X4" s="1"/>
      <c r="Y4" s="1"/>
      <c r="Z4" s="1"/>
      <c r="AA4" s="1"/>
      <c r="AB4" s="1"/>
      <c r="AC4" s="1"/>
    </row>
    <row r="5">
      <c r="A5" s="1"/>
      <c r="B5" s="58" t="s">
        <v>81</v>
      </c>
      <c r="C5" s="61">
        <f>max(C108:C118)</f>
        <v>739.5</v>
      </c>
      <c r="D5" s="65">
        <f>C1+A3</f>
        <v>723.856202</v>
      </c>
      <c r="E5" s="58" t="s">
        <v>81</v>
      </c>
      <c r="F5" s="61">
        <f>max(F108:F118)</f>
        <v>56548.9</v>
      </c>
      <c r="G5" s="65">
        <f>F1+G1</f>
        <v>56110.48737</v>
      </c>
      <c r="H5" s="1"/>
      <c r="I5" s="1"/>
      <c r="J5" s="1"/>
      <c r="K5" s="1"/>
      <c r="L5" s="1"/>
      <c r="M5" s="7" t="s">
        <v>82</v>
      </c>
      <c r="N5" s="25">
        <f>CORREL(C11:C118,F11:F118)</f>
        <v>0.1818835778</v>
      </c>
      <c r="O5" s="7" t="s">
        <v>83</v>
      </c>
      <c r="P5" s="29">
        <f>AVERAGE(K11:K117)</f>
        <v>0.01335548406</v>
      </c>
      <c r="Q5" s="29">
        <f>MAX(K11:K117)</f>
        <v>0.01435736033</v>
      </c>
      <c r="R5" s="29">
        <f>MIN(K11:K117)</f>
        <v>0.01220522759</v>
      </c>
      <c r="S5" s="40">
        <f t="shared" si="1"/>
        <v>0.002152132741</v>
      </c>
      <c r="T5" s="96" t="s">
        <v>199</v>
      </c>
      <c r="U5" s="96" t="str">
        <f t="shared" ref="U5:U6" si="3">#REF!</f>
        <v>#REF!</v>
      </c>
      <c r="V5" s="99" t="str">
        <f>U2*U7*U5</f>
        <v>#REF!</v>
      </c>
      <c r="W5" s="109" t="str">
        <f>V2*U6*U8</f>
        <v>#REF!</v>
      </c>
      <c r="X5" s="99"/>
      <c r="Y5" s="1"/>
      <c r="Z5" s="1"/>
      <c r="AA5" s="1"/>
      <c r="AB5" s="1"/>
      <c r="AC5" s="1"/>
    </row>
    <row r="6">
      <c r="A6" s="1"/>
      <c r="B6" s="58" t="s">
        <v>87</v>
      </c>
      <c r="C6" s="61">
        <f>MIN(C108:C118)</f>
        <v>704.8</v>
      </c>
      <c r="D6" s="65">
        <f>C1-A3</f>
        <v>710.8628456</v>
      </c>
      <c r="E6" s="58" t="s">
        <v>87</v>
      </c>
      <c r="F6" s="61">
        <f>MIN(F108:F118)</f>
        <v>54259.95</v>
      </c>
      <c r="G6" s="65">
        <f>F1-G1</f>
        <v>55605.99834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31</v>
      </c>
      <c r="U6" s="96" t="str">
        <f t="shared" si="3"/>
        <v>#REF!</v>
      </c>
      <c r="V6" s="99" t="str">
        <f>U3*U5*U7</f>
        <v>#REF!</v>
      </c>
      <c r="W6" s="99" t="str">
        <f>V3*U6*U8</f>
        <v>#REF!</v>
      </c>
      <c r="X6" s="99"/>
      <c r="Y6" s="109"/>
      <c r="Z6" s="1"/>
      <c r="AA6" s="1"/>
      <c r="AB6" s="1"/>
      <c r="AC6" s="1"/>
    </row>
    <row r="7">
      <c r="A7" s="1"/>
      <c r="B7" s="7" t="s">
        <v>88</v>
      </c>
      <c r="C7" s="1">
        <f>max(C88:C118)</f>
        <v>739.5</v>
      </c>
      <c r="D7" s="1"/>
      <c r="E7" s="7" t="s">
        <v>88</v>
      </c>
      <c r="F7" s="1">
        <f>max(F88:F118)</f>
        <v>58024.95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7" t="s">
        <v>199</v>
      </c>
      <c r="U7" s="7">
        <v>550.0</v>
      </c>
      <c r="V7" s="1"/>
      <c r="W7" s="1"/>
      <c r="X7" s="1"/>
      <c r="Y7" s="1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717.3595238</v>
      </c>
      <c r="D8" s="1"/>
      <c r="E8" s="58" t="s">
        <v>90</v>
      </c>
      <c r="F8" s="107">
        <f>AVERAGE(F98:F118)</f>
        <v>55858.24286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7" t="s">
        <v>31</v>
      </c>
      <c r="U8" s="7">
        <v>15.0</v>
      </c>
      <c r="V8" s="1"/>
      <c r="W8" s="1"/>
      <c r="X8" s="1"/>
      <c r="Y8" s="1"/>
      <c r="Z8" s="1"/>
      <c r="AA8" s="1"/>
      <c r="AB8" s="1"/>
      <c r="AC8" s="1"/>
    </row>
    <row r="9">
      <c r="A9" s="1"/>
      <c r="B9" s="13" t="s">
        <v>68</v>
      </c>
      <c r="C9" s="1"/>
      <c r="D9" s="1"/>
      <c r="E9" s="13" t="s">
        <v>56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" t="str">
        <f>IFERROR(__xludf.DUMMYFUNCTION("GOOGLEFINANCE(B9,""price"",TODAY()-166,TODAY())"),"Date")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IFERROR(__xludf.DUMMYFUNCTION("GOOGLEFINANCE(E9,""price"",TODAY()-166,TODAY())"),"Date")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106</v>
      </c>
      <c r="M10" s="7" t="s">
        <v>107</v>
      </c>
      <c r="N10" s="7" t="s">
        <v>108</v>
      </c>
      <c r="O10" s="7" t="s">
        <v>109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">
        <v>29</v>
      </c>
      <c r="AA10" s="111" t="s">
        <v>110</v>
      </c>
      <c r="AB10" s="1"/>
      <c r="AC10" s="1"/>
    </row>
    <row r="11">
      <c r="A11" s="1"/>
      <c r="B11" s="112">
        <f>IFERROR(__xludf.DUMMYFUNCTION("""COMPUTED_VALUE"""),46146.64583333333)</f>
        <v>46146.64583</v>
      </c>
      <c r="C11" s="1">
        <f>IFERROR(__xludf.DUMMYFUNCTION("""COMPUTED_VALUE"""),779.4)</f>
        <v>779.4</v>
      </c>
      <c r="D11" s="1"/>
      <c r="E11" s="112">
        <f>IFERROR(__xludf.DUMMYFUNCTION("""COMPUTED_VALUE"""),46146.64583333333)</f>
        <v>46146.64583</v>
      </c>
      <c r="F11" s="1">
        <f>IFERROR(__xludf.DUMMYFUNCTION("""COMPUTED_VALUE"""),54878.5)</f>
        <v>54878.5</v>
      </c>
      <c r="G11" s="1"/>
      <c r="H11" s="29">
        <f t="shared" ref="H11:H118" si="4">C11/F11</f>
        <v>0.01420228323</v>
      </c>
      <c r="I11" s="1">
        <f t="shared" ref="I11:I118" si="5">C11-F11</f>
        <v>-54099.1</v>
      </c>
      <c r="J11" s="113">
        <f t="shared" ref="J11:J118" si="6">((I11-$I$129)/$I$130)</f>
        <v>1.048552311</v>
      </c>
      <c r="K11" s="29">
        <f t="shared" ref="K11:K117" si="7">C11/F11</f>
        <v>0.01420228323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 t="str">
        <f>V5-V6</f>
        <v>#REF!</v>
      </c>
      <c r="W11" s="120" t="str">
        <f>W6-W5</f>
        <v>#REF!</v>
      </c>
      <c r="X11" s="99" t="str">
        <f>V11+W11</f>
        <v>#REF!</v>
      </c>
      <c r="Y11" s="110" t="s">
        <v>101</v>
      </c>
      <c r="Z11" s="115">
        <f>AVERAGE(C88,C118)</f>
        <v>719.2</v>
      </c>
      <c r="AA11" s="115">
        <f>AVERAGE(F88,F118)</f>
        <v>56445.175</v>
      </c>
      <c r="AB11" s="1"/>
      <c r="AC11" s="1"/>
    </row>
    <row r="12">
      <c r="A12" s="1"/>
      <c r="B12" s="112">
        <f>IFERROR(__xludf.DUMMYFUNCTION("""COMPUTED_VALUE"""),46147.64583333333)</f>
        <v>46147.64583</v>
      </c>
      <c r="C12" s="1">
        <f>IFERROR(__xludf.DUMMYFUNCTION("""COMPUTED_VALUE"""),772.3)</f>
        <v>772.3</v>
      </c>
      <c r="D12" s="1"/>
      <c r="E12" s="112">
        <f>IFERROR(__xludf.DUMMYFUNCTION("""COMPUTED_VALUE"""),46147.64583333333)</f>
        <v>46147.64583</v>
      </c>
      <c r="F12" s="1">
        <f>IFERROR(__xludf.DUMMYFUNCTION("""COMPUTED_VALUE"""),54547.05)</f>
        <v>54547.05</v>
      </c>
      <c r="G12" s="1"/>
      <c r="H12" s="29">
        <f t="shared" si="4"/>
        <v>0.0141584192</v>
      </c>
      <c r="I12" s="1">
        <f t="shared" si="5"/>
        <v>-53774.75</v>
      </c>
      <c r="J12" s="113">
        <f t="shared" si="6"/>
        <v>1.264298021</v>
      </c>
      <c r="K12" s="29">
        <f t="shared" si="7"/>
        <v>0.0141584192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S2/3</f>
        <v>0.000371329506</v>
      </c>
      <c r="V12" s="1"/>
      <c r="W12" s="1"/>
      <c r="X12" s="1"/>
      <c r="Y12" s="110" t="s">
        <v>104</v>
      </c>
      <c r="Z12" s="115">
        <f>AVERAGE(C58,C118)</f>
        <v>768.2</v>
      </c>
      <c r="AA12" s="115">
        <f>AVERAGE(F58,F118)</f>
        <v>56587.15</v>
      </c>
      <c r="AB12" s="1"/>
      <c r="AC12" s="1"/>
    </row>
    <row r="13">
      <c r="A13" s="1"/>
      <c r="B13" s="112">
        <f>IFERROR(__xludf.DUMMYFUNCTION("""COMPUTED_VALUE"""),46148.64583333333)</f>
        <v>46148.64583</v>
      </c>
      <c r="C13" s="1">
        <f>IFERROR(__xludf.DUMMYFUNCTION("""COMPUTED_VALUE"""),796.55)</f>
        <v>796.55</v>
      </c>
      <c r="D13" s="1"/>
      <c r="E13" s="112">
        <f>IFERROR(__xludf.DUMMYFUNCTION("""COMPUTED_VALUE"""),46148.64583333333)</f>
        <v>46148.64583</v>
      </c>
      <c r="F13" s="1">
        <f>IFERROR(__xludf.DUMMYFUNCTION("""COMPUTED_VALUE"""),55981.05)</f>
        <v>55981.05</v>
      </c>
      <c r="G13" s="1"/>
      <c r="H13" s="29">
        <f t="shared" si="4"/>
        <v>0.01422892211</v>
      </c>
      <c r="I13" s="1">
        <f t="shared" si="5"/>
        <v>-55184.5</v>
      </c>
      <c r="J13" s="113">
        <f t="shared" si="6"/>
        <v>0.3265840852</v>
      </c>
      <c r="K13" s="29">
        <f t="shared" si="7"/>
        <v>0.01422892211</v>
      </c>
      <c r="L13" s="1"/>
      <c r="M13" s="1"/>
      <c r="N13" s="1"/>
      <c r="O13" s="25"/>
      <c r="P13" s="1"/>
      <c r="Q13" s="1"/>
      <c r="R13" s="1"/>
      <c r="S13" s="9"/>
      <c r="T13" s="117"/>
      <c r="U13" s="118" t="str">
        <f>(X11*U12)/S2</f>
        <v>#REF!</v>
      </c>
      <c r="V13" s="117"/>
      <c r="W13" s="117"/>
      <c r="X13" s="119" t="str">
        <f>X11/(R2/U12)</f>
        <v>#REF!</v>
      </c>
      <c r="Y13" s="110" t="s">
        <v>105</v>
      </c>
      <c r="Z13" s="115">
        <f>AVERAGE(C28,C118)</f>
        <v>735.05</v>
      </c>
      <c r="AA13" s="115">
        <f>AVERAGE(F28,F118)</f>
        <v>54991.125</v>
      </c>
      <c r="AB13" s="1"/>
      <c r="AC13" s="1"/>
    </row>
    <row r="14">
      <c r="A14" s="1"/>
      <c r="B14" s="112">
        <f>IFERROR(__xludf.DUMMYFUNCTION("""COMPUTED_VALUE"""),46149.64583333333)</f>
        <v>46149.64583</v>
      </c>
      <c r="C14" s="1">
        <f>IFERROR(__xludf.DUMMYFUNCTION("""COMPUTED_VALUE"""),796.05)</f>
        <v>796.05</v>
      </c>
      <c r="D14" s="1"/>
      <c r="E14" s="112">
        <f>IFERROR(__xludf.DUMMYFUNCTION("""COMPUTED_VALUE"""),46149.64583333333)</f>
        <v>46149.64583</v>
      </c>
      <c r="F14" s="1">
        <f>IFERROR(__xludf.DUMMYFUNCTION("""COMPUTED_VALUE"""),56047.4)</f>
        <v>56047.4</v>
      </c>
      <c r="G14" s="1"/>
      <c r="H14" s="29">
        <f t="shared" si="4"/>
        <v>0.01420315661</v>
      </c>
      <c r="I14" s="1">
        <f t="shared" si="5"/>
        <v>-55251.35</v>
      </c>
      <c r="J14" s="113">
        <f t="shared" si="6"/>
        <v>0.2821179198</v>
      </c>
      <c r="K14" s="29">
        <f t="shared" si="7"/>
        <v>0.01420315661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3"/>
      <c r="Z14" s="1"/>
      <c r="AA14" s="1"/>
      <c r="AB14" s="1"/>
      <c r="AC14" s="1"/>
    </row>
    <row r="15">
      <c r="A15" s="1"/>
      <c r="B15" s="112">
        <f>IFERROR(__xludf.DUMMYFUNCTION("""COMPUTED_VALUE"""),46150.64583333333)</f>
        <v>46150.64583</v>
      </c>
      <c r="C15" s="1">
        <f>IFERROR(__xludf.DUMMYFUNCTION("""COMPUTED_VALUE"""),780.85)</f>
        <v>780.85</v>
      </c>
      <c r="D15" s="1"/>
      <c r="E15" s="112">
        <f>IFERROR(__xludf.DUMMYFUNCTION("""COMPUTED_VALUE"""),46150.64583333333)</f>
        <v>46150.64583</v>
      </c>
      <c r="F15" s="1">
        <f>IFERROR(__xludf.DUMMYFUNCTION("""COMPUTED_VALUE"""),55310.55)</f>
        <v>55310.55</v>
      </c>
      <c r="G15" s="1"/>
      <c r="H15" s="29">
        <f t="shared" si="4"/>
        <v>0.01411755985</v>
      </c>
      <c r="I15" s="1">
        <f t="shared" si="5"/>
        <v>-54529.7</v>
      </c>
      <c r="J15" s="113">
        <f t="shared" si="6"/>
        <v>0.762133002</v>
      </c>
      <c r="K15" s="29">
        <f t="shared" si="7"/>
        <v>0.01411755985</v>
      </c>
      <c r="L15" s="1"/>
      <c r="M15" s="1"/>
      <c r="N15" s="1"/>
      <c r="O15" s="1"/>
      <c r="P15" s="1"/>
      <c r="Q15" s="1"/>
      <c r="R15" s="1"/>
      <c r="S15" s="123"/>
      <c r="T15" s="123"/>
      <c r="U15" s="123"/>
      <c r="V15" s="123"/>
      <c r="W15" s="123"/>
      <c r="X15" s="123"/>
      <c r="Y15" s="123"/>
      <c r="Z15" s="1"/>
      <c r="AA15" s="1"/>
      <c r="AB15" s="1"/>
      <c r="AC15" s="1"/>
    </row>
    <row r="16">
      <c r="A16" s="1"/>
      <c r="B16" s="112">
        <f>IFERROR(__xludf.DUMMYFUNCTION("""COMPUTED_VALUE"""),46153.64583333333)</f>
        <v>46153.64583</v>
      </c>
      <c r="C16" s="1">
        <f>IFERROR(__xludf.DUMMYFUNCTION("""COMPUTED_VALUE"""),763.65)</f>
        <v>763.65</v>
      </c>
      <c r="D16" s="1"/>
      <c r="E16" s="112">
        <f>IFERROR(__xludf.DUMMYFUNCTION("""COMPUTED_VALUE"""),46153.64583333333)</f>
        <v>46153.64583</v>
      </c>
      <c r="F16" s="1">
        <f>IFERROR(__xludf.DUMMYFUNCTION("""COMPUTED_VALUE"""),54439.9)</f>
        <v>54439.9</v>
      </c>
      <c r="G16" s="1"/>
      <c r="H16" s="29">
        <f t="shared" si="4"/>
        <v>0.01402739535</v>
      </c>
      <c r="I16" s="1">
        <f t="shared" si="5"/>
        <v>-53676.25</v>
      </c>
      <c r="J16" s="113">
        <f t="shared" si="6"/>
        <v>1.329816605</v>
      </c>
      <c r="K16" s="29">
        <f t="shared" si="7"/>
        <v>0.01402739535</v>
      </c>
      <c r="L16" s="1"/>
      <c r="M16" s="1"/>
      <c r="N16" s="1"/>
      <c r="O16" s="1"/>
      <c r="P16" s="1"/>
      <c r="Q16" s="1"/>
      <c r="R16" s="1"/>
      <c r="S16" s="117"/>
      <c r="T16" s="125"/>
      <c r="U16" s="126"/>
      <c r="V16" s="123"/>
      <c r="W16" s="123"/>
      <c r="X16" s="123"/>
      <c r="Y16" s="123"/>
      <c r="Z16" s="1"/>
      <c r="AA16" s="1"/>
      <c r="AB16" s="1"/>
      <c r="AC16" s="1"/>
    </row>
    <row r="17">
      <c r="A17" s="1"/>
      <c r="B17" s="112">
        <f>IFERROR(__xludf.DUMMYFUNCTION("""COMPUTED_VALUE"""),46154.64583333333)</f>
        <v>46154.64583</v>
      </c>
      <c r="C17" s="1">
        <f>IFERROR(__xludf.DUMMYFUNCTION("""COMPUTED_VALUE"""),750.45)</f>
        <v>750.45</v>
      </c>
      <c r="D17" s="1"/>
      <c r="E17" s="112">
        <f>IFERROR(__xludf.DUMMYFUNCTION("""COMPUTED_VALUE"""),46154.64583333333)</f>
        <v>46154.64583</v>
      </c>
      <c r="F17" s="1">
        <f>IFERROR(__xludf.DUMMYFUNCTION("""COMPUTED_VALUE"""),53555.2)</f>
        <v>53555.2</v>
      </c>
      <c r="G17" s="1"/>
      <c r="H17" s="29">
        <f t="shared" si="4"/>
        <v>0.0140126449</v>
      </c>
      <c r="I17" s="1">
        <f t="shared" si="5"/>
        <v>-52804.75</v>
      </c>
      <c r="J17" s="113">
        <f t="shared" si="6"/>
        <v>1.909506404</v>
      </c>
      <c r="K17" s="29">
        <f t="shared" si="7"/>
        <v>0.0140126449</v>
      </c>
      <c r="L17" s="1"/>
      <c r="M17" s="1"/>
      <c r="N17" s="1"/>
      <c r="O17" s="1"/>
      <c r="P17" s="1"/>
      <c r="Q17" s="1"/>
      <c r="R17" s="1"/>
      <c r="S17" s="123"/>
      <c r="T17" s="123"/>
      <c r="U17" s="123"/>
      <c r="V17" s="123"/>
      <c r="W17" s="123"/>
      <c r="X17" s="123"/>
      <c r="Y17" s="123"/>
      <c r="Z17" s="1"/>
      <c r="AA17" s="1"/>
      <c r="AB17" s="1"/>
      <c r="AC17" s="1"/>
    </row>
    <row r="18">
      <c r="A18" s="1"/>
      <c r="B18" s="112">
        <f>IFERROR(__xludf.DUMMYFUNCTION("""COMPUTED_VALUE"""),46155.64583333333)</f>
        <v>46155.64583</v>
      </c>
      <c r="C18" s="1">
        <f>IFERROR(__xludf.DUMMYFUNCTION("""COMPUTED_VALUE"""),749.6)</f>
        <v>749.6</v>
      </c>
      <c r="D18" s="1"/>
      <c r="E18" s="112">
        <f>IFERROR(__xludf.DUMMYFUNCTION("""COMPUTED_VALUE"""),46155.64583333333)</f>
        <v>46155.64583</v>
      </c>
      <c r="F18" s="1">
        <f>IFERROR(__xludf.DUMMYFUNCTION("""COMPUTED_VALUE"""),53456.15)</f>
        <v>53456.15</v>
      </c>
      <c r="G18" s="1"/>
      <c r="H18" s="29">
        <f t="shared" si="4"/>
        <v>0.01402270833</v>
      </c>
      <c r="I18" s="1">
        <f t="shared" si="5"/>
        <v>-52706.55</v>
      </c>
      <c r="J18" s="113">
        <f t="shared" si="6"/>
        <v>1.974825439</v>
      </c>
      <c r="K18" s="29">
        <f t="shared" si="7"/>
        <v>0.01402270833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IFERROR(__xludf.DUMMYFUNCTION("""COMPUTED_VALUE"""),46156.64583333333)</f>
        <v>46156.64583</v>
      </c>
      <c r="C19" s="1">
        <f>IFERROR(__xludf.DUMMYFUNCTION("""COMPUTED_VALUE"""),769.55)</f>
        <v>769.55</v>
      </c>
      <c r="D19" s="1"/>
      <c r="E19" s="112">
        <f>IFERROR(__xludf.DUMMYFUNCTION("""COMPUTED_VALUE"""),46156.64583333333)</f>
        <v>46156.64583</v>
      </c>
      <c r="F19" s="1">
        <f>IFERROR(__xludf.DUMMYFUNCTION("""COMPUTED_VALUE"""),54128.95)</f>
        <v>54128.95</v>
      </c>
      <c r="G19" s="1"/>
      <c r="H19" s="29">
        <f t="shared" si="4"/>
        <v>0.01421697631</v>
      </c>
      <c r="I19" s="1">
        <f t="shared" si="5"/>
        <v>-53359.4</v>
      </c>
      <c r="J19" s="113">
        <f t="shared" si="6"/>
        <v>1.54057359</v>
      </c>
      <c r="K19" s="29">
        <f t="shared" si="7"/>
        <v>0.01421697631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IFERROR(__xludf.DUMMYFUNCTION("""COMPUTED_VALUE"""),46157.64583333333)</f>
        <v>46157.64583</v>
      </c>
      <c r="C20" s="1">
        <f>IFERROR(__xludf.DUMMYFUNCTION("""COMPUTED_VALUE"""),767.5)</f>
        <v>767.5</v>
      </c>
      <c r="D20" s="1"/>
      <c r="E20" s="112">
        <f>IFERROR(__xludf.DUMMYFUNCTION("""COMPUTED_VALUE"""),46157.64583333333)</f>
        <v>46157.64583</v>
      </c>
      <c r="F20" s="1">
        <f>IFERROR(__xludf.DUMMYFUNCTION("""COMPUTED_VALUE"""),53710.35)</f>
        <v>53710.35</v>
      </c>
      <c r="G20" s="1"/>
      <c r="H20" s="29">
        <f t="shared" si="4"/>
        <v>0.01428961085</v>
      </c>
      <c r="I20" s="1">
        <f t="shared" si="5"/>
        <v>-52942.85</v>
      </c>
      <c r="J20" s="113">
        <f t="shared" si="6"/>
        <v>1.817647355</v>
      </c>
      <c r="K20" s="29">
        <f t="shared" si="7"/>
        <v>0.01428961085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IFERROR(__xludf.DUMMYFUNCTION("""COMPUTED_VALUE"""),46160.64583333333)</f>
        <v>46160.64583</v>
      </c>
      <c r="C21" s="1">
        <f>IFERROR(__xludf.DUMMYFUNCTION("""COMPUTED_VALUE"""),768.65)</f>
        <v>768.65</v>
      </c>
      <c r="D21" s="1"/>
      <c r="E21" s="112">
        <f>IFERROR(__xludf.DUMMYFUNCTION("""COMPUTED_VALUE"""),46160.64583333333)</f>
        <v>46160.64583</v>
      </c>
      <c r="F21" s="1">
        <f>IFERROR(__xludf.DUMMYFUNCTION("""COMPUTED_VALUE"""),53537.0)</f>
        <v>53537</v>
      </c>
      <c r="G21" s="1"/>
      <c r="H21" s="29">
        <f t="shared" si="4"/>
        <v>0.01435736033</v>
      </c>
      <c r="I21" s="1">
        <f t="shared" si="5"/>
        <v>-52768.35</v>
      </c>
      <c r="J21" s="113">
        <f t="shared" si="6"/>
        <v>1.933718348</v>
      </c>
      <c r="K21" s="29">
        <f t="shared" si="7"/>
        <v>0.01435736033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IFERROR(__xludf.DUMMYFUNCTION("""COMPUTED_VALUE"""),46161.64583333333)</f>
        <v>46161.64583</v>
      </c>
      <c r="C22" s="1">
        <f>IFERROR(__xludf.DUMMYFUNCTION("""COMPUTED_VALUE"""),762.45)</f>
        <v>762.45</v>
      </c>
      <c r="D22" s="1"/>
      <c r="E22" s="112">
        <f>IFERROR(__xludf.DUMMYFUNCTION("""COMPUTED_VALUE"""),46161.64583333333)</f>
        <v>46161.64583</v>
      </c>
      <c r="F22" s="1">
        <f>IFERROR(__xludf.DUMMYFUNCTION("""COMPUTED_VALUE"""),53409.15)</f>
        <v>53409.15</v>
      </c>
      <c r="G22" s="1"/>
      <c r="H22" s="29">
        <f t="shared" si="4"/>
        <v>0.01427564378</v>
      </c>
      <c r="I22" s="1">
        <f t="shared" si="5"/>
        <v>-52646.7</v>
      </c>
      <c r="J22" s="113">
        <f t="shared" si="6"/>
        <v>2.014635461</v>
      </c>
      <c r="K22" s="29">
        <f t="shared" si="7"/>
        <v>0.01427564378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IFERROR(__xludf.DUMMYFUNCTION("""COMPUTED_VALUE"""),46162.64583333333)</f>
        <v>46162.64583</v>
      </c>
      <c r="C23" s="1">
        <f>IFERROR(__xludf.DUMMYFUNCTION("""COMPUTED_VALUE"""),759.5)</f>
        <v>759.5</v>
      </c>
      <c r="D23" s="1"/>
      <c r="E23" s="112">
        <f>IFERROR(__xludf.DUMMYFUNCTION("""COMPUTED_VALUE"""),46162.64583333333)</f>
        <v>46162.64583</v>
      </c>
      <c r="F23" s="1">
        <f>IFERROR(__xludf.DUMMYFUNCTION("""COMPUTED_VALUE"""),53562.2)</f>
        <v>53562.2</v>
      </c>
      <c r="G23" s="1"/>
      <c r="H23" s="29">
        <f t="shared" si="4"/>
        <v>0.01417977604</v>
      </c>
      <c r="I23" s="1">
        <f t="shared" si="5"/>
        <v>-52802.7</v>
      </c>
      <c r="J23" s="113">
        <f t="shared" si="6"/>
        <v>1.910869989</v>
      </c>
      <c r="K23" s="29">
        <f t="shared" si="7"/>
        <v>0.01417977604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IFERROR(__xludf.DUMMYFUNCTION("""COMPUTED_VALUE"""),46163.64583333333)</f>
        <v>46163.64583</v>
      </c>
      <c r="C24" s="1">
        <f>IFERROR(__xludf.DUMMYFUNCTION("""COMPUTED_VALUE"""),759.15)</f>
        <v>759.15</v>
      </c>
      <c r="D24" s="1"/>
      <c r="E24" s="112">
        <f>IFERROR(__xludf.DUMMYFUNCTION("""COMPUTED_VALUE"""),46163.64583333333)</f>
        <v>46163.64583</v>
      </c>
      <c r="F24" s="1">
        <f>IFERROR(__xludf.DUMMYFUNCTION("""COMPUTED_VALUE"""),53439.4)</f>
        <v>53439.4</v>
      </c>
      <c r="G24" s="1"/>
      <c r="H24" s="29">
        <f t="shared" si="4"/>
        <v>0.01420581069</v>
      </c>
      <c r="I24" s="1">
        <f t="shared" si="5"/>
        <v>-52680.25</v>
      </c>
      <c r="J24" s="113">
        <f t="shared" si="6"/>
        <v>1.992319233</v>
      </c>
      <c r="K24" s="29">
        <f t="shared" si="7"/>
        <v>0.01420581069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IFERROR(__xludf.DUMMYFUNCTION("""COMPUTED_VALUE"""),46164.64583333333)</f>
        <v>46164.64583</v>
      </c>
      <c r="C25" s="1">
        <f>IFERROR(__xludf.DUMMYFUNCTION("""COMPUTED_VALUE"""),766.8)</f>
        <v>766.8</v>
      </c>
      <c r="D25" s="1"/>
      <c r="E25" s="112">
        <f>IFERROR(__xludf.DUMMYFUNCTION("""COMPUTED_VALUE"""),46164.64583333333)</f>
        <v>46164.64583</v>
      </c>
      <c r="F25" s="1">
        <f>IFERROR(__xludf.DUMMYFUNCTION("""COMPUTED_VALUE"""),54055.35)</f>
        <v>54055.35</v>
      </c>
      <c r="G25" s="1"/>
      <c r="H25" s="29">
        <f t="shared" si="4"/>
        <v>0.0141854599</v>
      </c>
      <c r="I25" s="1">
        <f t="shared" si="5"/>
        <v>-53288.55</v>
      </c>
      <c r="J25" s="113">
        <f t="shared" si="6"/>
        <v>1.587700409</v>
      </c>
      <c r="K25" s="29">
        <f t="shared" si="7"/>
        <v>0.0141854599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IFERROR(__xludf.DUMMYFUNCTION("""COMPUTED_VALUE"""),46167.64583333333)</f>
        <v>46167.64583</v>
      </c>
      <c r="C26" s="1">
        <f>IFERROR(__xludf.DUMMYFUNCTION("""COMPUTED_VALUE"""),786.85)</f>
        <v>786.85</v>
      </c>
      <c r="D26" s="1"/>
      <c r="E26" s="112">
        <f>IFERROR(__xludf.DUMMYFUNCTION("""COMPUTED_VALUE"""),46167.64583333333)</f>
        <v>46167.64583</v>
      </c>
      <c r="F26" s="1">
        <f>IFERROR(__xludf.DUMMYFUNCTION("""COMPUTED_VALUE"""),55293.65)</f>
        <v>55293.65</v>
      </c>
      <c r="G26" s="1"/>
      <c r="H26" s="29">
        <f t="shared" si="4"/>
        <v>0.01423038631</v>
      </c>
      <c r="I26" s="1">
        <f t="shared" si="5"/>
        <v>-54506.8</v>
      </c>
      <c r="J26" s="113">
        <f t="shared" si="6"/>
        <v>0.7773652411</v>
      </c>
      <c r="K26" s="29">
        <f t="shared" si="7"/>
        <v>0.01423038631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IFERROR(__xludf.DUMMYFUNCTION("""COMPUTED_VALUE"""),46168.64583333333)</f>
        <v>46168.64583</v>
      </c>
      <c r="C27" s="1">
        <f>IFERROR(__xludf.DUMMYFUNCTION("""COMPUTED_VALUE"""),778.9)</f>
        <v>778.9</v>
      </c>
      <c r="D27" s="1"/>
      <c r="E27" s="112">
        <f>IFERROR(__xludf.DUMMYFUNCTION("""COMPUTED_VALUE"""),46168.64583333333)</f>
        <v>46168.64583</v>
      </c>
      <c r="F27" s="1">
        <f>IFERROR(__xludf.DUMMYFUNCTION("""COMPUTED_VALUE"""),55092.9)</f>
        <v>55092.9</v>
      </c>
      <c r="G27" s="1"/>
      <c r="H27" s="29">
        <f t="shared" si="4"/>
        <v>0.01413793792</v>
      </c>
      <c r="I27" s="1">
        <f t="shared" si="5"/>
        <v>-54314</v>
      </c>
      <c r="J27" s="113">
        <f t="shared" si="6"/>
        <v>0.9056087218</v>
      </c>
      <c r="K27" s="29">
        <f t="shared" si="7"/>
        <v>0.01413793792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0.01271689877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IFERROR(__xludf.DUMMYFUNCTION("""COMPUTED_VALUE"""),46169.64583333333)</f>
        <v>46169.64583</v>
      </c>
      <c r="C28" s="1">
        <f>IFERROR(__xludf.DUMMYFUNCTION("""COMPUTED_VALUE"""),758.65)</f>
        <v>758.65</v>
      </c>
      <c r="D28" s="1"/>
      <c r="E28" s="112">
        <f>IFERROR(__xludf.DUMMYFUNCTION("""COMPUTED_VALUE"""),46169.64583333333)</f>
        <v>46169.64583</v>
      </c>
      <c r="F28" s="1">
        <f>IFERROR(__xludf.DUMMYFUNCTION("""COMPUTED_VALUE"""),54853.85)</f>
        <v>54853.85</v>
      </c>
      <c r="G28" s="1"/>
      <c r="H28" s="29">
        <f t="shared" si="4"/>
        <v>0.01383038748</v>
      </c>
      <c r="I28" s="1">
        <f t="shared" si="5"/>
        <v>-54095.2</v>
      </c>
      <c r="J28" s="113">
        <f t="shared" si="6"/>
        <v>1.051146448</v>
      </c>
      <c r="K28" s="29">
        <f t="shared" si="7"/>
        <v>0.01383038748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0.01331921611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IFERROR(__xludf.DUMMYFUNCTION("""COMPUTED_VALUE"""),46171.64583333333)</f>
        <v>46171.64583</v>
      </c>
      <c r="C29" s="1">
        <f>IFERROR(__xludf.DUMMYFUNCTION("""COMPUTED_VALUE"""),744.55)</f>
        <v>744.55</v>
      </c>
      <c r="D29" s="1"/>
      <c r="E29" s="112">
        <f>IFERROR(__xludf.DUMMYFUNCTION("""COMPUTED_VALUE"""),46171.64583333333)</f>
        <v>46171.64583</v>
      </c>
      <c r="F29" s="1">
        <f>IFERROR(__xludf.DUMMYFUNCTION("""COMPUTED_VALUE"""),54239.2)</f>
        <v>54239.2</v>
      </c>
      <c r="G29" s="1"/>
      <c r="H29" s="29">
        <f t="shared" si="4"/>
        <v>0.01372715674</v>
      </c>
      <c r="I29" s="1">
        <f t="shared" si="5"/>
        <v>-53494.65</v>
      </c>
      <c r="J29" s="113">
        <f t="shared" si="6"/>
        <v>1.450610257</v>
      </c>
      <c r="K29" s="29">
        <f t="shared" si="7"/>
        <v>0.01372715674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IFERROR(__xludf.DUMMYFUNCTION("""COMPUTED_VALUE"""),46174.64583333333)</f>
        <v>46174.64583</v>
      </c>
      <c r="C30" s="1">
        <f>IFERROR(__xludf.DUMMYFUNCTION("""COMPUTED_VALUE"""),742.7)</f>
        <v>742.7</v>
      </c>
      <c r="D30" s="1"/>
      <c r="E30" s="112">
        <f>IFERROR(__xludf.DUMMYFUNCTION("""COMPUTED_VALUE"""),46174.64583333333)</f>
        <v>46174.64583</v>
      </c>
      <c r="F30" s="1">
        <f>IFERROR(__xludf.DUMMYFUNCTION("""COMPUTED_VALUE"""),53643.1)</f>
        <v>53643.1</v>
      </c>
      <c r="G30" s="1"/>
      <c r="H30" s="29">
        <f t="shared" si="4"/>
        <v>0.01384521029</v>
      </c>
      <c r="I30" s="1">
        <f t="shared" si="5"/>
        <v>-52900.4</v>
      </c>
      <c r="J30" s="113">
        <f t="shared" si="6"/>
        <v>1.845883537</v>
      </c>
      <c r="K30" s="29">
        <f t="shared" si="7"/>
        <v>0.01384521029</v>
      </c>
      <c r="L30" s="1">
        <f t="shared" ref="L30:L118" si="8">AVERAGE(C11:C30)</f>
        <v>767.705</v>
      </c>
      <c r="M30" s="25">
        <f t="shared" ref="M30:M118" si="9">(C30-L30)/C30</f>
        <v>-0.03366769894</v>
      </c>
      <c r="N30" s="65">
        <f t="shared" ref="N30:N118" si="10">AVERAGE(F11:F30)</f>
        <v>54359.045</v>
      </c>
      <c r="O30" s="25">
        <f t="shared" ref="O30:O118" si="11">(F30-N30)/F30</f>
        <v>-0.01334645089</v>
      </c>
      <c r="P30" s="25">
        <f t="shared" ref="P30:P118" si="12">M30-O30</f>
        <v>-0.02032124804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IFERROR(__xludf.DUMMYFUNCTION("""COMPUTED_VALUE"""),46175.64583333333)</f>
        <v>46175.64583</v>
      </c>
      <c r="C31" s="1">
        <f>IFERROR(__xludf.DUMMYFUNCTION("""COMPUTED_VALUE"""),748.25)</f>
        <v>748.25</v>
      </c>
      <c r="D31" s="1"/>
      <c r="E31" s="112">
        <f>IFERROR(__xludf.DUMMYFUNCTION("""COMPUTED_VALUE"""),46175.64583333333)</f>
        <v>46175.64583</v>
      </c>
      <c r="F31" s="1">
        <f>IFERROR(__xludf.DUMMYFUNCTION("""COMPUTED_VALUE"""),53714.65)</f>
        <v>53714.65</v>
      </c>
      <c r="G31" s="1"/>
      <c r="H31" s="29">
        <f t="shared" si="4"/>
        <v>0.0139300917</v>
      </c>
      <c r="I31" s="1">
        <f t="shared" si="5"/>
        <v>-52966.4</v>
      </c>
      <c r="J31" s="113">
        <f t="shared" si="6"/>
        <v>1.80198276</v>
      </c>
      <c r="K31" s="29">
        <f t="shared" si="7"/>
        <v>0.0139300917</v>
      </c>
      <c r="L31" s="65">
        <f t="shared" si="8"/>
        <v>766.1475</v>
      </c>
      <c r="M31" s="25">
        <f t="shared" si="9"/>
        <v>-0.02391914467</v>
      </c>
      <c r="N31" s="65">
        <f t="shared" si="10"/>
        <v>54300.8525</v>
      </c>
      <c r="O31" s="25">
        <f t="shared" si="11"/>
        <v>-0.0109132704</v>
      </c>
      <c r="P31" s="25">
        <f t="shared" si="12"/>
        <v>-0.01300587427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IFERROR(__xludf.DUMMYFUNCTION("""COMPUTED_VALUE"""),46176.64583333333)</f>
        <v>46176.64583</v>
      </c>
      <c r="C32" s="1">
        <f>IFERROR(__xludf.DUMMYFUNCTION("""COMPUTED_VALUE"""),753.65)</f>
        <v>753.65</v>
      </c>
      <c r="D32" s="1"/>
      <c r="E32" s="112">
        <f>IFERROR(__xludf.DUMMYFUNCTION("""COMPUTED_VALUE"""),46176.64583333333)</f>
        <v>46176.64583</v>
      </c>
      <c r="F32" s="1">
        <f>IFERROR(__xludf.DUMMYFUNCTION("""COMPUTED_VALUE"""),54185.95)</f>
        <v>54185.95</v>
      </c>
      <c r="G32" s="1"/>
      <c r="H32" s="29">
        <f t="shared" si="4"/>
        <v>0.013908587</v>
      </c>
      <c r="I32" s="1">
        <f t="shared" si="5"/>
        <v>-53432.3</v>
      </c>
      <c r="J32" s="113">
        <f t="shared" si="6"/>
        <v>1.492083187</v>
      </c>
      <c r="K32" s="29">
        <f t="shared" si="7"/>
        <v>0.013908587</v>
      </c>
      <c r="L32" s="65">
        <f t="shared" si="8"/>
        <v>765.215</v>
      </c>
      <c r="M32" s="25">
        <f t="shared" si="9"/>
        <v>-0.01534531945</v>
      </c>
      <c r="N32" s="65">
        <f t="shared" si="10"/>
        <v>54282.7975</v>
      </c>
      <c r="O32" s="25">
        <f t="shared" si="11"/>
        <v>-0.001787317561</v>
      </c>
      <c r="P32" s="25">
        <f t="shared" si="12"/>
        <v>-0.01355800188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IFERROR(__xludf.DUMMYFUNCTION("""COMPUTED_VALUE"""),46177.64583333333)</f>
        <v>46177.64583</v>
      </c>
      <c r="C33" s="1">
        <f>IFERROR(__xludf.DUMMYFUNCTION("""COMPUTED_VALUE"""),754.2)</f>
        <v>754.2</v>
      </c>
      <c r="D33" s="1"/>
      <c r="E33" s="112">
        <f>IFERROR(__xludf.DUMMYFUNCTION("""COMPUTED_VALUE"""),46177.64583333333)</f>
        <v>46177.64583</v>
      </c>
      <c r="F33" s="1">
        <f>IFERROR(__xludf.DUMMYFUNCTION("""COMPUTED_VALUE"""),54307.85)</f>
        <v>54307.85</v>
      </c>
      <c r="G33" s="1"/>
      <c r="H33" s="29">
        <f t="shared" si="4"/>
        <v>0.01388749509</v>
      </c>
      <c r="I33" s="1">
        <f t="shared" si="5"/>
        <v>-53553.65</v>
      </c>
      <c r="J33" s="113">
        <f t="shared" si="6"/>
        <v>1.411365623</v>
      </c>
      <c r="K33" s="29">
        <f t="shared" si="7"/>
        <v>0.01388749509</v>
      </c>
      <c r="L33" s="65">
        <f t="shared" si="8"/>
        <v>763.0975</v>
      </c>
      <c r="M33" s="25">
        <f t="shared" si="9"/>
        <v>-0.01179726863</v>
      </c>
      <c r="N33" s="65">
        <f t="shared" si="10"/>
        <v>54199.1375</v>
      </c>
      <c r="O33" s="25">
        <f t="shared" si="11"/>
        <v>0.002001782431</v>
      </c>
      <c r="P33" s="25">
        <f t="shared" si="12"/>
        <v>-0.01379905106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IFERROR(__xludf.DUMMYFUNCTION("""COMPUTED_VALUE"""),46178.64583333333)</f>
        <v>46178.64583</v>
      </c>
      <c r="C34" s="1">
        <f>IFERROR(__xludf.DUMMYFUNCTION("""COMPUTED_VALUE"""),747.05)</f>
        <v>747.05</v>
      </c>
      <c r="D34" s="1"/>
      <c r="E34" s="112">
        <f>IFERROR(__xludf.DUMMYFUNCTION("""COMPUTED_VALUE"""),46178.64583333333)</f>
        <v>46178.64583</v>
      </c>
      <c r="F34" s="1">
        <f>IFERROR(__xludf.DUMMYFUNCTION("""COMPUTED_VALUE"""),54496.25)</f>
        <v>54496.25</v>
      </c>
      <c r="G34" s="1"/>
      <c r="H34" s="29">
        <f t="shared" si="4"/>
        <v>0.01370828268</v>
      </c>
      <c r="I34" s="1">
        <f t="shared" si="5"/>
        <v>-53749.2</v>
      </c>
      <c r="J34" s="113">
        <f t="shared" si="6"/>
        <v>1.281292943</v>
      </c>
      <c r="K34" s="29">
        <f t="shared" si="7"/>
        <v>0.01370828268</v>
      </c>
      <c r="L34" s="65">
        <f t="shared" si="8"/>
        <v>760.6475</v>
      </c>
      <c r="M34" s="25">
        <f t="shared" si="9"/>
        <v>-0.01820159293</v>
      </c>
      <c r="N34" s="65">
        <f t="shared" si="10"/>
        <v>54121.58</v>
      </c>
      <c r="O34" s="25">
        <f t="shared" si="11"/>
        <v>0.00687515196</v>
      </c>
      <c r="P34" s="25">
        <f t="shared" si="12"/>
        <v>-0.02507674489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IFERROR(__xludf.DUMMYFUNCTION("""COMPUTED_VALUE"""),46181.64583333333)</f>
        <v>46181.64583</v>
      </c>
      <c r="C35" s="1">
        <f>IFERROR(__xludf.DUMMYFUNCTION("""COMPUTED_VALUE"""),738.65)</f>
        <v>738.65</v>
      </c>
      <c r="D35" s="1"/>
      <c r="E35" s="112">
        <f>IFERROR(__xludf.DUMMYFUNCTION("""COMPUTED_VALUE"""),46181.64583333333)</f>
        <v>46181.64583</v>
      </c>
      <c r="F35" s="1">
        <f>IFERROR(__xludf.DUMMYFUNCTION("""COMPUTED_VALUE"""),54063.75)</f>
        <v>54063.75</v>
      </c>
      <c r="G35" s="1"/>
      <c r="H35" s="29">
        <f t="shared" si="4"/>
        <v>0.01366257428</v>
      </c>
      <c r="I35" s="1">
        <f t="shared" si="5"/>
        <v>-53325.1</v>
      </c>
      <c r="J35" s="113">
        <f t="shared" si="6"/>
        <v>1.563388691</v>
      </c>
      <c r="K35" s="29">
        <f t="shared" si="7"/>
        <v>0.01366257428</v>
      </c>
      <c r="L35" s="65">
        <f t="shared" si="8"/>
        <v>758.5375</v>
      </c>
      <c r="M35" s="25">
        <f t="shared" si="9"/>
        <v>-0.02692411832</v>
      </c>
      <c r="N35" s="65">
        <f t="shared" si="10"/>
        <v>54059.24</v>
      </c>
      <c r="O35" s="25">
        <f t="shared" si="11"/>
        <v>0.00008342003653</v>
      </c>
      <c r="P35" s="25">
        <f t="shared" si="12"/>
        <v>-0.02700753836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IFERROR(__xludf.DUMMYFUNCTION("""COMPUTED_VALUE"""),46182.64583333333)</f>
        <v>46182.64583</v>
      </c>
      <c r="C36" s="1">
        <f>IFERROR(__xludf.DUMMYFUNCTION("""COMPUTED_VALUE"""),738.35)</f>
        <v>738.35</v>
      </c>
      <c r="D36" s="1"/>
      <c r="E36" s="112">
        <f>IFERROR(__xludf.DUMMYFUNCTION("""COMPUTED_VALUE"""),46182.64583333333)</f>
        <v>46182.64583</v>
      </c>
      <c r="F36" s="1">
        <f>IFERROR(__xludf.DUMMYFUNCTION("""COMPUTED_VALUE"""),55194.5)</f>
        <v>55194.5</v>
      </c>
      <c r="G36" s="1"/>
      <c r="H36" s="29">
        <f t="shared" si="4"/>
        <v>0.01337723867</v>
      </c>
      <c r="I36" s="1">
        <f t="shared" si="5"/>
        <v>-54456.15</v>
      </c>
      <c r="J36" s="113">
        <f t="shared" si="6"/>
        <v>0.8110557613</v>
      </c>
      <c r="K36" s="29">
        <f t="shared" si="7"/>
        <v>0.01337723867</v>
      </c>
      <c r="L36" s="65">
        <f t="shared" si="8"/>
        <v>757.2725</v>
      </c>
      <c r="M36" s="25">
        <f t="shared" si="9"/>
        <v>-0.02562808966</v>
      </c>
      <c r="N36" s="65">
        <f t="shared" si="10"/>
        <v>54096.97</v>
      </c>
      <c r="O36" s="25">
        <f t="shared" si="11"/>
        <v>0.01988477113</v>
      </c>
      <c r="P36" s="25">
        <f t="shared" si="12"/>
        <v>-0.04551286079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IFERROR(__xludf.DUMMYFUNCTION("""COMPUTED_VALUE"""),46183.64583333333)</f>
        <v>46183.64583</v>
      </c>
      <c r="C37" s="1">
        <f>IFERROR(__xludf.DUMMYFUNCTION("""COMPUTED_VALUE"""),746.85)</f>
        <v>746.85</v>
      </c>
      <c r="D37" s="1"/>
      <c r="E37" s="112">
        <f>IFERROR(__xludf.DUMMYFUNCTION("""COMPUTED_VALUE"""),46183.64583333333)</f>
        <v>46183.64583</v>
      </c>
      <c r="F37" s="1">
        <f>IFERROR(__xludf.DUMMYFUNCTION("""COMPUTED_VALUE"""),55100.3)</f>
        <v>55100.3</v>
      </c>
      <c r="G37" s="1"/>
      <c r="H37" s="29">
        <f t="shared" si="4"/>
        <v>0.01355437266</v>
      </c>
      <c r="I37" s="1">
        <f t="shared" si="5"/>
        <v>-54353.45</v>
      </c>
      <c r="J37" s="113">
        <f t="shared" si="6"/>
        <v>0.8793680303</v>
      </c>
      <c r="K37" s="29">
        <f t="shared" si="7"/>
        <v>0.01355437266</v>
      </c>
      <c r="L37" s="65">
        <f t="shared" si="8"/>
        <v>757.0925</v>
      </c>
      <c r="M37" s="25">
        <f t="shared" si="9"/>
        <v>-0.01371426659</v>
      </c>
      <c r="N37" s="65">
        <f t="shared" si="10"/>
        <v>54174.225</v>
      </c>
      <c r="O37" s="25">
        <f t="shared" si="11"/>
        <v>0.01680707728</v>
      </c>
      <c r="P37" s="25">
        <f t="shared" si="12"/>
        <v>-0.03052134386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IFERROR(__xludf.DUMMYFUNCTION("""COMPUTED_VALUE"""),46184.64583333333)</f>
        <v>46184.64583</v>
      </c>
      <c r="C38" s="1">
        <f>IFERROR(__xludf.DUMMYFUNCTION("""COMPUTED_VALUE"""),744.6)</f>
        <v>744.6</v>
      </c>
      <c r="D38" s="1"/>
      <c r="E38" s="112">
        <f>IFERROR(__xludf.DUMMYFUNCTION("""COMPUTED_VALUE"""),46184.64583333333)</f>
        <v>46184.64583</v>
      </c>
      <c r="F38" s="1">
        <f>IFERROR(__xludf.DUMMYFUNCTION("""COMPUTED_VALUE"""),55176.75)</f>
        <v>55176.75</v>
      </c>
      <c r="G38" s="1"/>
      <c r="H38" s="29">
        <f t="shared" si="4"/>
        <v>0.01349481439</v>
      </c>
      <c r="I38" s="1">
        <f t="shared" si="5"/>
        <v>-54432.15</v>
      </c>
      <c r="J38" s="113">
        <f t="shared" si="6"/>
        <v>0.8270196801</v>
      </c>
      <c r="K38" s="29">
        <f t="shared" si="7"/>
        <v>0.01349481439</v>
      </c>
      <c r="L38" s="65">
        <f t="shared" si="8"/>
        <v>756.8425</v>
      </c>
      <c r="M38" s="25">
        <f t="shared" si="9"/>
        <v>-0.01644171367</v>
      </c>
      <c r="N38" s="65">
        <f t="shared" si="10"/>
        <v>54260.255</v>
      </c>
      <c r="O38" s="25">
        <f t="shared" si="11"/>
        <v>0.01661016642</v>
      </c>
      <c r="P38" s="25">
        <f t="shared" si="12"/>
        <v>-0.03305188009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IFERROR(__xludf.DUMMYFUNCTION("""COMPUTED_VALUE"""),46185.64583333333)</f>
        <v>46185.64583</v>
      </c>
      <c r="C39" s="1">
        <f>IFERROR(__xludf.DUMMYFUNCTION("""COMPUTED_VALUE"""),772.45)</f>
        <v>772.45</v>
      </c>
      <c r="D39" s="1"/>
      <c r="E39" s="112">
        <f>IFERROR(__xludf.DUMMYFUNCTION("""COMPUTED_VALUE"""),46185.64583333333)</f>
        <v>46185.64583</v>
      </c>
      <c r="F39" s="1">
        <f>IFERROR(__xludf.DUMMYFUNCTION("""COMPUTED_VALUE"""),56814.8)</f>
        <v>56814.8</v>
      </c>
      <c r="G39" s="1"/>
      <c r="H39" s="29">
        <f t="shared" si="4"/>
        <v>0.01359592923</v>
      </c>
      <c r="I39" s="1">
        <f t="shared" si="5"/>
        <v>-56042.35</v>
      </c>
      <c r="J39" s="113">
        <f t="shared" si="6"/>
        <v>-0.2440262359</v>
      </c>
      <c r="K39" s="29">
        <f t="shared" si="7"/>
        <v>0.01359592923</v>
      </c>
      <c r="L39" s="65">
        <f t="shared" si="8"/>
        <v>756.9875</v>
      </c>
      <c r="M39" s="25">
        <f t="shared" si="9"/>
        <v>0.02001747686</v>
      </c>
      <c r="N39" s="65">
        <f t="shared" si="10"/>
        <v>54394.5475</v>
      </c>
      <c r="O39" s="25">
        <f t="shared" si="11"/>
        <v>0.04259897949</v>
      </c>
      <c r="P39" s="25">
        <f t="shared" si="12"/>
        <v>-0.02258150263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IFERROR(__xludf.DUMMYFUNCTION("""COMPUTED_VALUE"""),46188.64583333333)</f>
        <v>46188.64583</v>
      </c>
      <c r="C40" s="1">
        <f>IFERROR(__xludf.DUMMYFUNCTION("""COMPUTED_VALUE"""),777.35)</f>
        <v>777.35</v>
      </c>
      <c r="D40" s="1"/>
      <c r="E40" s="112">
        <f>IFERROR(__xludf.DUMMYFUNCTION("""COMPUTED_VALUE"""),46188.64583333333)</f>
        <v>46188.64583</v>
      </c>
      <c r="F40" s="1">
        <f>IFERROR(__xludf.DUMMYFUNCTION("""COMPUTED_VALUE"""),57198.8)</f>
        <v>57198.8</v>
      </c>
      <c r="G40" s="1"/>
      <c r="H40" s="29">
        <f t="shared" si="4"/>
        <v>0.01359032008</v>
      </c>
      <c r="I40" s="1">
        <f t="shared" si="5"/>
        <v>-56421.45</v>
      </c>
      <c r="J40" s="113">
        <f t="shared" si="6"/>
        <v>-0.4961896359</v>
      </c>
      <c r="K40" s="29">
        <f t="shared" si="7"/>
        <v>0.01359032008</v>
      </c>
      <c r="L40" s="65">
        <f t="shared" si="8"/>
        <v>757.48</v>
      </c>
      <c r="M40" s="25">
        <f t="shared" si="9"/>
        <v>0.02556120152</v>
      </c>
      <c r="N40" s="65">
        <f t="shared" si="10"/>
        <v>54568.97</v>
      </c>
      <c r="O40" s="25">
        <f t="shared" si="11"/>
        <v>0.0459770135</v>
      </c>
      <c r="P40" s="25">
        <f t="shared" si="12"/>
        <v>-0.02041581199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IFERROR(__xludf.DUMMYFUNCTION("""COMPUTED_VALUE"""),46189.64583333333)</f>
        <v>46189.64583</v>
      </c>
      <c r="C41" s="1">
        <f>IFERROR(__xludf.DUMMYFUNCTION("""COMPUTED_VALUE"""),784.9)</f>
        <v>784.9</v>
      </c>
      <c r="D41" s="1"/>
      <c r="E41" s="112">
        <f>IFERROR(__xludf.DUMMYFUNCTION("""COMPUTED_VALUE"""),46189.64583333333)</f>
        <v>46189.64583</v>
      </c>
      <c r="F41" s="1">
        <f>IFERROR(__xludf.DUMMYFUNCTION("""COMPUTED_VALUE"""),57297.15)</f>
        <v>57297.15</v>
      </c>
      <c r="G41" s="1"/>
      <c r="H41" s="29">
        <f t="shared" si="4"/>
        <v>0.01369876163</v>
      </c>
      <c r="I41" s="1">
        <f t="shared" si="5"/>
        <v>-56512.25</v>
      </c>
      <c r="J41" s="113">
        <f t="shared" si="6"/>
        <v>-0.5565864619</v>
      </c>
      <c r="K41" s="29">
        <f t="shared" si="7"/>
        <v>0.01369876163</v>
      </c>
      <c r="L41" s="65">
        <f t="shared" si="8"/>
        <v>758.2925</v>
      </c>
      <c r="M41" s="25">
        <f t="shared" si="9"/>
        <v>0.03389922283</v>
      </c>
      <c r="N41" s="65">
        <f t="shared" si="10"/>
        <v>54756.9775</v>
      </c>
      <c r="O41" s="25">
        <f t="shared" si="11"/>
        <v>0.04433331326</v>
      </c>
      <c r="P41" s="25">
        <f t="shared" si="12"/>
        <v>-0.01043409043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IFERROR(__xludf.DUMMYFUNCTION("""COMPUTED_VALUE"""),46190.64583333333)</f>
        <v>46190.64583</v>
      </c>
      <c r="C42" s="1">
        <f>IFERROR(__xludf.DUMMYFUNCTION("""COMPUTED_VALUE"""),787.1)</f>
        <v>787.1</v>
      </c>
      <c r="D42" s="1"/>
      <c r="E42" s="112">
        <f>IFERROR(__xludf.DUMMYFUNCTION("""COMPUTED_VALUE"""),46190.64583333333)</f>
        <v>46190.64583</v>
      </c>
      <c r="F42" s="1">
        <f>IFERROR(__xludf.DUMMYFUNCTION("""COMPUTED_VALUE"""),57585.05)</f>
        <v>57585.05</v>
      </c>
      <c r="G42" s="1"/>
      <c r="H42" s="29">
        <f t="shared" si="4"/>
        <v>0.01366847819</v>
      </c>
      <c r="I42" s="1">
        <f t="shared" si="5"/>
        <v>-56797.95</v>
      </c>
      <c r="J42" s="113">
        <f t="shared" si="6"/>
        <v>-0.7466236114</v>
      </c>
      <c r="K42" s="29">
        <f t="shared" si="7"/>
        <v>0.01366847819</v>
      </c>
      <c r="L42" s="65">
        <f t="shared" si="8"/>
        <v>759.525</v>
      </c>
      <c r="M42" s="25">
        <f t="shared" si="9"/>
        <v>0.03503366789</v>
      </c>
      <c r="N42" s="65">
        <f t="shared" si="10"/>
        <v>54965.7725</v>
      </c>
      <c r="O42" s="25">
        <f t="shared" si="11"/>
        <v>0.04548537337</v>
      </c>
      <c r="P42" s="25">
        <f t="shared" si="12"/>
        <v>-0.01045170548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IFERROR(__xludf.DUMMYFUNCTION("""COMPUTED_VALUE"""),46191.64583333333)</f>
        <v>46191.64583</v>
      </c>
      <c r="C43" s="1">
        <f>IFERROR(__xludf.DUMMYFUNCTION("""COMPUTED_VALUE"""),799.0)</f>
        <v>799</v>
      </c>
      <c r="D43" s="1"/>
      <c r="E43" s="112">
        <f>IFERROR(__xludf.DUMMYFUNCTION("""COMPUTED_VALUE"""),46191.64583333333)</f>
        <v>46191.64583</v>
      </c>
      <c r="F43" s="1">
        <f>IFERROR(__xludf.DUMMYFUNCTION("""COMPUTED_VALUE"""),57963.8)</f>
        <v>57963.8</v>
      </c>
      <c r="G43" s="1"/>
      <c r="H43" s="29">
        <f t="shared" si="4"/>
        <v>0.01378446548</v>
      </c>
      <c r="I43" s="1">
        <f t="shared" si="5"/>
        <v>-57164.8</v>
      </c>
      <c r="J43" s="113">
        <f t="shared" si="6"/>
        <v>-0.9906387613</v>
      </c>
      <c r="K43" s="29">
        <f t="shared" si="7"/>
        <v>0.01378446548</v>
      </c>
      <c r="L43" s="65">
        <f t="shared" si="8"/>
        <v>761.5</v>
      </c>
      <c r="M43" s="25">
        <f t="shared" si="9"/>
        <v>0.04693366708</v>
      </c>
      <c r="N43" s="65">
        <f t="shared" si="10"/>
        <v>55185.8525</v>
      </c>
      <c r="O43" s="25">
        <f t="shared" si="11"/>
        <v>0.04792555871</v>
      </c>
      <c r="P43" s="25">
        <f t="shared" si="12"/>
        <v>-0.0009918916269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IFERROR(__xludf.DUMMYFUNCTION("""COMPUTED_VALUE"""),46192.64583333333)</f>
        <v>46192.64583</v>
      </c>
      <c r="C44" s="1">
        <f>IFERROR(__xludf.DUMMYFUNCTION("""COMPUTED_VALUE"""),779.8)</f>
        <v>779.8</v>
      </c>
      <c r="D44" s="1"/>
      <c r="E44" s="112">
        <f>IFERROR(__xludf.DUMMYFUNCTION("""COMPUTED_VALUE"""),46192.64583333333)</f>
        <v>46192.64583</v>
      </c>
      <c r="F44" s="1">
        <f>IFERROR(__xludf.DUMMYFUNCTION("""COMPUTED_VALUE"""),57685.75)</f>
        <v>57685.75</v>
      </c>
      <c r="G44" s="1"/>
      <c r="H44" s="29">
        <f t="shared" si="4"/>
        <v>0.01351806989</v>
      </c>
      <c r="I44" s="1">
        <f t="shared" si="5"/>
        <v>-56905.95</v>
      </c>
      <c r="J44" s="113">
        <f t="shared" si="6"/>
        <v>-0.8184612459</v>
      </c>
      <c r="K44" s="29">
        <f t="shared" si="7"/>
        <v>0.01351806989</v>
      </c>
      <c r="L44" s="65">
        <f t="shared" si="8"/>
        <v>762.5325</v>
      </c>
      <c r="M44" s="25">
        <f t="shared" si="9"/>
        <v>0.02214349833</v>
      </c>
      <c r="N44" s="65">
        <f t="shared" si="10"/>
        <v>55398.17</v>
      </c>
      <c r="O44" s="25">
        <f t="shared" si="11"/>
        <v>0.03965589422</v>
      </c>
      <c r="P44" s="25">
        <f t="shared" si="12"/>
        <v>-0.01751239589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IFERROR(__xludf.DUMMYFUNCTION("""COMPUTED_VALUE"""),46195.64583333333)</f>
        <v>46195.64583</v>
      </c>
      <c r="C45" s="1">
        <f>IFERROR(__xludf.DUMMYFUNCTION("""COMPUTED_VALUE"""),786.4)</f>
        <v>786.4</v>
      </c>
      <c r="D45" s="1"/>
      <c r="E45" s="112">
        <f>IFERROR(__xludf.DUMMYFUNCTION("""COMPUTED_VALUE"""),46195.64583333333)</f>
        <v>46195.64583</v>
      </c>
      <c r="F45" s="1">
        <f>IFERROR(__xludf.DUMMYFUNCTION("""COMPUTED_VALUE"""),57935.6)</f>
        <v>57935.6</v>
      </c>
      <c r="G45" s="1"/>
      <c r="H45" s="29">
        <f t="shared" si="4"/>
        <v>0.01357369217</v>
      </c>
      <c r="I45" s="1">
        <f t="shared" si="5"/>
        <v>-57149.2</v>
      </c>
      <c r="J45" s="113">
        <f t="shared" si="6"/>
        <v>-0.9802622141</v>
      </c>
      <c r="K45" s="29">
        <f t="shared" si="7"/>
        <v>0.01357369217</v>
      </c>
      <c r="L45" s="65">
        <f t="shared" si="8"/>
        <v>763.5125</v>
      </c>
      <c r="M45" s="25">
        <f t="shared" si="9"/>
        <v>0.02910414547</v>
      </c>
      <c r="N45" s="65">
        <f t="shared" si="10"/>
        <v>55592.1825</v>
      </c>
      <c r="O45" s="25">
        <f t="shared" si="11"/>
        <v>0.04044866196</v>
      </c>
      <c r="P45" s="25">
        <f t="shared" si="12"/>
        <v>-0.01134451649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IFERROR(__xludf.DUMMYFUNCTION("""COMPUTED_VALUE"""),46196.64583333333)</f>
        <v>46196.64583</v>
      </c>
      <c r="C46" s="1">
        <f>IFERROR(__xludf.DUMMYFUNCTION("""COMPUTED_VALUE"""),774.65)</f>
        <v>774.65</v>
      </c>
      <c r="D46" s="1"/>
      <c r="E46" s="112">
        <f>IFERROR(__xludf.DUMMYFUNCTION("""COMPUTED_VALUE"""),46196.64583333333)</f>
        <v>46196.64583</v>
      </c>
      <c r="F46" s="1">
        <f>IFERROR(__xludf.DUMMYFUNCTION("""COMPUTED_VALUE"""),57183.75)</f>
        <v>57183.75</v>
      </c>
      <c r="G46" s="1"/>
      <c r="H46" s="29">
        <f t="shared" si="4"/>
        <v>0.01354668066</v>
      </c>
      <c r="I46" s="1">
        <f t="shared" si="5"/>
        <v>-56409.1</v>
      </c>
      <c r="J46" s="113">
        <f t="shared" si="6"/>
        <v>-0.4879748694</v>
      </c>
      <c r="K46" s="29">
        <f t="shared" si="7"/>
        <v>0.01354668066</v>
      </c>
      <c r="L46" s="65">
        <f t="shared" si="8"/>
        <v>762.9025</v>
      </c>
      <c r="M46" s="25">
        <f t="shared" si="9"/>
        <v>0.01516491319</v>
      </c>
      <c r="N46" s="65">
        <f t="shared" si="10"/>
        <v>55686.6875</v>
      </c>
      <c r="O46" s="25">
        <f t="shared" si="11"/>
        <v>0.02617985879</v>
      </c>
      <c r="P46" s="25">
        <f t="shared" si="12"/>
        <v>-0.0110149456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IFERROR(__xludf.DUMMYFUNCTION("""COMPUTED_VALUE"""),46197.64583333333)</f>
        <v>46197.64583</v>
      </c>
      <c r="C47" s="1">
        <f>IFERROR(__xludf.DUMMYFUNCTION("""COMPUTED_VALUE"""),793.2)</f>
        <v>793.2</v>
      </c>
      <c r="D47" s="1"/>
      <c r="E47" s="112">
        <f>IFERROR(__xludf.DUMMYFUNCTION("""COMPUTED_VALUE"""),46197.64583333333)</f>
        <v>46197.64583</v>
      </c>
      <c r="F47" s="1">
        <f>IFERROR(__xludf.DUMMYFUNCTION("""COMPUTED_VALUE"""),58150.35)</f>
        <v>58150.35</v>
      </c>
      <c r="G47" s="1"/>
      <c r="H47" s="29">
        <f t="shared" si="4"/>
        <v>0.01364050259</v>
      </c>
      <c r="I47" s="1">
        <f t="shared" si="5"/>
        <v>-57357.15</v>
      </c>
      <c r="J47" s="113">
        <f t="shared" si="6"/>
        <v>-1.118582918</v>
      </c>
      <c r="K47" s="29">
        <f t="shared" si="7"/>
        <v>0.01364050259</v>
      </c>
      <c r="L47" s="65">
        <f t="shared" si="8"/>
        <v>763.6175</v>
      </c>
      <c r="M47" s="25">
        <f t="shared" si="9"/>
        <v>0.03729513364</v>
      </c>
      <c r="N47" s="65">
        <f t="shared" si="10"/>
        <v>55839.56</v>
      </c>
      <c r="O47" s="25">
        <f t="shared" si="11"/>
        <v>0.0397381959</v>
      </c>
      <c r="P47" s="25">
        <f t="shared" si="12"/>
        <v>-0.002443062265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IFERROR(__xludf.DUMMYFUNCTION("""COMPUTED_VALUE"""),46198.64583333333)</f>
        <v>46198.64583</v>
      </c>
      <c r="C48" s="1">
        <f>IFERROR(__xludf.DUMMYFUNCTION("""COMPUTED_VALUE"""),796.3)</f>
        <v>796.3</v>
      </c>
      <c r="D48" s="1"/>
      <c r="E48" s="112">
        <f>IFERROR(__xludf.DUMMYFUNCTION("""COMPUTED_VALUE"""),46198.64583333333)</f>
        <v>46198.64583</v>
      </c>
      <c r="F48" s="1">
        <f>IFERROR(__xludf.DUMMYFUNCTION("""COMPUTED_VALUE"""),58177.05)</f>
        <v>58177.05</v>
      </c>
      <c r="G48" s="1"/>
      <c r="H48" s="29">
        <f t="shared" si="4"/>
        <v>0.01368752799</v>
      </c>
      <c r="I48" s="1">
        <f t="shared" si="5"/>
        <v>-57380.75</v>
      </c>
      <c r="J48" s="113">
        <f t="shared" si="6"/>
        <v>-1.134280772</v>
      </c>
      <c r="K48" s="29">
        <f t="shared" si="7"/>
        <v>0.01368752799</v>
      </c>
      <c r="L48" s="65">
        <f t="shared" si="8"/>
        <v>765.5</v>
      </c>
      <c r="M48" s="25">
        <f t="shared" si="9"/>
        <v>0.03867888987</v>
      </c>
      <c r="N48" s="65">
        <f t="shared" si="10"/>
        <v>56005.72</v>
      </c>
      <c r="O48" s="25">
        <f t="shared" si="11"/>
        <v>0.03732279309</v>
      </c>
      <c r="P48" s="25">
        <f t="shared" si="12"/>
        <v>0.001356096771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IFERROR(__xludf.DUMMYFUNCTION("""COMPUTED_VALUE"""),46202.64583333333)</f>
        <v>46202.64583</v>
      </c>
      <c r="C49" s="1">
        <f>IFERROR(__xludf.DUMMYFUNCTION("""COMPUTED_VALUE"""),798.9)</f>
        <v>798.9</v>
      </c>
      <c r="D49" s="1"/>
      <c r="E49" s="112">
        <f>IFERROR(__xludf.DUMMYFUNCTION("""COMPUTED_VALUE"""),46202.64583333333)</f>
        <v>46202.64583</v>
      </c>
      <c r="F49" s="1">
        <f>IFERROR(__xludf.DUMMYFUNCTION("""COMPUTED_VALUE"""),57727.35)</f>
        <v>57727.35</v>
      </c>
      <c r="G49" s="1"/>
      <c r="H49" s="29">
        <f t="shared" si="4"/>
        <v>0.01383919407</v>
      </c>
      <c r="I49" s="1">
        <f t="shared" si="5"/>
        <v>-56928.45</v>
      </c>
      <c r="J49" s="113">
        <f t="shared" si="6"/>
        <v>-0.8334274197</v>
      </c>
      <c r="K49" s="29">
        <f t="shared" si="7"/>
        <v>0.01383919407</v>
      </c>
      <c r="L49" s="65">
        <f t="shared" si="8"/>
        <v>768.2175</v>
      </c>
      <c r="M49" s="25">
        <f t="shared" si="9"/>
        <v>0.03840593316</v>
      </c>
      <c r="N49" s="65">
        <f t="shared" si="10"/>
        <v>56180.1275</v>
      </c>
      <c r="O49" s="25">
        <f t="shared" si="11"/>
        <v>0.02680224365</v>
      </c>
      <c r="P49" s="25">
        <f t="shared" si="12"/>
        <v>0.01160368951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IFERROR(__xludf.DUMMYFUNCTION("""COMPUTED_VALUE"""),46203.64583333333)</f>
        <v>46203.64583</v>
      </c>
      <c r="C50" s="1">
        <f>IFERROR(__xludf.DUMMYFUNCTION("""COMPUTED_VALUE"""),797.95)</f>
        <v>797.95</v>
      </c>
      <c r="D50" s="1"/>
      <c r="E50" s="112">
        <f>IFERROR(__xludf.DUMMYFUNCTION("""COMPUTED_VALUE"""),46203.64583333333)</f>
        <v>46203.64583</v>
      </c>
      <c r="F50" s="1">
        <f>IFERROR(__xludf.DUMMYFUNCTION("""COMPUTED_VALUE"""),57542.9)</f>
        <v>57542.9</v>
      </c>
      <c r="G50" s="1"/>
      <c r="H50" s="29">
        <f t="shared" si="4"/>
        <v>0.01386704528</v>
      </c>
      <c r="I50" s="1">
        <f t="shared" si="5"/>
        <v>-56744.95</v>
      </c>
      <c r="J50" s="113">
        <f t="shared" si="6"/>
        <v>-0.7113699575</v>
      </c>
      <c r="K50" s="29">
        <f t="shared" si="7"/>
        <v>0.01386704528</v>
      </c>
      <c r="L50" s="65">
        <f t="shared" si="8"/>
        <v>770.98</v>
      </c>
      <c r="M50" s="25">
        <f t="shared" si="9"/>
        <v>0.03379911022</v>
      </c>
      <c r="N50" s="65">
        <f t="shared" si="10"/>
        <v>56375.1175</v>
      </c>
      <c r="O50" s="25">
        <f t="shared" si="11"/>
        <v>0.02029411969</v>
      </c>
      <c r="P50" s="25">
        <f t="shared" si="12"/>
        <v>0.01350499053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IFERROR(__xludf.DUMMYFUNCTION("""COMPUTED_VALUE"""),46204.64583333333)</f>
        <v>46204.64583</v>
      </c>
      <c r="C51" s="1">
        <f>IFERROR(__xludf.DUMMYFUNCTION("""COMPUTED_VALUE"""),796.15)</f>
        <v>796.15</v>
      </c>
      <c r="D51" s="1"/>
      <c r="E51" s="112">
        <f>IFERROR(__xludf.DUMMYFUNCTION("""COMPUTED_VALUE"""),46204.64583333333)</f>
        <v>46204.64583</v>
      </c>
      <c r="F51" s="1">
        <f>IFERROR(__xludf.DUMMYFUNCTION("""COMPUTED_VALUE"""),58033.05)</f>
        <v>58033.05</v>
      </c>
      <c r="G51" s="1"/>
      <c r="H51" s="29">
        <f t="shared" si="4"/>
        <v>0.01371890673</v>
      </c>
      <c r="I51" s="1">
        <f t="shared" si="5"/>
        <v>-57236.9</v>
      </c>
      <c r="J51" s="113">
        <f t="shared" si="6"/>
        <v>-1.038597034</v>
      </c>
      <c r="K51" s="29">
        <f t="shared" si="7"/>
        <v>0.01371890673</v>
      </c>
      <c r="L51" s="65">
        <f t="shared" si="8"/>
        <v>773.375</v>
      </c>
      <c r="M51" s="25">
        <f t="shared" si="9"/>
        <v>0.02860641839</v>
      </c>
      <c r="N51" s="65">
        <f t="shared" si="10"/>
        <v>56591.0375</v>
      </c>
      <c r="O51" s="25">
        <f t="shared" si="11"/>
        <v>0.02484812534</v>
      </c>
      <c r="P51" s="25">
        <f t="shared" si="12"/>
        <v>0.003758293053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IFERROR(__xludf.DUMMYFUNCTION("""COMPUTED_VALUE"""),46205.64583333333)</f>
        <v>46205.64583</v>
      </c>
      <c r="C52" s="1">
        <f>IFERROR(__xludf.DUMMYFUNCTION("""COMPUTED_VALUE"""),795.9)</f>
        <v>795.9</v>
      </c>
      <c r="D52" s="1"/>
      <c r="E52" s="112">
        <f>IFERROR(__xludf.DUMMYFUNCTION("""COMPUTED_VALUE"""),46205.64583333333)</f>
        <v>46205.64583</v>
      </c>
      <c r="F52" s="1">
        <f>IFERROR(__xludf.DUMMYFUNCTION("""COMPUTED_VALUE"""),58031.65)</f>
        <v>58031.65</v>
      </c>
      <c r="G52" s="1"/>
      <c r="H52" s="29">
        <f t="shared" si="4"/>
        <v>0.0137149297</v>
      </c>
      <c r="I52" s="1">
        <f t="shared" si="5"/>
        <v>-57235.75</v>
      </c>
      <c r="J52" s="113">
        <f t="shared" si="6"/>
        <v>-1.037832096</v>
      </c>
      <c r="K52" s="29">
        <f t="shared" si="7"/>
        <v>0.0137149297</v>
      </c>
      <c r="L52" s="65">
        <f t="shared" si="8"/>
        <v>775.4875</v>
      </c>
      <c r="M52" s="25">
        <f t="shared" si="9"/>
        <v>0.02564706621</v>
      </c>
      <c r="N52" s="65">
        <f t="shared" si="10"/>
        <v>56783.3225</v>
      </c>
      <c r="O52" s="25">
        <f t="shared" si="11"/>
        <v>0.02151114952</v>
      </c>
      <c r="P52" s="25">
        <f t="shared" si="12"/>
        <v>0.004135916695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IFERROR(__xludf.DUMMYFUNCTION("""COMPUTED_VALUE"""),46206.64583333333)</f>
        <v>46206.64583</v>
      </c>
      <c r="C53" s="1">
        <f>IFERROR(__xludf.DUMMYFUNCTION("""COMPUTED_VALUE"""),801.05)</f>
        <v>801.05</v>
      </c>
      <c r="D53" s="1"/>
      <c r="E53" s="112">
        <f>IFERROR(__xludf.DUMMYFUNCTION("""COMPUTED_VALUE"""),46206.64583333333)</f>
        <v>46206.64583</v>
      </c>
      <c r="F53" s="1">
        <f>IFERROR(__xludf.DUMMYFUNCTION("""COMPUTED_VALUE"""),57938.5)</f>
        <v>57938.5</v>
      </c>
      <c r="G53" s="1"/>
      <c r="H53" s="29">
        <f t="shared" si="4"/>
        <v>0.01382586708</v>
      </c>
      <c r="I53" s="1">
        <f t="shared" si="5"/>
        <v>-57137.45</v>
      </c>
      <c r="J53" s="113">
        <f t="shared" si="6"/>
        <v>-0.9724465455</v>
      </c>
      <c r="K53" s="29">
        <f t="shared" si="7"/>
        <v>0.01382586708</v>
      </c>
      <c r="L53" s="65">
        <f t="shared" si="8"/>
        <v>777.83</v>
      </c>
      <c r="M53" s="25">
        <f t="shared" si="9"/>
        <v>0.02898695462</v>
      </c>
      <c r="N53" s="65">
        <f t="shared" si="10"/>
        <v>56964.855</v>
      </c>
      <c r="O53" s="25">
        <f t="shared" si="11"/>
        <v>0.01680480164</v>
      </c>
      <c r="P53" s="25">
        <f t="shared" si="12"/>
        <v>0.01218215298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IFERROR(__xludf.DUMMYFUNCTION("""COMPUTED_VALUE"""),46209.64583333333)</f>
        <v>46209.64583</v>
      </c>
      <c r="C54" s="1">
        <f>IFERROR(__xludf.DUMMYFUNCTION("""COMPUTED_VALUE"""),829.85)</f>
        <v>829.85</v>
      </c>
      <c r="D54" s="1"/>
      <c r="E54" s="112">
        <f>IFERROR(__xludf.DUMMYFUNCTION("""COMPUTED_VALUE"""),46209.64583333333)</f>
        <v>46209.64583</v>
      </c>
      <c r="F54" s="1">
        <f>IFERROR(__xludf.DUMMYFUNCTION("""COMPUTED_VALUE"""),58291.5)</f>
        <v>58291.5</v>
      </c>
      <c r="G54" s="1"/>
      <c r="H54" s="29">
        <f t="shared" si="4"/>
        <v>0.0142362094</v>
      </c>
      <c r="I54" s="1">
        <f t="shared" si="5"/>
        <v>-57461.65</v>
      </c>
      <c r="J54" s="113">
        <f t="shared" si="6"/>
        <v>-1.188092481</v>
      </c>
      <c r="K54" s="29">
        <f t="shared" si="7"/>
        <v>0.0142362094</v>
      </c>
      <c r="L54" s="65">
        <f t="shared" si="8"/>
        <v>781.97</v>
      </c>
      <c r="M54" s="25">
        <f t="shared" si="9"/>
        <v>0.05769717419</v>
      </c>
      <c r="N54" s="65">
        <f t="shared" si="10"/>
        <v>57154.6175</v>
      </c>
      <c r="O54" s="25">
        <f t="shared" si="11"/>
        <v>0.01950340101</v>
      </c>
      <c r="P54" s="25">
        <f t="shared" si="12"/>
        <v>0.03819377318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IFERROR(__xludf.DUMMYFUNCTION("""COMPUTED_VALUE"""),46210.64583333333)</f>
        <v>46210.64583</v>
      </c>
      <c r="C55" s="1">
        <f>IFERROR(__xludf.DUMMYFUNCTION("""COMPUTED_VALUE"""),829.3)</f>
        <v>829.3</v>
      </c>
      <c r="D55" s="1"/>
      <c r="E55" s="112">
        <f>IFERROR(__xludf.DUMMYFUNCTION("""COMPUTED_VALUE"""),46210.64583333333)</f>
        <v>46210.64583</v>
      </c>
      <c r="F55" s="1">
        <f>IFERROR(__xludf.DUMMYFUNCTION("""COMPUTED_VALUE"""),58200.7)</f>
        <v>58200.7</v>
      </c>
      <c r="G55" s="1"/>
      <c r="H55" s="29">
        <f t="shared" si="4"/>
        <v>0.01424896951</v>
      </c>
      <c r="I55" s="1">
        <f t="shared" si="5"/>
        <v>-57371.4</v>
      </c>
      <c r="J55" s="113">
        <f t="shared" si="6"/>
        <v>-1.128061495</v>
      </c>
      <c r="K55" s="29">
        <f t="shared" si="7"/>
        <v>0.01424896951</v>
      </c>
      <c r="L55" s="65">
        <f t="shared" si="8"/>
        <v>786.5025</v>
      </c>
      <c r="M55" s="25">
        <f t="shared" si="9"/>
        <v>0.0516067768</v>
      </c>
      <c r="N55" s="65">
        <f t="shared" si="10"/>
        <v>57361.465</v>
      </c>
      <c r="O55" s="25">
        <f t="shared" si="11"/>
        <v>0.01441967193</v>
      </c>
      <c r="P55" s="25">
        <f t="shared" si="12"/>
        <v>0.03718710487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IFERROR(__xludf.DUMMYFUNCTION("""COMPUTED_VALUE"""),46211.64583333333)</f>
        <v>46211.64583</v>
      </c>
      <c r="C56" s="1">
        <f>IFERROR(__xludf.DUMMYFUNCTION("""COMPUTED_VALUE"""),810.3)</f>
        <v>810.3</v>
      </c>
      <c r="D56" s="1"/>
      <c r="E56" s="112">
        <f>IFERROR(__xludf.DUMMYFUNCTION("""COMPUTED_VALUE"""),46211.64583333333)</f>
        <v>46211.64583</v>
      </c>
      <c r="F56" s="1">
        <f>IFERROR(__xludf.DUMMYFUNCTION("""COMPUTED_VALUE"""),56742.6)</f>
        <v>56742.6</v>
      </c>
      <c r="G56" s="1"/>
      <c r="H56" s="29">
        <f t="shared" si="4"/>
        <v>0.01428027619</v>
      </c>
      <c r="I56" s="1">
        <f t="shared" si="5"/>
        <v>-55932.3</v>
      </c>
      <c r="J56" s="113">
        <f t="shared" si="6"/>
        <v>-0.1708250168</v>
      </c>
      <c r="K56" s="29">
        <f t="shared" si="7"/>
        <v>0.01428027619</v>
      </c>
      <c r="L56" s="65">
        <f t="shared" si="8"/>
        <v>790.1</v>
      </c>
      <c r="M56" s="25">
        <f t="shared" si="9"/>
        <v>0.02492903863</v>
      </c>
      <c r="N56" s="65">
        <f t="shared" si="10"/>
        <v>57438.87</v>
      </c>
      <c r="O56" s="25">
        <f t="shared" si="11"/>
        <v>-0.01227067494</v>
      </c>
      <c r="P56" s="25">
        <f t="shared" si="12"/>
        <v>0.03719971357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IFERROR(__xludf.DUMMYFUNCTION("""COMPUTED_VALUE"""),46212.64583333333)</f>
        <v>46212.64583</v>
      </c>
      <c r="C57" s="1">
        <f>IFERROR(__xludf.DUMMYFUNCTION("""COMPUTED_VALUE"""),817.55)</f>
        <v>817.55</v>
      </c>
      <c r="D57" s="1"/>
      <c r="E57" s="112">
        <f>IFERROR(__xludf.DUMMYFUNCTION("""COMPUTED_VALUE"""),46212.64583333333)</f>
        <v>46212.64583</v>
      </c>
      <c r="F57" s="1">
        <f>IFERROR(__xludf.DUMMYFUNCTION("""COMPUTED_VALUE"""),57252.45)</f>
        <v>57252.45</v>
      </c>
      <c r="G57" s="1"/>
      <c r="H57" s="29">
        <f t="shared" si="4"/>
        <v>0.01427973825</v>
      </c>
      <c r="I57" s="1">
        <f t="shared" si="5"/>
        <v>-56434.9</v>
      </c>
      <c r="J57" s="113">
        <f t="shared" si="6"/>
        <v>-0.5051360821</v>
      </c>
      <c r="K57" s="29">
        <f t="shared" si="7"/>
        <v>0.01427973825</v>
      </c>
      <c r="L57" s="65">
        <f t="shared" si="8"/>
        <v>793.635</v>
      </c>
      <c r="M57" s="25">
        <f t="shared" si="9"/>
        <v>0.02925203351</v>
      </c>
      <c r="N57" s="65">
        <f t="shared" si="10"/>
        <v>57546.4775</v>
      </c>
      <c r="O57" s="25">
        <f t="shared" si="11"/>
        <v>-0.00513563175</v>
      </c>
      <c r="P57" s="25">
        <f t="shared" si="12"/>
        <v>0.03438766527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IFERROR(__xludf.DUMMYFUNCTION("""COMPUTED_VALUE"""),46213.64583333333)</f>
        <v>46213.64583</v>
      </c>
      <c r="C58" s="1">
        <f>IFERROR(__xludf.DUMMYFUNCTION("""COMPUTED_VALUE"""),824.95)</f>
        <v>824.95</v>
      </c>
      <c r="D58" s="1"/>
      <c r="E58" s="112">
        <f>IFERROR(__xludf.DUMMYFUNCTION("""COMPUTED_VALUE"""),46213.64583333333)</f>
        <v>46213.64583</v>
      </c>
      <c r="F58" s="1">
        <f>IFERROR(__xludf.DUMMYFUNCTION("""COMPUTED_VALUE"""),58045.9)</f>
        <v>58045.9</v>
      </c>
      <c r="G58" s="1"/>
      <c r="H58" s="29">
        <f t="shared" si="4"/>
        <v>0.01421202876</v>
      </c>
      <c r="I58" s="1">
        <f t="shared" si="5"/>
        <v>-57220.95</v>
      </c>
      <c r="J58" s="113">
        <f t="shared" si="6"/>
        <v>-1.02798768</v>
      </c>
      <c r="K58" s="29">
        <f t="shared" si="7"/>
        <v>0.01421202876</v>
      </c>
      <c r="L58" s="65">
        <f t="shared" si="8"/>
        <v>797.6525</v>
      </c>
      <c r="M58" s="25">
        <f t="shared" si="9"/>
        <v>0.03308988424</v>
      </c>
      <c r="N58" s="65">
        <f t="shared" si="10"/>
        <v>57689.935</v>
      </c>
      <c r="O58" s="25">
        <f t="shared" si="11"/>
        <v>0.006132474473</v>
      </c>
      <c r="P58" s="25">
        <f t="shared" si="12"/>
        <v>0.02695740976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IFERROR(__xludf.DUMMYFUNCTION("""COMPUTED_VALUE"""),46216.64583333333)</f>
        <v>46216.64583</v>
      </c>
      <c r="C59" s="1">
        <f>IFERROR(__xludf.DUMMYFUNCTION("""COMPUTED_VALUE"""),817.95)</f>
        <v>817.95</v>
      </c>
      <c r="D59" s="1"/>
      <c r="E59" s="112">
        <f>IFERROR(__xludf.DUMMYFUNCTION("""COMPUTED_VALUE"""),46216.64583333333)</f>
        <v>46216.64583</v>
      </c>
      <c r="F59" s="1">
        <f>IFERROR(__xludf.DUMMYFUNCTION("""COMPUTED_VALUE"""),58131.45)</f>
        <v>58131.45</v>
      </c>
      <c r="G59" s="1"/>
      <c r="H59" s="29">
        <f t="shared" si="4"/>
        <v>0.01407069667</v>
      </c>
      <c r="I59" s="1">
        <f t="shared" si="5"/>
        <v>-57313.5</v>
      </c>
      <c r="J59" s="113">
        <f t="shared" si="6"/>
        <v>-1.089548541</v>
      </c>
      <c r="K59" s="29">
        <f t="shared" si="7"/>
        <v>0.01407069667</v>
      </c>
      <c r="L59" s="65">
        <f t="shared" si="8"/>
        <v>799.9275</v>
      </c>
      <c r="M59" s="25">
        <f t="shared" si="9"/>
        <v>0.02203374289</v>
      </c>
      <c r="N59" s="65">
        <f t="shared" si="10"/>
        <v>57755.7675</v>
      </c>
      <c r="O59" s="25">
        <f t="shared" si="11"/>
        <v>0.006462637694</v>
      </c>
      <c r="P59" s="25">
        <f t="shared" si="12"/>
        <v>0.0155711052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IFERROR(__xludf.DUMMYFUNCTION("""COMPUTED_VALUE"""),46217.64583333333)</f>
        <v>46217.64583</v>
      </c>
      <c r="C60" s="1">
        <f>IFERROR(__xludf.DUMMYFUNCTION("""COMPUTED_VALUE"""),809.4)</f>
        <v>809.4</v>
      </c>
      <c r="D60" s="1"/>
      <c r="E60" s="112">
        <f>IFERROR(__xludf.DUMMYFUNCTION("""COMPUTED_VALUE"""),46217.64583333333)</f>
        <v>46217.64583</v>
      </c>
      <c r="F60" s="1">
        <f>IFERROR(__xludf.DUMMYFUNCTION("""COMPUTED_VALUE"""),57462.3)</f>
        <v>57462.3</v>
      </c>
      <c r="G60" s="1"/>
      <c r="H60" s="29">
        <f t="shared" si="4"/>
        <v>0.0140857571</v>
      </c>
      <c r="I60" s="1">
        <f t="shared" si="5"/>
        <v>-56652.9</v>
      </c>
      <c r="J60" s="113">
        <f t="shared" si="6"/>
        <v>-0.6501416775</v>
      </c>
      <c r="K60" s="29">
        <f t="shared" si="7"/>
        <v>0.0140857571</v>
      </c>
      <c r="L60" s="65">
        <f t="shared" si="8"/>
        <v>801.53</v>
      </c>
      <c r="M60" s="25">
        <f t="shared" si="9"/>
        <v>0.009723251791</v>
      </c>
      <c r="N60" s="65">
        <f t="shared" si="10"/>
        <v>57768.9425</v>
      </c>
      <c r="O60" s="25">
        <f t="shared" si="11"/>
        <v>-0.005336411874</v>
      </c>
      <c r="P60" s="25">
        <f t="shared" si="12"/>
        <v>0.01505966366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IFERROR(__xludf.DUMMYFUNCTION("""COMPUTED_VALUE"""),46218.64583333333)</f>
        <v>46218.64583</v>
      </c>
      <c r="C61" s="1">
        <f>IFERROR(__xludf.DUMMYFUNCTION("""COMPUTED_VALUE"""),815.45)</f>
        <v>815.45</v>
      </c>
      <c r="D61" s="1"/>
      <c r="E61" s="112">
        <f>IFERROR(__xludf.DUMMYFUNCTION("""COMPUTED_VALUE"""),46218.64583333333)</f>
        <v>46218.64583</v>
      </c>
      <c r="F61" s="1">
        <f>IFERROR(__xludf.DUMMYFUNCTION("""COMPUTED_VALUE"""),57757.85)</f>
        <v>57757.85</v>
      </c>
      <c r="G61" s="1"/>
      <c r="H61" s="29">
        <f t="shared" si="4"/>
        <v>0.01411842719</v>
      </c>
      <c r="I61" s="1">
        <f t="shared" si="5"/>
        <v>-56942.4</v>
      </c>
      <c r="J61" s="113">
        <f t="shared" si="6"/>
        <v>-0.8427064475</v>
      </c>
      <c r="K61" s="29">
        <f t="shared" si="7"/>
        <v>0.01411842719</v>
      </c>
      <c r="L61" s="65">
        <f t="shared" si="8"/>
        <v>803.0575</v>
      </c>
      <c r="M61" s="25">
        <f t="shared" si="9"/>
        <v>0.01519713042</v>
      </c>
      <c r="N61" s="65">
        <f t="shared" si="10"/>
        <v>57791.9775</v>
      </c>
      <c r="O61" s="25">
        <f t="shared" si="11"/>
        <v>-0.0005908720633</v>
      </c>
      <c r="P61" s="25">
        <f t="shared" si="12"/>
        <v>0.01578800248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IFERROR(__xludf.DUMMYFUNCTION("""COMPUTED_VALUE"""),46219.64583333333)</f>
        <v>46219.64583</v>
      </c>
      <c r="C62" s="1">
        <f>IFERROR(__xludf.DUMMYFUNCTION("""COMPUTED_VALUE"""),808.3)</f>
        <v>808.3</v>
      </c>
      <c r="D62" s="1"/>
      <c r="E62" s="112">
        <f>IFERROR(__xludf.DUMMYFUNCTION("""COMPUTED_VALUE"""),46219.64583333333)</f>
        <v>46219.64583</v>
      </c>
      <c r="F62" s="1">
        <f>IFERROR(__xludf.DUMMYFUNCTION("""COMPUTED_VALUE"""),57582.25)</f>
        <v>57582.25</v>
      </c>
      <c r="G62" s="1"/>
      <c r="H62" s="29">
        <f t="shared" si="4"/>
        <v>0.01403731185</v>
      </c>
      <c r="I62" s="1">
        <f t="shared" si="5"/>
        <v>-56773.95</v>
      </c>
      <c r="J62" s="113">
        <f t="shared" si="6"/>
        <v>-0.7306596927</v>
      </c>
      <c r="K62" s="29">
        <f t="shared" si="7"/>
        <v>0.01403731185</v>
      </c>
      <c r="L62" s="65">
        <f t="shared" si="8"/>
        <v>804.1175</v>
      </c>
      <c r="M62" s="25">
        <f t="shared" si="9"/>
        <v>0.005174440183</v>
      </c>
      <c r="N62" s="65">
        <f t="shared" si="10"/>
        <v>57791.8375</v>
      </c>
      <c r="O62" s="25">
        <f t="shared" si="11"/>
        <v>-0.003639793513</v>
      </c>
      <c r="P62" s="25">
        <f t="shared" si="12"/>
        <v>0.008814233696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IFERROR(__xludf.DUMMYFUNCTION("""COMPUTED_VALUE"""),46220.64583333333)</f>
        <v>46220.64583</v>
      </c>
      <c r="C63" s="1">
        <f>IFERROR(__xludf.DUMMYFUNCTION("""COMPUTED_VALUE"""),819.6)</f>
        <v>819.6</v>
      </c>
      <c r="D63" s="1"/>
      <c r="E63" s="112">
        <f>IFERROR(__xludf.DUMMYFUNCTION("""COMPUTED_VALUE"""),46220.64583333333)</f>
        <v>46220.64583</v>
      </c>
      <c r="F63" s="1">
        <f>IFERROR(__xludf.DUMMYFUNCTION("""COMPUTED_VALUE"""),58521.4)</f>
        <v>58521.4</v>
      </c>
      <c r="G63" s="1"/>
      <c r="H63" s="29">
        <f t="shared" si="4"/>
        <v>0.01400513316</v>
      </c>
      <c r="I63" s="1">
        <f t="shared" si="5"/>
        <v>-57701.8</v>
      </c>
      <c r="J63" s="113">
        <f t="shared" si="6"/>
        <v>-1.347831443</v>
      </c>
      <c r="K63" s="29">
        <f t="shared" si="7"/>
        <v>0.01400513316</v>
      </c>
      <c r="L63" s="65">
        <f t="shared" si="8"/>
        <v>805.1475</v>
      </c>
      <c r="M63" s="25">
        <f t="shared" si="9"/>
        <v>0.01763360176</v>
      </c>
      <c r="N63" s="65">
        <f t="shared" si="10"/>
        <v>57819.7175</v>
      </c>
      <c r="O63" s="25">
        <f t="shared" si="11"/>
        <v>0.0119901865</v>
      </c>
      <c r="P63" s="25">
        <f t="shared" si="12"/>
        <v>0.005643415261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IFERROR(__xludf.DUMMYFUNCTION("""COMPUTED_VALUE"""),46223.64583333333)</f>
        <v>46223.64583</v>
      </c>
      <c r="C64" s="1">
        <f>IFERROR(__xludf.DUMMYFUNCTION("""COMPUTED_VALUE"""),777.6)</f>
        <v>777.6</v>
      </c>
      <c r="D64" s="1"/>
      <c r="E64" s="112">
        <f>IFERROR(__xludf.DUMMYFUNCTION("""COMPUTED_VALUE"""),46223.64583333333)</f>
        <v>46223.64583</v>
      </c>
      <c r="F64" s="1">
        <f>IFERROR(__xludf.DUMMYFUNCTION("""COMPUTED_VALUE"""),57945.0)</f>
        <v>57945</v>
      </c>
      <c r="G64" s="1"/>
      <c r="H64" s="29">
        <f t="shared" si="4"/>
        <v>0.01341962206</v>
      </c>
      <c r="I64" s="1">
        <f t="shared" si="5"/>
        <v>-57167.4</v>
      </c>
      <c r="J64" s="113">
        <f t="shared" si="6"/>
        <v>-0.9923681858</v>
      </c>
      <c r="K64" s="29">
        <f t="shared" si="7"/>
        <v>0.01341962206</v>
      </c>
      <c r="L64" s="65">
        <f t="shared" si="8"/>
        <v>805.0375</v>
      </c>
      <c r="M64" s="25">
        <f t="shared" si="9"/>
        <v>-0.03528485082</v>
      </c>
      <c r="N64" s="65">
        <f t="shared" si="10"/>
        <v>57832.68</v>
      </c>
      <c r="O64" s="25">
        <f t="shared" si="11"/>
        <v>0.001938389852</v>
      </c>
      <c r="P64" s="25">
        <f t="shared" si="12"/>
        <v>-0.03722324068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IFERROR(__xludf.DUMMYFUNCTION("""COMPUTED_VALUE"""),46224.64583333333)</f>
        <v>46224.64583</v>
      </c>
      <c r="C65" s="1">
        <f>IFERROR(__xludf.DUMMYFUNCTION("""COMPUTED_VALUE"""),761.45)</f>
        <v>761.45</v>
      </c>
      <c r="D65" s="1"/>
      <c r="E65" s="112">
        <f>IFERROR(__xludf.DUMMYFUNCTION("""COMPUTED_VALUE"""),46224.64583333333)</f>
        <v>46224.64583</v>
      </c>
      <c r="F65" s="1">
        <f>IFERROR(__xludf.DUMMYFUNCTION("""COMPUTED_VALUE"""),57835.35)</f>
        <v>57835.35</v>
      </c>
      <c r="G65" s="1"/>
      <c r="H65" s="29">
        <f t="shared" si="4"/>
        <v>0.01316582332</v>
      </c>
      <c r="I65" s="1">
        <f t="shared" si="5"/>
        <v>-57073.9</v>
      </c>
      <c r="J65" s="113">
        <f t="shared" si="6"/>
        <v>-0.930175419</v>
      </c>
      <c r="K65" s="29">
        <f t="shared" si="7"/>
        <v>0.01316582332</v>
      </c>
      <c r="L65" s="65">
        <f t="shared" si="8"/>
        <v>803.79</v>
      </c>
      <c r="M65" s="25">
        <f t="shared" si="9"/>
        <v>-0.0556044389</v>
      </c>
      <c r="N65" s="65">
        <f t="shared" si="10"/>
        <v>57827.6675</v>
      </c>
      <c r="O65" s="25">
        <f t="shared" si="11"/>
        <v>0.0001328339848</v>
      </c>
      <c r="P65" s="25">
        <f t="shared" si="12"/>
        <v>-0.05573727288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IFERROR(__xludf.DUMMYFUNCTION("""COMPUTED_VALUE"""),46225.64583333333)</f>
        <v>46225.64583</v>
      </c>
      <c r="C66" s="1">
        <f>IFERROR(__xludf.DUMMYFUNCTION("""COMPUTED_VALUE"""),753.15)</f>
        <v>753.15</v>
      </c>
      <c r="D66" s="1"/>
      <c r="E66" s="112">
        <f>IFERROR(__xludf.DUMMYFUNCTION("""COMPUTED_VALUE"""),46225.64583333333)</f>
        <v>46225.64583</v>
      </c>
      <c r="F66" s="1">
        <f>IFERROR(__xludf.DUMMYFUNCTION("""COMPUTED_VALUE"""),57126.8)</f>
        <v>57126.8</v>
      </c>
      <c r="G66" s="1"/>
      <c r="H66" s="29">
        <f t="shared" si="4"/>
        <v>0.01318382966</v>
      </c>
      <c r="I66" s="1">
        <f t="shared" si="5"/>
        <v>-56373.65</v>
      </c>
      <c r="J66" s="113">
        <f t="shared" si="6"/>
        <v>-0.4643948311</v>
      </c>
      <c r="K66" s="29">
        <f t="shared" si="7"/>
        <v>0.01318382966</v>
      </c>
      <c r="L66" s="65">
        <f t="shared" si="8"/>
        <v>802.715</v>
      </c>
      <c r="M66" s="25">
        <f t="shared" si="9"/>
        <v>-0.06581026356</v>
      </c>
      <c r="N66" s="65">
        <f t="shared" si="10"/>
        <v>57824.82</v>
      </c>
      <c r="O66" s="25">
        <f t="shared" si="11"/>
        <v>-0.01221878348</v>
      </c>
      <c r="P66" s="25">
        <f t="shared" si="12"/>
        <v>-0.05359148008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IFERROR(__xludf.DUMMYFUNCTION("""COMPUTED_VALUE"""),46226.64583333333)</f>
        <v>46226.64583</v>
      </c>
      <c r="C67" s="1">
        <f>IFERROR(__xludf.DUMMYFUNCTION("""COMPUTED_VALUE"""),747.25)</f>
        <v>747.25</v>
      </c>
      <c r="D67" s="1"/>
      <c r="E67" s="112">
        <f>IFERROR(__xludf.DUMMYFUNCTION("""COMPUTED_VALUE"""),46226.64583333333)</f>
        <v>46226.64583</v>
      </c>
      <c r="F67" s="1">
        <f>IFERROR(__xludf.DUMMYFUNCTION("""COMPUTED_VALUE"""),56592.0)</f>
        <v>56592</v>
      </c>
      <c r="G67" s="1"/>
      <c r="H67" s="29">
        <f t="shared" si="4"/>
        <v>0.01320416313</v>
      </c>
      <c r="I67" s="1">
        <f t="shared" si="5"/>
        <v>-55844.75</v>
      </c>
      <c r="J67" s="113">
        <f t="shared" si="6"/>
        <v>-0.1125899715</v>
      </c>
      <c r="K67" s="29">
        <f t="shared" si="7"/>
        <v>0.01320416313</v>
      </c>
      <c r="L67" s="65">
        <f t="shared" si="8"/>
        <v>800.4175</v>
      </c>
      <c r="M67" s="25">
        <f t="shared" si="9"/>
        <v>-0.07115088658</v>
      </c>
      <c r="N67" s="65">
        <f t="shared" si="10"/>
        <v>57746.9025</v>
      </c>
      <c r="O67" s="25">
        <f t="shared" si="11"/>
        <v>-0.02040752226</v>
      </c>
      <c r="P67" s="25">
        <f t="shared" si="12"/>
        <v>-0.05074336432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IFERROR(__xludf.DUMMYFUNCTION("""COMPUTED_VALUE"""),46227.64583333333)</f>
        <v>46227.64583</v>
      </c>
      <c r="C68" s="1">
        <f>IFERROR(__xludf.DUMMYFUNCTION("""COMPUTED_VALUE"""),742.8)</f>
        <v>742.8</v>
      </c>
      <c r="D68" s="1"/>
      <c r="E68" s="112">
        <f>IFERROR(__xludf.DUMMYFUNCTION("""COMPUTED_VALUE"""),46227.64583333333)</f>
        <v>46227.64583</v>
      </c>
      <c r="F68" s="1">
        <f>IFERROR(__xludf.DUMMYFUNCTION("""COMPUTED_VALUE"""),56693.5)</f>
        <v>56693.5</v>
      </c>
      <c r="G68" s="1"/>
      <c r="H68" s="29">
        <f t="shared" si="4"/>
        <v>0.0131020311</v>
      </c>
      <c r="I68" s="1">
        <f t="shared" si="5"/>
        <v>-55950.7</v>
      </c>
      <c r="J68" s="113">
        <f t="shared" si="6"/>
        <v>-0.1830640211</v>
      </c>
      <c r="K68" s="29">
        <f t="shared" si="7"/>
        <v>0.0131020311</v>
      </c>
      <c r="L68" s="65">
        <f t="shared" si="8"/>
        <v>797.7425</v>
      </c>
      <c r="M68" s="25">
        <f t="shared" si="9"/>
        <v>-0.07396674744</v>
      </c>
      <c r="N68" s="65">
        <f t="shared" si="10"/>
        <v>57672.725</v>
      </c>
      <c r="O68" s="25">
        <f t="shared" si="11"/>
        <v>-0.01727226225</v>
      </c>
      <c r="P68" s="25">
        <f t="shared" si="12"/>
        <v>-0.05669448519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IFERROR(__xludf.DUMMYFUNCTION("""COMPUTED_VALUE"""),46230.64583333333)</f>
        <v>46230.64583</v>
      </c>
      <c r="C69" s="1">
        <f>IFERROR(__xludf.DUMMYFUNCTION("""COMPUTED_VALUE"""),739.55)</f>
        <v>739.55</v>
      </c>
      <c r="D69" s="1"/>
      <c r="E69" s="112">
        <f>IFERROR(__xludf.DUMMYFUNCTION("""COMPUTED_VALUE"""),46230.64583333333)</f>
        <v>46230.64583</v>
      </c>
      <c r="F69" s="1">
        <f>IFERROR(__xludf.DUMMYFUNCTION("""COMPUTED_VALUE"""),57087.2)</f>
        <v>57087.2</v>
      </c>
      <c r="G69" s="1"/>
      <c r="H69" s="29">
        <f t="shared" si="4"/>
        <v>0.01295474292</v>
      </c>
      <c r="I69" s="1">
        <f t="shared" si="5"/>
        <v>-56347.65</v>
      </c>
      <c r="J69" s="113">
        <f t="shared" si="6"/>
        <v>-0.4471005858</v>
      </c>
      <c r="K69" s="29">
        <f t="shared" si="7"/>
        <v>0.01295474292</v>
      </c>
      <c r="L69" s="65">
        <f t="shared" si="8"/>
        <v>794.775</v>
      </c>
      <c r="M69" s="25">
        <f t="shared" si="9"/>
        <v>-0.07467378811</v>
      </c>
      <c r="N69" s="65">
        <f t="shared" si="10"/>
        <v>57640.7175</v>
      </c>
      <c r="O69" s="25">
        <f t="shared" si="11"/>
        <v>-0.009696000154</v>
      </c>
      <c r="P69" s="25">
        <f t="shared" si="12"/>
        <v>-0.06497778796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IFERROR(__xludf.DUMMYFUNCTION("""COMPUTED_VALUE"""),46231.64583333333)</f>
        <v>46231.64583</v>
      </c>
      <c r="C70" s="1">
        <f>IFERROR(__xludf.DUMMYFUNCTION("""COMPUTED_VALUE"""),735.4)</f>
        <v>735.4</v>
      </c>
      <c r="D70" s="1"/>
      <c r="E70" s="112">
        <f>IFERROR(__xludf.DUMMYFUNCTION("""COMPUTED_VALUE"""),46231.64583333333)</f>
        <v>46231.64583</v>
      </c>
      <c r="F70" s="1">
        <f>IFERROR(__xludf.DUMMYFUNCTION("""COMPUTED_VALUE"""),56755.6)</f>
        <v>56755.6</v>
      </c>
      <c r="G70" s="1"/>
      <c r="H70" s="29">
        <f t="shared" si="4"/>
        <v>0.0129573117</v>
      </c>
      <c r="I70" s="1">
        <f t="shared" si="5"/>
        <v>-56020.2</v>
      </c>
      <c r="J70" s="113">
        <f t="shared" si="6"/>
        <v>-0.2292928692</v>
      </c>
      <c r="K70" s="29">
        <f t="shared" si="7"/>
        <v>0.0129573117</v>
      </c>
      <c r="L70" s="65">
        <f t="shared" si="8"/>
        <v>791.6475</v>
      </c>
      <c r="M70" s="25">
        <f t="shared" si="9"/>
        <v>-0.07648558608</v>
      </c>
      <c r="N70" s="65">
        <f t="shared" si="10"/>
        <v>57601.3525</v>
      </c>
      <c r="O70" s="25">
        <f t="shared" si="11"/>
        <v>-0.01490165728</v>
      </c>
      <c r="P70" s="25">
        <f t="shared" si="12"/>
        <v>-0.06158392879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IFERROR(__xludf.DUMMYFUNCTION("""COMPUTED_VALUE"""),46232.64583333333)</f>
        <v>46232.64583</v>
      </c>
      <c r="C71" s="1">
        <f>IFERROR(__xludf.DUMMYFUNCTION("""COMPUTED_VALUE"""),748.2)</f>
        <v>748.2</v>
      </c>
      <c r="D71" s="1"/>
      <c r="E71" s="112">
        <f>IFERROR(__xludf.DUMMYFUNCTION("""COMPUTED_VALUE"""),46232.64583333333)</f>
        <v>46232.64583</v>
      </c>
      <c r="F71" s="1">
        <f>IFERROR(__xludf.DUMMYFUNCTION("""COMPUTED_VALUE"""),57205.9)</f>
        <v>57205.9</v>
      </c>
      <c r="G71" s="1"/>
      <c r="H71" s="29">
        <f t="shared" si="4"/>
        <v>0.01307907052</v>
      </c>
      <c r="I71" s="1">
        <f t="shared" si="5"/>
        <v>-56457.7</v>
      </c>
      <c r="J71" s="113">
        <f t="shared" si="6"/>
        <v>-0.5203018049</v>
      </c>
      <c r="K71" s="29">
        <f t="shared" si="7"/>
        <v>0.01307907052</v>
      </c>
      <c r="L71" s="65">
        <f t="shared" si="8"/>
        <v>789.25</v>
      </c>
      <c r="M71" s="25">
        <f t="shared" si="9"/>
        <v>-0.05486500936</v>
      </c>
      <c r="N71" s="65">
        <f t="shared" si="10"/>
        <v>57559.995</v>
      </c>
      <c r="O71" s="25">
        <f t="shared" si="11"/>
        <v>-0.006189833566</v>
      </c>
      <c r="P71" s="25">
        <f t="shared" si="12"/>
        <v>-0.04867517579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IFERROR(__xludf.DUMMYFUNCTION("""COMPUTED_VALUE"""),46233.64583333333)</f>
        <v>46233.64583</v>
      </c>
      <c r="C72" s="1">
        <f>IFERROR(__xludf.DUMMYFUNCTION("""COMPUTED_VALUE"""),753.95)</f>
        <v>753.95</v>
      </c>
      <c r="D72" s="1"/>
      <c r="E72" s="112">
        <f>IFERROR(__xludf.DUMMYFUNCTION("""COMPUTED_VALUE"""),46233.64583333333)</f>
        <v>46233.64583</v>
      </c>
      <c r="F72" s="1">
        <f>IFERROR(__xludf.DUMMYFUNCTION("""COMPUTED_VALUE"""),57147.5)</f>
        <v>57147.5</v>
      </c>
      <c r="G72" s="1"/>
      <c r="H72" s="29">
        <f t="shared" si="4"/>
        <v>0.01319305306</v>
      </c>
      <c r="I72" s="1">
        <f t="shared" si="5"/>
        <v>-56393.55</v>
      </c>
      <c r="J72" s="113">
        <f t="shared" si="6"/>
        <v>-0.4776315804</v>
      </c>
      <c r="K72" s="29">
        <f t="shared" si="7"/>
        <v>0.01319305306</v>
      </c>
      <c r="L72" s="65">
        <f t="shared" si="8"/>
        <v>787.1525</v>
      </c>
      <c r="M72" s="25">
        <f t="shared" si="9"/>
        <v>-0.04403806618</v>
      </c>
      <c r="N72" s="65">
        <f t="shared" si="10"/>
        <v>57515.7875</v>
      </c>
      <c r="O72" s="25">
        <f t="shared" si="11"/>
        <v>-0.006444507634</v>
      </c>
      <c r="P72" s="25">
        <f t="shared" si="12"/>
        <v>-0.03759355855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IFERROR(__xludf.DUMMYFUNCTION("""COMPUTED_VALUE"""),46234.64583333333)</f>
        <v>46234.64583</v>
      </c>
      <c r="C73" s="1">
        <f>IFERROR(__xludf.DUMMYFUNCTION("""COMPUTED_VALUE"""),748.15)</f>
        <v>748.15</v>
      </c>
      <c r="D73" s="1"/>
      <c r="E73" s="112">
        <f>IFERROR(__xludf.DUMMYFUNCTION("""COMPUTED_VALUE"""),46234.64583333333)</f>
        <v>46234.64583</v>
      </c>
      <c r="F73" s="1">
        <f>IFERROR(__xludf.DUMMYFUNCTION("""COMPUTED_VALUE"""),57264.85)</f>
        <v>57264.85</v>
      </c>
      <c r="G73" s="1"/>
      <c r="H73" s="29">
        <f t="shared" si="4"/>
        <v>0.01306473343</v>
      </c>
      <c r="I73" s="1">
        <f t="shared" si="5"/>
        <v>-56516.7</v>
      </c>
      <c r="J73" s="113">
        <f t="shared" si="6"/>
        <v>-0.5595464385</v>
      </c>
      <c r="K73" s="29">
        <f t="shared" si="7"/>
        <v>0.01306473343</v>
      </c>
      <c r="L73" s="65">
        <f t="shared" si="8"/>
        <v>784.5075</v>
      </c>
      <c r="M73" s="25">
        <f t="shared" si="9"/>
        <v>-0.04859653813</v>
      </c>
      <c r="N73" s="65">
        <f t="shared" si="10"/>
        <v>57482.105</v>
      </c>
      <c r="O73" s="25">
        <f t="shared" si="11"/>
        <v>-0.003793863077</v>
      </c>
      <c r="P73" s="25">
        <f t="shared" si="12"/>
        <v>-0.04480267505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IFERROR(__xludf.DUMMYFUNCTION("""COMPUTED_VALUE"""),46237.64583333333)</f>
        <v>46237.64583</v>
      </c>
      <c r="C74" s="1">
        <f>IFERROR(__xludf.DUMMYFUNCTION("""COMPUTED_VALUE"""),753.0)</f>
        <v>753</v>
      </c>
      <c r="D74" s="1"/>
      <c r="E74" s="112">
        <f>IFERROR(__xludf.DUMMYFUNCTION("""COMPUTED_VALUE"""),46237.64583333333)</f>
        <v>46237.64583</v>
      </c>
      <c r="F74" s="1">
        <f>IFERROR(__xludf.DUMMYFUNCTION("""COMPUTED_VALUE"""),58247.95)</f>
        <v>58247.95</v>
      </c>
      <c r="G74" s="1"/>
      <c r="H74" s="29">
        <f t="shared" si="4"/>
        <v>0.01292749359</v>
      </c>
      <c r="I74" s="1">
        <f t="shared" si="5"/>
        <v>-57494.95</v>
      </c>
      <c r="J74" s="113">
        <f t="shared" si="6"/>
        <v>-1.210242419</v>
      </c>
      <c r="K74" s="29">
        <f t="shared" si="7"/>
        <v>0.01292749359</v>
      </c>
      <c r="L74" s="65">
        <f t="shared" si="8"/>
        <v>780.665</v>
      </c>
      <c r="M74" s="25">
        <f t="shared" si="9"/>
        <v>-0.03673970784</v>
      </c>
      <c r="N74" s="65">
        <f t="shared" si="10"/>
        <v>57479.9275</v>
      </c>
      <c r="O74" s="25">
        <f t="shared" si="11"/>
        <v>0.01318539966</v>
      </c>
      <c r="P74" s="25">
        <f t="shared" si="12"/>
        <v>-0.04992510749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IFERROR(__xludf.DUMMYFUNCTION("""COMPUTED_VALUE"""),46238.64583333333)</f>
        <v>46238.64583</v>
      </c>
      <c r="C75" s="1">
        <f>IFERROR(__xludf.DUMMYFUNCTION("""COMPUTED_VALUE"""),742.0)</f>
        <v>742</v>
      </c>
      <c r="D75" s="1"/>
      <c r="E75" s="112">
        <f>IFERROR(__xludf.DUMMYFUNCTION("""COMPUTED_VALUE"""),46238.64583333333)</f>
        <v>46238.64583</v>
      </c>
      <c r="F75" s="1">
        <f>IFERROR(__xludf.DUMMYFUNCTION("""COMPUTED_VALUE"""),57907.2)</f>
        <v>57907.2</v>
      </c>
      <c r="G75" s="1"/>
      <c r="H75" s="29">
        <f t="shared" si="4"/>
        <v>0.01281360522</v>
      </c>
      <c r="I75" s="1">
        <f t="shared" si="5"/>
        <v>-57165.2</v>
      </c>
      <c r="J75" s="113">
        <f t="shared" si="6"/>
        <v>-0.9909048266</v>
      </c>
      <c r="K75" s="29">
        <f t="shared" si="7"/>
        <v>0.01281360522</v>
      </c>
      <c r="L75" s="65">
        <f t="shared" si="8"/>
        <v>776.3</v>
      </c>
      <c r="M75" s="25">
        <f t="shared" si="9"/>
        <v>-0.04622641509</v>
      </c>
      <c r="N75" s="65">
        <f t="shared" si="10"/>
        <v>57465.2525</v>
      </c>
      <c r="O75" s="25">
        <f t="shared" si="11"/>
        <v>0.007631995676</v>
      </c>
      <c r="P75" s="25">
        <f t="shared" si="12"/>
        <v>-0.05385841077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IFERROR(__xludf.DUMMYFUNCTION("""COMPUTED_VALUE"""),46239.64583333333)</f>
        <v>46239.64583</v>
      </c>
      <c r="C76" s="1">
        <f>IFERROR(__xludf.DUMMYFUNCTION("""COMPUTED_VALUE"""),735.0)</f>
        <v>735</v>
      </c>
      <c r="D76" s="1"/>
      <c r="E76" s="112">
        <f>IFERROR(__xludf.DUMMYFUNCTION("""COMPUTED_VALUE"""),46239.64583333333)</f>
        <v>46239.64583</v>
      </c>
      <c r="F76" s="1">
        <f>IFERROR(__xludf.DUMMYFUNCTION("""COMPUTED_VALUE"""),57739.95)</f>
        <v>57739.95</v>
      </c>
      <c r="G76" s="1"/>
      <c r="H76" s="29">
        <f t="shared" si="4"/>
        <v>0.01272948799</v>
      </c>
      <c r="I76" s="1">
        <f t="shared" si="5"/>
        <v>-57004.95</v>
      </c>
      <c r="J76" s="113">
        <f t="shared" si="6"/>
        <v>-0.8843124107</v>
      </c>
      <c r="K76" s="29">
        <f t="shared" si="7"/>
        <v>0.01272948799</v>
      </c>
      <c r="L76" s="65">
        <f t="shared" si="8"/>
        <v>772.535</v>
      </c>
      <c r="M76" s="25">
        <f t="shared" si="9"/>
        <v>-0.05106802721</v>
      </c>
      <c r="N76" s="65">
        <f t="shared" si="10"/>
        <v>57515.12</v>
      </c>
      <c r="O76" s="25">
        <f t="shared" si="11"/>
        <v>0.003893837802</v>
      </c>
      <c r="P76" s="25">
        <f t="shared" si="12"/>
        <v>-0.05496186501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IFERROR(__xludf.DUMMYFUNCTION("""COMPUTED_VALUE"""),46240.64583333333)</f>
        <v>46240.64583</v>
      </c>
      <c r="C77" s="1">
        <f>IFERROR(__xludf.DUMMYFUNCTION("""COMPUTED_VALUE"""),734.3)</f>
        <v>734.3</v>
      </c>
      <c r="D77" s="1"/>
      <c r="E77" s="112">
        <f>IFERROR(__xludf.DUMMYFUNCTION("""COMPUTED_VALUE"""),46240.64583333333)</f>
        <v>46240.64583</v>
      </c>
      <c r="F77" s="1">
        <f>IFERROR(__xludf.DUMMYFUNCTION("""COMPUTED_VALUE"""),58063.65)</f>
        <v>58063.65</v>
      </c>
      <c r="G77" s="1"/>
      <c r="H77" s="29">
        <f t="shared" si="4"/>
        <v>0.01264646642</v>
      </c>
      <c r="I77" s="1">
        <f t="shared" si="5"/>
        <v>-57329.35</v>
      </c>
      <c r="J77" s="113">
        <f t="shared" si="6"/>
        <v>-1.100091379</v>
      </c>
      <c r="K77" s="29">
        <f t="shared" si="7"/>
        <v>0.01264646642</v>
      </c>
      <c r="L77" s="65">
        <f t="shared" si="8"/>
        <v>768.3725</v>
      </c>
      <c r="M77" s="25">
        <f t="shared" si="9"/>
        <v>-0.0464013346</v>
      </c>
      <c r="N77" s="65">
        <f t="shared" si="10"/>
        <v>57555.68</v>
      </c>
      <c r="O77" s="25">
        <f t="shared" si="11"/>
        <v>0.008748502721</v>
      </c>
      <c r="P77" s="25">
        <f t="shared" si="12"/>
        <v>-0.05514983733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IFERROR(__xludf.DUMMYFUNCTION("""COMPUTED_VALUE"""),46241.64583333333)</f>
        <v>46241.64583</v>
      </c>
      <c r="C78" s="1">
        <f>IFERROR(__xludf.DUMMYFUNCTION("""COMPUTED_VALUE"""),731.0)</f>
        <v>731</v>
      </c>
      <c r="D78" s="1"/>
      <c r="E78" s="112">
        <f>IFERROR(__xludf.DUMMYFUNCTION("""COMPUTED_VALUE"""),46241.64583333333)</f>
        <v>46241.64583</v>
      </c>
      <c r="F78" s="1">
        <f>IFERROR(__xludf.DUMMYFUNCTION("""COMPUTED_VALUE"""),57746.45)</f>
        <v>57746.45</v>
      </c>
      <c r="G78" s="1"/>
      <c r="H78" s="29">
        <f t="shared" si="4"/>
        <v>0.01265878682</v>
      </c>
      <c r="I78" s="1">
        <f t="shared" si="5"/>
        <v>-57015.45</v>
      </c>
      <c r="J78" s="113">
        <f t="shared" si="6"/>
        <v>-0.8912966252</v>
      </c>
      <c r="K78" s="29">
        <f t="shared" si="7"/>
        <v>0.01265878682</v>
      </c>
      <c r="L78" s="65">
        <f t="shared" si="8"/>
        <v>763.675</v>
      </c>
      <c r="M78" s="25">
        <f t="shared" si="9"/>
        <v>-0.04469904241</v>
      </c>
      <c r="N78" s="65">
        <f t="shared" si="10"/>
        <v>57540.7075</v>
      </c>
      <c r="O78" s="25">
        <f t="shared" si="11"/>
        <v>0.003562859708</v>
      </c>
      <c r="P78" s="25">
        <f t="shared" si="12"/>
        <v>-0.04826190212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IFERROR(__xludf.DUMMYFUNCTION("""COMPUTED_VALUE"""),46244.64583333333)</f>
        <v>46244.64583</v>
      </c>
      <c r="C79" s="1">
        <f>IFERROR(__xludf.DUMMYFUNCTION("""COMPUTED_VALUE"""),731.0)</f>
        <v>731</v>
      </c>
      <c r="D79" s="1"/>
      <c r="E79" s="112">
        <f>IFERROR(__xludf.DUMMYFUNCTION("""COMPUTED_VALUE"""),46244.64583333333)</f>
        <v>46244.64583</v>
      </c>
      <c r="F79" s="1">
        <f>IFERROR(__xludf.DUMMYFUNCTION("""COMPUTED_VALUE"""),57686.95)</f>
        <v>57686.95</v>
      </c>
      <c r="G79" s="1"/>
      <c r="H79" s="29">
        <f t="shared" si="4"/>
        <v>0.01267184346</v>
      </c>
      <c r="I79" s="1">
        <f t="shared" si="5"/>
        <v>-56955.95</v>
      </c>
      <c r="J79" s="113">
        <f t="shared" si="6"/>
        <v>-0.8517194099</v>
      </c>
      <c r="K79" s="29">
        <f t="shared" si="7"/>
        <v>0.01267184346</v>
      </c>
      <c r="L79" s="65">
        <f t="shared" si="8"/>
        <v>759.3275</v>
      </c>
      <c r="M79" s="25">
        <f t="shared" si="9"/>
        <v>-0.03875170999</v>
      </c>
      <c r="N79" s="65">
        <f t="shared" si="10"/>
        <v>57518.4825</v>
      </c>
      <c r="O79" s="25">
        <f t="shared" si="11"/>
        <v>0.002920374539</v>
      </c>
      <c r="P79" s="25">
        <f t="shared" si="12"/>
        <v>-0.04167208453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IFERROR(__xludf.DUMMYFUNCTION("""COMPUTED_VALUE"""),46245.64583333333)</f>
        <v>46245.64583</v>
      </c>
      <c r="C80" s="1">
        <f>IFERROR(__xludf.DUMMYFUNCTION("""COMPUTED_VALUE"""),729.0)</f>
        <v>729</v>
      </c>
      <c r="D80" s="1"/>
      <c r="E80" s="112">
        <f>IFERROR(__xludf.DUMMYFUNCTION("""COMPUTED_VALUE"""),46245.64583333333)</f>
        <v>46245.64583</v>
      </c>
      <c r="F80" s="1">
        <f>IFERROR(__xludf.DUMMYFUNCTION("""COMPUTED_VALUE"""),57446.25)</f>
        <v>57446.25</v>
      </c>
      <c r="G80" s="1"/>
      <c r="H80" s="29">
        <f t="shared" si="4"/>
        <v>0.01269012338</v>
      </c>
      <c r="I80" s="1">
        <f t="shared" si="5"/>
        <v>-56717.25</v>
      </c>
      <c r="J80" s="113">
        <f t="shared" si="6"/>
        <v>-0.6929449346</v>
      </c>
      <c r="K80" s="29">
        <f t="shared" si="7"/>
        <v>0.01269012338</v>
      </c>
      <c r="L80" s="65">
        <f t="shared" si="8"/>
        <v>755.3075</v>
      </c>
      <c r="M80" s="25">
        <f t="shared" si="9"/>
        <v>-0.03608710562</v>
      </c>
      <c r="N80" s="65">
        <f t="shared" si="10"/>
        <v>57517.68</v>
      </c>
      <c r="O80" s="25">
        <f t="shared" si="11"/>
        <v>-0.0012434232</v>
      </c>
      <c r="P80" s="25">
        <f t="shared" si="12"/>
        <v>-0.03484368242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IFERROR(__xludf.DUMMYFUNCTION("""COMPUTED_VALUE"""),46246.64583333333)</f>
        <v>46246.64583</v>
      </c>
      <c r="C81" s="1">
        <f>IFERROR(__xludf.DUMMYFUNCTION("""COMPUTED_VALUE"""),729.0)</f>
        <v>729</v>
      </c>
      <c r="D81" s="1"/>
      <c r="E81" s="112">
        <f>IFERROR(__xludf.DUMMYFUNCTION("""COMPUTED_VALUE"""),46246.64583333333)</f>
        <v>46246.64583</v>
      </c>
      <c r="F81" s="1">
        <f>IFERROR(__xludf.DUMMYFUNCTION("""COMPUTED_VALUE"""),57885.85)</f>
        <v>57885.85</v>
      </c>
      <c r="G81" s="1"/>
      <c r="H81" s="29">
        <f t="shared" si="4"/>
        <v>0.01259375132</v>
      </c>
      <c r="I81" s="1">
        <f t="shared" si="5"/>
        <v>-57156.85</v>
      </c>
      <c r="J81" s="113">
        <f t="shared" si="6"/>
        <v>-0.9853507132</v>
      </c>
      <c r="K81" s="29">
        <f t="shared" si="7"/>
        <v>0.01259375132</v>
      </c>
      <c r="L81" s="65">
        <f t="shared" si="8"/>
        <v>750.985</v>
      </c>
      <c r="M81" s="25">
        <f t="shared" si="9"/>
        <v>-0.03015775034</v>
      </c>
      <c r="N81" s="65">
        <f t="shared" si="10"/>
        <v>57524.08</v>
      </c>
      <c r="O81" s="25">
        <f t="shared" si="11"/>
        <v>0.006249713877</v>
      </c>
      <c r="P81" s="25">
        <f t="shared" si="12"/>
        <v>-0.03640746422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IFERROR(__xludf.DUMMYFUNCTION("""COMPUTED_VALUE"""),46247.64583333333)</f>
        <v>46247.64583</v>
      </c>
      <c r="C82" s="1">
        <f>IFERROR(__xludf.DUMMYFUNCTION("""COMPUTED_VALUE"""),725.0)</f>
        <v>725</v>
      </c>
      <c r="D82" s="1"/>
      <c r="E82" s="112">
        <f>IFERROR(__xludf.DUMMYFUNCTION("""COMPUTED_VALUE"""),46247.64583333333)</f>
        <v>46247.64583</v>
      </c>
      <c r="F82" s="1">
        <f>IFERROR(__xludf.DUMMYFUNCTION("""COMPUTED_VALUE"""),57635.25)</f>
        <v>57635.25</v>
      </c>
      <c r="G82" s="1"/>
      <c r="H82" s="29">
        <f t="shared" si="4"/>
        <v>0.0125791074</v>
      </c>
      <c r="I82" s="1">
        <f t="shared" si="5"/>
        <v>-56910.25</v>
      </c>
      <c r="J82" s="113">
        <f t="shared" si="6"/>
        <v>-0.821321448</v>
      </c>
      <c r="K82" s="29">
        <f t="shared" si="7"/>
        <v>0.0125791074</v>
      </c>
      <c r="L82" s="65">
        <f t="shared" si="8"/>
        <v>746.82</v>
      </c>
      <c r="M82" s="25">
        <f t="shared" si="9"/>
        <v>-0.03009655172</v>
      </c>
      <c r="N82" s="65">
        <f t="shared" si="10"/>
        <v>57526.73</v>
      </c>
      <c r="O82" s="25">
        <f t="shared" si="11"/>
        <v>0.001882875497</v>
      </c>
      <c r="P82" s="25">
        <f t="shared" si="12"/>
        <v>-0.03197942722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IFERROR(__xludf.DUMMYFUNCTION("""COMPUTED_VALUE"""),46248.64583333333)</f>
        <v>46248.64583</v>
      </c>
      <c r="C83" s="1">
        <f>IFERROR(__xludf.DUMMYFUNCTION("""COMPUTED_VALUE"""),727.0)</f>
        <v>727</v>
      </c>
      <c r="D83" s="1"/>
      <c r="E83" s="112">
        <f>IFERROR(__xludf.DUMMYFUNCTION("""COMPUTED_VALUE"""),46248.64583333333)</f>
        <v>46248.64583</v>
      </c>
      <c r="F83" s="1">
        <f>IFERROR(__xludf.DUMMYFUNCTION("""COMPUTED_VALUE"""),57491.1)</f>
        <v>57491.1</v>
      </c>
      <c r="G83" s="1"/>
      <c r="H83" s="29">
        <f t="shared" si="4"/>
        <v>0.01264543555</v>
      </c>
      <c r="I83" s="1">
        <f t="shared" si="5"/>
        <v>-56764.1</v>
      </c>
      <c r="J83" s="113">
        <f t="shared" si="6"/>
        <v>-0.7241078344</v>
      </c>
      <c r="K83" s="29">
        <f t="shared" si="7"/>
        <v>0.01264543555</v>
      </c>
      <c r="L83" s="65">
        <f t="shared" si="8"/>
        <v>742.19</v>
      </c>
      <c r="M83" s="25">
        <f t="shared" si="9"/>
        <v>-0.02089408528</v>
      </c>
      <c r="N83" s="65">
        <f t="shared" si="10"/>
        <v>57475.215</v>
      </c>
      <c r="O83" s="25">
        <f t="shared" si="11"/>
        <v>0.0002763036366</v>
      </c>
      <c r="P83" s="25">
        <f t="shared" si="12"/>
        <v>-0.02117038892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IFERROR(__xludf.DUMMYFUNCTION("""COMPUTED_VALUE"""),46251.64583333333)</f>
        <v>46251.64583</v>
      </c>
      <c r="C84" s="1">
        <f>IFERROR(__xludf.DUMMYFUNCTION("""COMPUTED_VALUE"""),729.0)</f>
        <v>729</v>
      </c>
      <c r="D84" s="1"/>
      <c r="E84" s="112">
        <f>IFERROR(__xludf.DUMMYFUNCTION("""COMPUTED_VALUE"""),46251.64583333333)</f>
        <v>46251.64583</v>
      </c>
      <c r="F84" s="1">
        <f>IFERROR(__xludf.DUMMYFUNCTION("""COMPUTED_VALUE"""),57497.8)</f>
        <v>57497.8</v>
      </c>
      <c r="G84" s="1"/>
      <c r="H84" s="29">
        <f t="shared" si="4"/>
        <v>0.01267874597</v>
      </c>
      <c r="I84" s="1">
        <f t="shared" si="5"/>
        <v>-56768.8</v>
      </c>
      <c r="J84" s="113">
        <f t="shared" si="6"/>
        <v>-0.7272341018</v>
      </c>
      <c r="K84" s="29">
        <f t="shared" si="7"/>
        <v>0.01267874597</v>
      </c>
      <c r="L84" s="65">
        <f t="shared" si="8"/>
        <v>739.76</v>
      </c>
      <c r="M84" s="25">
        <f t="shared" si="9"/>
        <v>-0.01475994513</v>
      </c>
      <c r="N84" s="65">
        <f t="shared" si="10"/>
        <v>57452.855</v>
      </c>
      <c r="O84" s="25">
        <f t="shared" si="11"/>
        <v>0.0007816820817</v>
      </c>
      <c r="P84" s="25">
        <f t="shared" si="12"/>
        <v>-0.01554162721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IFERROR(__xludf.DUMMYFUNCTION("""COMPUTED_VALUE"""),46252.64583333333)</f>
        <v>46252.64583</v>
      </c>
      <c r="C85" s="1">
        <f>IFERROR(__xludf.DUMMYFUNCTION("""COMPUTED_VALUE"""),723.0)</f>
        <v>723</v>
      </c>
      <c r="D85" s="1"/>
      <c r="E85" s="112">
        <f>IFERROR(__xludf.DUMMYFUNCTION("""COMPUTED_VALUE"""),46252.64583333333)</f>
        <v>46252.64583</v>
      </c>
      <c r="F85" s="1">
        <f>IFERROR(__xludf.DUMMYFUNCTION("""COMPUTED_VALUE"""),57262.4)</f>
        <v>57262.4</v>
      </c>
      <c r="G85" s="1"/>
      <c r="H85" s="29">
        <f t="shared" si="4"/>
        <v>0.01262608623</v>
      </c>
      <c r="I85" s="1">
        <f t="shared" si="5"/>
        <v>-56539.4</v>
      </c>
      <c r="J85" s="113">
        <f t="shared" si="6"/>
        <v>-0.574645645</v>
      </c>
      <c r="K85" s="29">
        <f t="shared" si="7"/>
        <v>0.01262608623</v>
      </c>
      <c r="L85" s="65">
        <f t="shared" si="8"/>
        <v>737.8375</v>
      </c>
      <c r="M85" s="25">
        <f t="shared" si="9"/>
        <v>-0.02052213001</v>
      </c>
      <c r="N85" s="65">
        <f t="shared" si="10"/>
        <v>57424.2075</v>
      </c>
      <c r="O85" s="25">
        <f t="shared" si="11"/>
        <v>-0.002825719844</v>
      </c>
      <c r="P85" s="25">
        <f t="shared" si="12"/>
        <v>-0.01769641017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IFERROR(__xludf.DUMMYFUNCTION("""COMPUTED_VALUE"""),46253.64583333333)</f>
        <v>46253.64583</v>
      </c>
      <c r="C86" s="1">
        <f>IFERROR(__xludf.DUMMYFUNCTION("""COMPUTED_VALUE"""),720.0)</f>
        <v>720</v>
      </c>
      <c r="D86" s="1"/>
      <c r="E86" s="112">
        <f>IFERROR(__xludf.DUMMYFUNCTION("""COMPUTED_VALUE"""),46253.64583333333)</f>
        <v>46253.64583</v>
      </c>
      <c r="F86" s="1">
        <f>IFERROR(__xludf.DUMMYFUNCTION("""COMPUTED_VALUE"""),57239.75)</f>
        <v>57239.75</v>
      </c>
      <c r="G86" s="1"/>
      <c r="H86" s="29">
        <f t="shared" si="4"/>
        <v>0.01257867129</v>
      </c>
      <c r="I86" s="1">
        <f t="shared" si="5"/>
        <v>-56519.75</v>
      </c>
      <c r="J86" s="113">
        <f t="shared" si="6"/>
        <v>-0.5615751865</v>
      </c>
      <c r="K86" s="29">
        <f t="shared" si="7"/>
        <v>0.01257867129</v>
      </c>
      <c r="L86" s="65">
        <f t="shared" si="8"/>
        <v>736.18</v>
      </c>
      <c r="M86" s="25">
        <f t="shared" si="9"/>
        <v>-0.02247222222</v>
      </c>
      <c r="N86" s="65">
        <f t="shared" si="10"/>
        <v>57429.855</v>
      </c>
      <c r="O86" s="25">
        <f t="shared" si="11"/>
        <v>-0.00332120598</v>
      </c>
      <c r="P86" s="25">
        <f t="shared" si="12"/>
        <v>-0.01915101624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IFERROR(__xludf.DUMMYFUNCTION("""COMPUTED_VALUE"""),46254.64583333333)</f>
        <v>46254.64583</v>
      </c>
      <c r="C87" s="1">
        <f>IFERROR(__xludf.DUMMYFUNCTION("""COMPUTED_VALUE"""),725.05)</f>
        <v>725.05</v>
      </c>
      <c r="D87" s="1"/>
      <c r="E87" s="112">
        <f>IFERROR(__xludf.DUMMYFUNCTION("""COMPUTED_VALUE"""),46254.64583333333)</f>
        <v>46254.64583</v>
      </c>
      <c r="F87" s="1">
        <f>IFERROR(__xludf.DUMMYFUNCTION("""COMPUTED_VALUE"""),57495.9)</f>
        <v>57495.9</v>
      </c>
      <c r="G87" s="1"/>
      <c r="H87" s="29">
        <f t="shared" si="4"/>
        <v>0.0126104644</v>
      </c>
      <c r="I87" s="1">
        <f t="shared" si="5"/>
        <v>-56770.85</v>
      </c>
      <c r="J87" s="113">
        <f t="shared" si="6"/>
        <v>-0.7285976865</v>
      </c>
      <c r="K87" s="29">
        <f t="shared" si="7"/>
        <v>0.0126104644</v>
      </c>
      <c r="L87" s="65">
        <f t="shared" si="8"/>
        <v>735.07</v>
      </c>
      <c r="M87" s="25">
        <f t="shared" si="9"/>
        <v>-0.01381973657</v>
      </c>
      <c r="N87" s="65">
        <f t="shared" si="10"/>
        <v>57475.05</v>
      </c>
      <c r="O87" s="25">
        <f t="shared" si="11"/>
        <v>0.0003626345531</v>
      </c>
      <c r="P87" s="25">
        <f t="shared" si="12"/>
        <v>-0.01418237112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IFERROR(__xludf.DUMMYFUNCTION("""COMPUTED_VALUE"""),46255.64583333333)</f>
        <v>46255.64583</v>
      </c>
      <c r="C88" s="1">
        <f>IFERROR(__xludf.DUMMYFUNCTION("""COMPUTED_VALUE"""),726.95)</f>
        <v>726.95</v>
      </c>
      <c r="D88" s="1"/>
      <c r="E88" s="112">
        <f>IFERROR(__xludf.DUMMYFUNCTION("""COMPUTED_VALUE"""),46255.64583333333)</f>
        <v>46255.64583</v>
      </c>
      <c r="F88" s="1">
        <f>IFERROR(__xludf.DUMMYFUNCTION("""COMPUTED_VALUE"""),57761.95)</f>
        <v>57761.95</v>
      </c>
      <c r="G88" s="1"/>
      <c r="H88" s="29">
        <f t="shared" si="4"/>
        <v>0.01258527456</v>
      </c>
      <c r="I88" s="1">
        <f t="shared" si="5"/>
        <v>-57035</v>
      </c>
      <c r="J88" s="113">
        <f t="shared" si="6"/>
        <v>-0.9043005673</v>
      </c>
      <c r="K88" s="29">
        <f t="shared" si="7"/>
        <v>0.01258527456</v>
      </c>
      <c r="L88" s="65">
        <f t="shared" si="8"/>
        <v>734.2775</v>
      </c>
      <c r="M88" s="25">
        <f t="shared" si="9"/>
        <v>-0.0100797854</v>
      </c>
      <c r="N88" s="65">
        <f t="shared" si="10"/>
        <v>57528.4725</v>
      </c>
      <c r="O88" s="25">
        <f t="shared" si="11"/>
        <v>0.004042064023</v>
      </c>
      <c r="P88" s="25">
        <f t="shared" si="12"/>
        <v>-0.01412184943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IFERROR(__xludf.DUMMYFUNCTION("""COMPUTED_VALUE"""),46258.64583333333)</f>
        <v>46258.64583</v>
      </c>
      <c r="C89" s="1">
        <f>IFERROR(__xludf.DUMMYFUNCTION("""COMPUTED_VALUE"""),729.0)</f>
        <v>729</v>
      </c>
      <c r="D89" s="1"/>
      <c r="E89" s="112">
        <f>IFERROR(__xludf.DUMMYFUNCTION("""COMPUTED_VALUE"""),46258.64583333333)</f>
        <v>46258.64583</v>
      </c>
      <c r="F89" s="1">
        <f>IFERROR(__xludf.DUMMYFUNCTION("""COMPUTED_VALUE"""),57525.95)</f>
        <v>57525.95</v>
      </c>
      <c r="G89" s="1"/>
      <c r="H89" s="29">
        <f t="shared" si="4"/>
        <v>0.0126725417</v>
      </c>
      <c r="I89" s="1">
        <f t="shared" si="5"/>
        <v>-56796.95</v>
      </c>
      <c r="J89" s="113">
        <f t="shared" si="6"/>
        <v>-0.7459584482</v>
      </c>
      <c r="K89" s="29">
        <f t="shared" si="7"/>
        <v>0.0126725417</v>
      </c>
      <c r="L89" s="65">
        <f t="shared" si="8"/>
        <v>733.75</v>
      </c>
      <c r="M89" s="25">
        <f t="shared" si="9"/>
        <v>-0.006515775034</v>
      </c>
      <c r="N89" s="65">
        <f t="shared" si="10"/>
        <v>57550.41</v>
      </c>
      <c r="O89" s="25">
        <f t="shared" si="11"/>
        <v>-0.00042519941</v>
      </c>
      <c r="P89" s="25">
        <f t="shared" si="12"/>
        <v>-0.006090575624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IFERROR(__xludf.DUMMYFUNCTION("""COMPUTED_VALUE"""),46259.64583333333)</f>
        <v>46259.64583</v>
      </c>
      <c r="C90" s="1">
        <f>IFERROR(__xludf.DUMMYFUNCTION("""COMPUTED_VALUE"""),727.5)</f>
        <v>727.5</v>
      </c>
      <c r="D90" s="25"/>
      <c r="E90" s="112">
        <f>IFERROR(__xludf.DUMMYFUNCTION("""COMPUTED_VALUE"""),46259.64583333333)</f>
        <v>46259.64583</v>
      </c>
      <c r="F90" s="1">
        <f>IFERROR(__xludf.DUMMYFUNCTION("""COMPUTED_VALUE"""),57514.2)</f>
        <v>57514.2</v>
      </c>
      <c r="G90" s="1"/>
      <c r="H90" s="29">
        <f t="shared" si="4"/>
        <v>0.01264905015</v>
      </c>
      <c r="I90" s="1">
        <f t="shared" si="5"/>
        <v>-56786.7</v>
      </c>
      <c r="J90" s="113">
        <f t="shared" si="6"/>
        <v>-0.7391405245</v>
      </c>
      <c r="K90" s="29">
        <f t="shared" si="7"/>
        <v>0.01264905015</v>
      </c>
      <c r="L90" s="65">
        <f t="shared" si="8"/>
        <v>733.355</v>
      </c>
      <c r="M90" s="25">
        <f t="shared" si="9"/>
        <v>-0.008048109966</v>
      </c>
      <c r="N90" s="65">
        <f t="shared" si="10"/>
        <v>57588.34</v>
      </c>
      <c r="O90" s="25">
        <f t="shared" si="11"/>
        <v>-0.001289072959</v>
      </c>
      <c r="P90" s="25">
        <f t="shared" si="12"/>
        <v>-0.006759037006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IFERROR(__xludf.DUMMYFUNCTION("""COMPUTED_VALUE"""),46260.64583333333)</f>
        <v>46260.64583</v>
      </c>
      <c r="C91" s="1">
        <f>IFERROR(__xludf.DUMMYFUNCTION("""COMPUTED_VALUE"""),727.2)</f>
        <v>727.2</v>
      </c>
      <c r="D91" s="1"/>
      <c r="E91" s="112">
        <f>IFERROR(__xludf.DUMMYFUNCTION("""COMPUTED_VALUE"""),46260.64583333333)</f>
        <v>46260.64583</v>
      </c>
      <c r="F91" s="1">
        <f>IFERROR(__xludf.DUMMYFUNCTION("""COMPUTED_VALUE"""),57783.75)</f>
        <v>57783.75</v>
      </c>
      <c r="G91" s="1"/>
      <c r="H91" s="29">
        <f t="shared" si="4"/>
        <v>0.01258485301</v>
      </c>
      <c r="I91" s="1">
        <f t="shared" si="5"/>
        <v>-57056.55</v>
      </c>
      <c r="J91" s="113">
        <f t="shared" si="6"/>
        <v>-0.9186348361</v>
      </c>
      <c r="K91" s="29">
        <f t="shared" si="7"/>
        <v>0.01258485301</v>
      </c>
      <c r="L91" s="65">
        <f t="shared" si="8"/>
        <v>732.305</v>
      </c>
      <c r="M91" s="25">
        <f t="shared" si="9"/>
        <v>-0.007020077008</v>
      </c>
      <c r="N91" s="65">
        <f t="shared" si="10"/>
        <v>57617.2325</v>
      </c>
      <c r="O91" s="25">
        <f t="shared" si="11"/>
        <v>0.002881735782</v>
      </c>
      <c r="P91" s="25">
        <f t="shared" si="12"/>
        <v>-0.00990181279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IFERROR(__xludf.DUMMYFUNCTION("""COMPUTED_VALUE"""),46261.64583333333)</f>
        <v>46261.64583</v>
      </c>
      <c r="C92" s="1">
        <f>IFERROR(__xludf.DUMMYFUNCTION("""COMPUTED_VALUE"""),711.0)</f>
        <v>711</v>
      </c>
      <c r="D92" s="1"/>
      <c r="E92" s="112">
        <f>IFERROR(__xludf.DUMMYFUNCTION("""COMPUTED_VALUE"""),46261.64583333333)</f>
        <v>46261.64583</v>
      </c>
      <c r="F92" s="1">
        <f>IFERROR(__xludf.DUMMYFUNCTION("""COMPUTED_VALUE"""),57509.95)</f>
        <v>57509.95</v>
      </c>
      <c r="G92" s="1"/>
      <c r="H92" s="29">
        <f t="shared" si="4"/>
        <v>0.01236307804</v>
      </c>
      <c r="I92" s="1">
        <f t="shared" si="5"/>
        <v>-56798.95</v>
      </c>
      <c r="J92" s="113">
        <f t="shared" si="6"/>
        <v>-0.7472887747</v>
      </c>
      <c r="K92" s="29">
        <f t="shared" si="7"/>
        <v>0.01236307804</v>
      </c>
      <c r="L92" s="65">
        <f t="shared" si="8"/>
        <v>730.1575</v>
      </c>
      <c r="M92" s="25">
        <f t="shared" si="9"/>
        <v>-0.02694444444</v>
      </c>
      <c r="N92" s="65">
        <f t="shared" si="10"/>
        <v>57635.355</v>
      </c>
      <c r="O92" s="25">
        <f t="shared" si="11"/>
        <v>-0.002180579187</v>
      </c>
      <c r="P92" s="25">
        <f t="shared" si="12"/>
        <v>-0.02476386526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IFERROR(__xludf.DUMMYFUNCTION("""COMPUTED_VALUE"""),46262.64583333333)</f>
        <v>46262.64583</v>
      </c>
      <c r="C93" s="1">
        <f>IFERROR(__xludf.DUMMYFUNCTION("""COMPUTED_VALUE"""),720.3)</f>
        <v>720.3</v>
      </c>
      <c r="D93" s="1"/>
      <c r="E93" s="112">
        <f>IFERROR(__xludf.DUMMYFUNCTION("""COMPUTED_VALUE"""),46262.64583333333)</f>
        <v>46262.64583</v>
      </c>
      <c r="F93" s="1">
        <f>IFERROR(__xludf.DUMMYFUNCTION("""COMPUTED_VALUE"""),57496.3)</f>
        <v>57496.3</v>
      </c>
      <c r="G93" s="1"/>
      <c r="H93" s="29">
        <f t="shared" si="4"/>
        <v>0.01252776266</v>
      </c>
      <c r="I93" s="1">
        <f t="shared" si="5"/>
        <v>-56776</v>
      </c>
      <c r="J93" s="113">
        <f t="shared" si="6"/>
        <v>-0.7320232774</v>
      </c>
      <c r="K93" s="29">
        <f t="shared" si="7"/>
        <v>0.01252776266</v>
      </c>
      <c r="L93" s="65">
        <f t="shared" si="8"/>
        <v>728.765</v>
      </c>
      <c r="M93" s="25">
        <f t="shared" si="9"/>
        <v>-0.01175204776</v>
      </c>
      <c r="N93" s="65">
        <f t="shared" si="10"/>
        <v>57646.9275</v>
      </c>
      <c r="O93" s="25">
        <f t="shared" si="11"/>
        <v>-0.002619777273</v>
      </c>
      <c r="P93" s="25">
        <f t="shared" si="12"/>
        <v>-0.009132270485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IFERROR(__xludf.DUMMYFUNCTION("""COMPUTED_VALUE"""),46265.64583333333)</f>
        <v>46265.64583</v>
      </c>
      <c r="C94" s="1">
        <f>IFERROR(__xludf.DUMMYFUNCTION("""COMPUTED_VALUE"""),709.0)</f>
        <v>709</v>
      </c>
      <c r="D94" s="1"/>
      <c r="E94" s="112">
        <f>IFERROR(__xludf.DUMMYFUNCTION("""COMPUTED_VALUE"""),46265.64583333333)</f>
        <v>46265.64583</v>
      </c>
      <c r="F94" s="1">
        <f>IFERROR(__xludf.DUMMYFUNCTION("""COMPUTED_VALUE"""),58024.95)</f>
        <v>58024.95</v>
      </c>
      <c r="G94" s="1"/>
      <c r="H94" s="29">
        <f t="shared" si="4"/>
        <v>0.01221888171</v>
      </c>
      <c r="I94" s="1">
        <f t="shared" si="5"/>
        <v>-57315.95</v>
      </c>
      <c r="J94" s="113">
        <f t="shared" si="6"/>
        <v>-1.091178191</v>
      </c>
      <c r="K94" s="29">
        <f t="shared" si="7"/>
        <v>0.01221888171</v>
      </c>
      <c r="L94" s="65">
        <f t="shared" si="8"/>
        <v>726.565</v>
      </c>
      <c r="M94" s="25">
        <f t="shared" si="9"/>
        <v>-0.02477433004</v>
      </c>
      <c r="N94" s="65">
        <f t="shared" si="10"/>
        <v>57635.7775</v>
      </c>
      <c r="O94" s="25">
        <f t="shared" si="11"/>
        <v>0.00670698553</v>
      </c>
      <c r="P94" s="25">
        <f t="shared" si="12"/>
        <v>-0.03148131557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IFERROR(__xludf.DUMMYFUNCTION("""COMPUTED_VALUE"""),46266.64583333333)</f>
        <v>46266.64583</v>
      </c>
      <c r="C95" s="1">
        <f>IFERROR(__xludf.DUMMYFUNCTION("""COMPUTED_VALUE"""),711.9)</f>
        <v>711.9</v>
      </c>
      <c r="D95" s="1"/>
      <c r="E95" s="112">
        <f>IFERROR(__xludf.DUMMYFUNCTION("""COMPUTED_VALUE"""),46266.64583333333)</f>
        <v>46266.64583</v>
      </c>
      <c r="F95" s="1">
        <f>IFERROR(__xludf.DUMMYFUNCTION("""COMPUTED_VALUE"""),57409.6)</f>
        <v>57409.6</v>
      </c>
      <c r="G95" s="1"/>
      <c r="H95" s="29">
        <f t="shared" si="4"/>
        <v>0.0124003651</v>
      </c>
      <c r="I95" s="1">
        <f t="shared" si="5"/>
        <v>-56697.7</v>
      </c>
      <c r="J95" s="113">
        <f t="shared" si="6"/>
        <v>-0.6799409925</v>
      </c>
      <c r="K95" s="29">
        <f t="shared" si="7"/>
        <v>0.0124003651</v>
      </c>
      <c r="L95" s="65">
        <f t="shared" si="8"/>
        <v>725.06</v>
      </c>
      <c r="M95" s="25">
        <f t="shared" si="9"/>
        <v>-0.01848574238</v>
      </c>
      <c r="N95" s="65">
        <f t="shared" si="10"/>
        <v>57610.8975</v>
      </c>
      <c r="O95" s="25">
        <f t="shared" si="11"/>
        <v>-0.003506338661</v>
      </c>
      <c r="P95" s="25">
        <f t="shared" si="12"/>
        <v>-0.01497940372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IFERROR(__xludf.DUMMYFUNCTION("""COMPUTED_VALUE"""),46267.64583333333)</f>
        <v>46267.64583</v>
      </c>
      <c r="C96" s="1">
        <f>IFERROR(__xludf.DUMMYFUNCTION("""COMPUTED_VALUE"""),700.8)</f>
        <v>700.8</v>
      </c>
      <c r="D96" s="1"/>
      <c r="E96" s="112">
        <f>IFERROR(__xludf.DUMMYFUNCTION("""COMPUTED_VALUE"""),46267.64583333333)</f>
        <v>46267.64583</v>
      </c>
      <c r="F96" s="1">
        <f>IFERROR(__xludf.DUMMYFUNCTION("""COMPUTED_VALUE"""),57172.0)</f>
        <v>57172</v>
      </c>
      <c r="G96" s="1"/>
      <c r="H96" s="29">
        <f t="shared" si="4"/>
        <v>0.01225774855</v>
      </c>
      <c r="I96" s="1">
        <f t="shared" si="5"/>
        <v>-56471.2</v>
      </c>
      <c r="J96" s="113">
        <f t="shared" si="6"/>
        <v>-0.5292815092</v>
      </c>
      <c r="K96" s="29">
        <f t="shared" si="7"/>
        <v>0.01225774855</v>
      </c>
      <c r="L96" s="65">
        <f t="shared" si="8"/>
        <v>723.35</v>
      </c>
      <c r="M96" s="25">
        <f t="shared" si="9"/>
        <v>-0.03217751142</v>
      </c>
      <c r="N96" s="65">
        <f t="shared" si="10"/>
        <v>57582.5</v>
      </c>
      <c r="O96" s="25">
        <f t="shared" si="11"/>
        <v>-0.007180088155</v>
      </c>
      <c r="P96" s="25">
        <f t="shared" si="12"/>
        <v>-0.02499742326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IFERROR(__xludf.DUMMYFUNCTION("""COMPUTED_VALUE"""),46268.64583333333)</f>
        <v>46268.64583</v>
      </c>
      <c r="C97" s="1">
        <f>IFERROR(__xludf.DUMMYFUNCTION("""COMPUTED_VALUE"""),706.65)</f>
        <v>706.65</v>
      </c>
      <c r="D97" s="1"/>
      <c r="E97" s="112">
        <f>IFERROR(__xludf.DUMMYFUNCTION("""COMPUTED_VALUE"""),46268.64583333333)</f>
        <v>46268.64583</v>
      </c>
      <c r="F97" s="1">
        <f>IFERROR(__xludf.DUMMYFUNCTION("""COMPUTED_VALUE"""),57380.6)</f>
        <v>57380.6</v>
      </c>
      <c r="G97" s="1"/>
      <c r="H97" s="29">
        <f t="shared" si="4"/>
        <v>0.01231513787</v>
      </c>
      <c r="I97" s="1">
        <f t="shared" si="5"/>
        <v>-56673.95</v>
      </c>
      <c r="J97" s="113">
        <f t="shared" si="6"/>
        <v>-0.6641433645</v>
      </c>
      <c r="K97" s="29">
        <f t="shared" si="7"/>
        <v>0.01231513787</v>
      </c>
      <c r="L97" s="65">
        <f t="shared" si="8"/>
        <v>721.9675</v>
      </c>
      <c r="M97" s="25">
        <f t="shared" si="9"/>
        <v>-0.02167621878</v>
      </c>
      <c r="N97" s="65">
        <f t="shared" si="10"/>
        <v>57548.3475</v>
      </c>
      <c r="O97" s="25">
        <f t="shared" si="11"/>
        <v>-0.002923418368</v>
      </c>
      <c r="P97" s="25">
        <f t="shared" si="12"/>
        <v>-0.01875280041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IFERROR(__xludf.DUMMYFUNCTION("""COMPUTED_VALUE"""),46269.64583333333)</f>
        <v>46269.64583</v>
      </c>
      <c r="C98" s="1">
        <f>IFERROR(__xludf.DUMMYFUNCTION("""COMPUTED_VALUE"""),712.1)</f>
        <v>712.1</v>
      </c>
      <c r="D98" s="1"/>
      <c r="E98" s="112">
        <f>IFERROR(__xludf.DUMMYFUNCTION("""COMPUTED_VALUE"""),46269.64583333333)</f>
        <v>46269.64583</v>
      </c>
      <c r="F98" s="1">
        <f>IFERROR(__xludf.DUMMYFUNCTION("""COMPUTED_VALUE"""),57369.65)</f>
        <v>57369.65</v>
      </c>
      <c r="G98" s="1"/>
      <c r="H98" s="29">
        <f t="shared" si="4"/>
        <v>0.01241248639</v>
      </c>
      <c r="I98" s="1">
        <f t="shared" si="5"/>
        <v>-56657.55</v>
      </c>
      <c r="J98" s="113">
        <f t="shared" si="6"/>
        <v>-0.6532346867</v>
      </c>
      <c r="K98" s="29">
        <f t="shared" si="7"/>
        <v>0.01241248639</v>
      </c>
      <c r="L98" s="65">
        <f t="shared" si="8"/>
        <v>721.0225</v>
      </c>
      <c r="M98" s="25">
        <f t="shared" si="9"/>
        <v>-0.01252984131</v>
      </c>
      <c r="N98" s="65">
        <f t="shared" si="10"/>
        <v>57529.5075</v>
      </c>
      <c r="O98" s="25">
        <f t="shared" si="11"/>
        <v>-0.002786447189</v>
      </c>
      <c r="P98" s="25">
        <f t="shared" si="12"/>
        <v>-0.009743394125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IFERROR(__xludf.DUMMYFUNCTION("""COMPUTED_VALUE"""),46272.64583333333)</f>
        <v>46272.64583</v>
      </c>
      <c r="C99" s="1">
        <f>IFERROR(__xludf.DUMMYFUNCTION("""COMPUTED_VALUE"""),710.5)</f>
        <v>710.5</v>
      </c>
      <c r="D99" s="1"/>
      <c r="E99" s="112">
        <f>IFERROR(__xludf.DUMMYFUNCTION("""COMPUTED_VALUE"""),46272.64583333333)</f>
        <v>46272.64583</v>
      </c>
      <c r="F99" s="1">
        <f>IFERROR(__xludf.DUMMYFUNCTION("""COMPUTED_VALUE"""),57088.3)</f>
        <v>57088.3</v>
      </c>
      <c r="G99" s="1"/>
      <c r="H99" s="29">
        <f t="shared" si="4"/>
        <v>0.01244563247</v>
      </c>
      <c r="I99" s="1">
        <f t="shared" si="5"/>
        <v>-56377.8</v>
      </c>
      <c r="J99" s="113">
        <f t="shared" si="6"/>
        <v>-0.4671552587</v>
      </c>
      <c r="K99" s="29">
        <f t="shared" si="7"/>
        <v>0.01244563247</v>
      </c>
      <c r="L99" s="65">
        <f t="shared" si="8"/>
        <v>719.9975</v>
      </c>
      <c r="M99" s="25">
        <f t="shared" si="9"/>
        <v>-0.01336734694</v>
      </c>
      <c r="N99" s="65">
        <f t="shared" si="10"/>
        <v>57499.575</v>
      </c>
      <c r="O99" s="25">
        <f t="shared" si="11"/>
        <v>-0.007204190701</v>
      </c>
      <c r="P99" s="25">
        <f t="shared" si="12"/>
        <v>-0.006163156238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IFERROR(__xludf.DUMMYFUNCTION("""COMPUTED_VALUE"""),46273.64583333333)</f>
        <v>46273.64583</v>
      </c>
      <c r="C100" s="1">
        <f>IFERROR(__xludf.DUMMYFUNCTION("""COMPUTED_VALUE"""),703.0)</f>
        <v>703</v>
      </c>
      <c r="D100" s="1"/>
      <c r="E100" s="112">
        <f>IFERROR(__xludf.DUMMYFUNCTION("""COMPUTED_VALUE"""),46273.64583333333)</f>
        <v>46273.64583</v>
      </c>
      <c r="F100" s="1">
        <f>IFERROR(__xludf.DUMMYFUNCTION("""COMPUTED_VALUE"""),56777.55)</f>
        <v>56777.55</v>
      </c>
      <c r="G100" s="1"/>
      <c r="H100" s="29">
        <f t="shared" si="4"/>
        <v>0.01238165437</v>
      </c>
      <c r="I100" s="1">
        <f t="shared" si="5"/>
        <v>-56074.55</v>
      </c>
      <c r="J100" s="113">
        <f t="shared" si="6"/>
        <v>-0.2654444936</v>
      </c>
      <c r="K100" s="29">
        <f t="shared" si="7"/>
        <v>0.01238165437</v>
      </c>
      <c r="L100" s="65">
        <f t="shared" si="8"/>
        <v>718.6975</v>
      </c>
      <c r="M100" s="25">
        <f t="shared" si="9"/>
        <v>-0.02232930299</v>
      </c>
      <c r="N100" s="65">
        <f t="shared" si="10"/>
        <v>57466.14</v>
      </c>
      <c r="O100" s="25">
        <f t="shared" si="11"/>
        <v>-0.01212785687</v>
      </c>
      <c r="P100" s="25">
        <f t="shared" si="12"/>
        <v>-0.01020144611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IFERROR(__xludf.DUMMYFUNCTION("""COMPUTED_VALUE"""),46274.64583333333)</f>
        <v>46274.64583</v>
      </c>
      <c r="C101" s="1">
        <f>IFERROR(__xludf.DUMMYFUNCTION("""COMPUTED_VALUE"""),687.1)</f>
        <v>687.1</v>
      </c>
      <c r="D101" s="1"/>
      <c r="E101" s="112">
        <f>IFERROR(__xludf.DUMMYFUNCTION("""COMPUTED_VALUE"""),46274.64583333333)</f>
        <v>46274.64583</v>
      </c>
      <c r="F101" s="1">
        <f>IFERROR(__xludf.DUMMYFUNCTION("""COMPUTED_VALUE"""),56295.55)</f>
        <v>56295.55</v>
      </c>
      <c r="G101" s="1"/>
      <c r="H101" s="29">
        <f t="shared" si="4"/>
        <v>0.01220522759</v>
      </c>
      <c r="I101" s="1">
        <f t="shared" si="5"/>
        <v>-55608.45</v>
      </c>
      <c r="J101" s="113">
        <f t="shared" si="6"/>
        <v>0.04458811197</v>
      </c>
      <c r="K101" s="29">
        <f t="shared" si="7"/>
        <v>0.01220522759</v>
      </c>
      <c r="L101" s="65">
        <f t="shared" si="8"/>
        <v>716.6025</v>
      </c>
      <c r="M101" s="25">
        <f t="shared" si="9"/>
        <v>-0.04293770921</v>
      </c>
      <c r="N101" s="65">
        <f t="shared" si="10"/>
        <v>57386.625</v>
      </c>
      <c r="O101" s="25">
        <f t="shared" si="11"/>
        <v>-0.01938119443</v>
      </c>
      <c r="P101" s="25">
        <f t="shared" si="12"/>
        <v>-0.02355651478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IFERROR(__xludf.DUMMYFUNCTION("""COMPUTED_VALUE"""),46275.64583333333)</f>
        <v>46275.64583</v>
      </c>
      <c r="C102" s="1">
        <f>IFERROR(__xludf.DUMMYFUNCTION("""COMPUTED_VALUE"""),693.8)</f>
        <v>693.8</v>
      </c>
      <c r="D102" s="1"/>
      <c r="E102" s="112">
        <f>IFERROR(__xludf.DUMMYFUNCTION("""COMPUTED_VALUE"""),46275.64583333333)</f>
        <v>46275.64583</v>
      </c>
      <c r="F102" s="1">
        <f>IFERROR(__xludf.DUMMYFUNCTION("""COMPUTED_VALUE"""),56471.95)</f>
        <v>56471.95</v>
      </c>
      <c r="G102" s="1"/>
      <c r="H102" s="29">
        <f t="shared" si="4"/>
        <v>0.0122857454</v>
      </c>
      <c r="I102" s="1">
        <f t="shared" si="5"/>
        <v>-55778.15</v>
      </c>
      <c r="J102" s="113">
        <f t="shared" si="6"/>
        <v>-0.06829009691</v>
      </c>
      <c r="K102" s="29">
        <f t="shared" si="7"/>
        <v>0.0122857454</v>
      </c>
      <c r="L102" s="65">
        <f t="shared" si="8"/>
        <v>715.0425</v>
      </c>
      <c r="M102" s="25">
        <f t="shared" si="9"/>
        <v>-0.03061761314</v>
      </c>
      <c r="N102" s="65">
        <f t="shared" si="10"/>
        <v>57328.46</v>
      </c>
      <c r="O102" s="25">
        <f t="shared" si="11"/>
        <v>-0.01516699884</v>
      </c>
      <c r="P102" s="25">
        <f t="shared" si="12"/>
        <v>-0.01545061431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IFERROR(__xludf.DUMMYFUNCTION("""COMPUTED_VALUE"""),46276.64583333333)</f>
        <v>46276.64583</v>
      </c>
      <c r="C103" s="1">
        <f>IFERROR(__xludf.DUMMYFUNCTION("""COMPUTED_VALUE"""),708.25)</f>
        <v>708.25</v>
      </c>
      <c r="D103" s="1"/>
      <c r="E103" s="112">
        <f>IFERROR(__xludf.DUMMYFUNCTION("""COMPUTED_VALUE"""),46276.64583333333)</f>
        <v>46276.64583</v>
      </c>
      <c r="F103" s="1">
        <f>IFERROR(__xludf.DUMMYFUNCTION("""COMPUTED_VALUE"""),56606.55)</f>
        <v>56606.55</v>
      </c>
      <c r="G103" s="1"/>
      <c r="H103" s="29">
        <f t="shared" si="4"/>
        <v>0.01251180296</v>
      </c>
      <c r="I103" s="1">
        <f t="shared" si="5"/>
        <v>-55898.3</v>
      </c>
      <c r="J103" s="113">
        <f t="shared" si="6"/>
        <v>-0.1482094652</v>
      </c>
      <c r="K103" s="29">
        <f t="shared" si="7"/>
        <v>0.01251180296</v>
      </c>
      <c r="L103" s="65">
        <f t="shared" si="8"/>
        <v>714.105</v>
      </c>
      <c r="M103" s="25">
        <f t="shared" si="9"/>
        <v>-0.008266854924</v>
      </c>
      <c r="N103" s="65">
        <f t="shared" si="10"/>
        <v>57284.2325</v>
      </c>
      <c r="O103" s="25">
        <f t="shared" si="11"/>
        <v>-0.01197180362</v>
      </c>
      <c r="P103" s="25">
        <f t="shared" si="12"/>
        <v>0.003704948692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IFERROR(__xludf.DUMMYFUNCTION("""COMPUTED_VALUE"""),46280.64583333333)</f>
        <v>46280.64583</v>
      </c>
      <c r="C104" s="1">
        <f>IFERROR(__xludf.DUMMYFUNCTION("""COMPUTED_VALUE"""),716.55)</f>
        <v>716.55</v>
      </c>
      <c r="D104" s="1"/>
      <c r="E104" s="112">
        <f>IFERROR(__xludf.DUMMYFUNCTION("""COMPUTED_VALUE"""),46280.64583333333)</f>
        <v>46280.64583</v>
      </c>
      <c r="F104" s="1">
        <f>IFERROR(__xludf.DUMMYFUNCTION("""COMPUTED_VALUE"""),55794.75)</f>
        <v>55794.75</v>
      </c>
      <c r="G104" s="1"/>
      <c r="H104" s="29">
        <f t="shared" si="4"/>
        <v>0.01284260616</v>
      </c>
      <c r="I104" s="1">
        <f t="shared" si="5"/>
        <v>-55078.2</v>
      </c>
      <c r="J104" s="113">
        <f t="shared" si="6"/>
        <v>0.397290942</v>
      </c>
      <c r="K104" s="29">
        <f t="shared" si="7"/>
        <v>0.01284260616</v>
      </c>
      <c r="L104" s="65">
        <f t="shared" si="8"/>
        <v>713.4825</v>
      </c>
      <c r="M104" s="25">
        <f t="shared" si="9"/>
        <v>0.004280929454</v>
      </c>
      <c r="N104" s="65">
        <f t="shared" si="10"/>
        <v>57199.08</v>
      </c>
      <c r="O104" s="25">
        <f t="shared" si="11"/>
        <v>-0.02516957241</v>
      </c>
      <c r="P104" s="25">
        <f t="shared" si="12"/>
        <v>0.02945050186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IFERROR(__xludf.DUMMYFUNCTION("""COMPUTED_VALUE"""),46281.64583333333)</f>
        <v>46281.64583</v>
      </c>
      <c r="C105" s="1">
        <f>IFERROR(__xludf.DUMMYFUNCTION("""COMPUTED_VALUE"""),721.5)</f>
        <v>721.5</v>
      </c>
      <c r="D105" s="1"/>
      <c r="E105" s="112">
        <f>IFERROR(__xludf.DUMMYFUNCTION("""COMPUTED_VALUE"""),46281.64583333333)</f>
        <v>46281.64583</v>
      </c>
      <c r="F105" s="1">
        <f>IFERROR(__xludf.DUMMYFUNCTION("""COMPUTED_VALUE"""),56292.45)</f>
        <v>56292.45</v>
      </c>
      <c r="G105" s="1"/>
      <c r="H105" s="29">
        <f t="shared" si="4"/>
        <v>0.01281699411</v>
      </c>
      <c r="I105" s="1">
        <f t="shared" si="5"/>
        <v>-55570.95</v>
      </c>
      <c r="J105" s="113">
        <f t="shared" si="6"/>
        <v>0.06953173503</v>
      </c>
      <c r="K105" s="29">
        <f t="shared" si="7"/>
        <v>0.01281699411</v>
      </c>
      <c r="L105" s="65">
        <f t="shared" si="8"/>
        <v>713.4075</v>
      </c>
      <c r="M105" s="25">
        <f t="shared" si="9"/>
        <v>0.01121621622</v>
      </c>
      <c r="N105" s="65">
        <f t="shared" si="10"/>
        <v>57150.5825</v>
      </c>
      <c r="O105" s="25">
        <f t="shared" si="11"/>
        <v>-0.01524418461</v>
      </c>
      <c r="P105" s="25">
        <f t="shared" si="12"/>
        <v>0.02646040083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IFERROR(__xludf.DUMMYFUNCTION("""COMPUTED_VALUE"""),46282.64583333333)</f>
        <v>46282.64583</v>
      </c>
      <c r="C106" s="1">
        <f>IFERROR(__xludf.DUMMYFUNCTION("""COMPUTED_VALUE"""),713.0)</f>
        <v>713</v>
      </c>
      <c r="D106" s="1"/>
      <c r="E106" s="112">
        <f>IFERROR(__xludf.DUMMYFUNCTION("""COMPUTED_VALUE"""),46282.64583333333)</f>
        <v>46282.64583</v>
      </c>
      <c r="F106" s="1">
        <f>IFERROR(__xludf.DUMMYFUNCTION("""COMPUTED_VALUE"""),56055.75)</f>
        <v>56055.75</v>
      </c>
      <c r="G106" s="1"/>
      <c r="H106" s="29">
        <f t="shared" si="4"/>
        <v>0.01271948016</v>
      </c>
      <c r="I106" s="1">
        <f t="shared" si="5"/>
        <v>-55342.75</v>
      </c>
      <c r="J106" s="113">
        <f t="shared" si="6"/>
        <v>0.2213219959</v>
      </c>
      <c r="K106" s="29">
        <f t="shared" si="7"/>
        <v>0.01271948016</v>
      </c>
      <c r="L106" s="65">
        <f t="shared" si="8"/>
        <v>713.0575</v>
      </c>
      <c r="M106" s="25">
        <f t="shared" si="9"/>
        <v>-0.00008064516129</v>
      </c>
      <c r="N106" s="65">
        <f t="shared" si="10"/>
        <v>57091.3825</v>
      </c>
      <c r="O106" s="25">
        <f t="shared" si="11"/>
        <v>-0.01847504493</v>
      </c>
      <c r="P106" s="25">
        <f t="shared" si="12"/>
        <v>0.01839439977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IFERROR(__xludf.DUMMYFUNCTION("""COMPUTED_VALUE"""),46283.64583333333)</f>
        <v>46283.64583</v>
      </c>
      <c r="C107" s="1">
        <f>IFERROR(__xludf.DUMMYFUNCTION("""COMPUTED_VALUE"""),731.0)</f>
        <v>731</v>
      </c>
      <c r="D107" s="1"/>
      <c r="E107" s="112">
        <f>IFERROR(__xludf.DUMMYFUNCTION("""COMPUTED_VALUE"""),46283.64583333333)</f>
        <v>46283.64583</v>
      </c>
      <c r="F107" s="1">
        <f>IFERROR(__xludf.DUMMYFUNCTION("""COMPUTED_VALUE"""),56358.7)</f>
        <v>56358.7</v>
      </c>
      <c r="G107" s="1"/>
      <c r="H107" s="29">
        <f t="shared" si="4"/>
        <v>0.0129704908</v>
      </c>
      <c r="I107" s="1">
        <f t="shared" si="5"/>
        <v>-55627.7</v>
      </c>
      <c r="J107" s="113">
        <f t="shared" si="6"/>
        <v>0.0317837188</v>
      </c>
      <c r="K107" s="29">
        <f t="shared" si="7"/>
        <v>0.0129704908</v>
      </c>
      <c r="L107" s="65">
        <f t="shared" si="8"/>
        <v>713.355</v>
      </c>
      <c r="M107" s="25">
        <f t="shared" si="9"/>
        <v>0.02413816689</v>
      </c>
      <c r="N107" s="65">
        <f t="shared" si="10"/>
        <v>57034.5225</v>
      </c>
      <c r="O107" s="25">
        <f t="shared" si="11"/>
        <v>-0.01199144941</v>
      </c>
      <c r="P107" s="25">
        <f t="shared" si="12"/>
        <v>0.03612961631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IFERROR(__xludf.DUMMYFUNCTION("""COMPUTED_VALUE"""),46286.64583333333)</f>
        <v>46286.64583</v>
      </c>
      <c r="C108" s="1">
        <f>IFERROR(__xludf.DUMMYFUNCTION("""COMPUTED_VALUE"""),739.5)</f>
        <v>739.5</v>
      </c>
      <c r="D108" s="1"/>
      <c r="E108" s="112">
        <f>IFERROR(__xludf.DUMMYFUNCTION("""COMPUTED_VALUE"""),46286.64583333333)</f>
        <v>46286.64583</v>
      </c>
      <c r="F108" s="1">
        <f>IFERROR(__xludf.DUMMYFUNCTION("""COMPUTED_VALUE"""),56470.65)</f>
        <v>56470.65</v>
      </c>
      <c r="G108" s="1"/>
      <c r="H108" s="29">
        <f t="shared" si="4"/>
        <v>0.01309529818</v>
      </c>
      <c r="I108" s="1">
        <f t="shared" si="5"/>
        <v>-55731.15</v>
      </c>
      <c r="J108" s="113">
        <f t="shared" si="6"/>
        <v>-0.03702742267</v>
      </c>
      <c r="K108" s="29">
        <f t="shared" si="7"/>
        <v>0.01309529818</v>
      </c>
      <c r="L108" s="65">
        <f t="shared" si="8"/>
        <v>713.9825</v>
      </c>
      <c r="M108" s="25">
        <f t="shared" si="9"/>
        <v>0.03450642326</v>
      </c>
      <c r="N108" s="65">
        <f t="shared" si="10"/>
        <v>56969.9575</v>
      </c>
      <c r="O108" s="25">
        <f t="shared" si="11"/>
        <v>-0.008841893975</v>
      </c>
      <c r="P108" s="25">
        <f t="shared" si="12"/>
        <v>0.04334831723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IFERROR(__xludf.DUMMYFUNCTION("""COMPUTED_VALUE"""),46287.64583333333)</f>
        <v>46287.64583</v>
      </c>
      <c r="C109" s="1">
        <f>IFERROR(__xludf.DUMMYFUNCTION("""COMPUTED_VALUE"""),738.6)</f>
        <v>738.6</v>
      </c>
      <c r="D109" s="1"/>
      <c r="E109" s="112">
        <f>IFERROR(__xludf.DUMMYFUNCTION("""COMPUTED_VALUE"""),46287.64583333333)</f>
        <v>46287.64583</v>
      </c>
      <c r="F109" s="1">
        <f>IFERROR(__xludf.DUMMYFUNCTION("""COMPUTED_VALUE"""),56215.55)</f>
        <v>56215.55</v>
      </c>
      <c r="G109" s="1"/>
      <c r="H109" s="29">
        <f t="shared" si="4"/>
        <v>0.0131387134</v>
      </c>
      <c r="I109" s="1">
        <f t="shared" si="5"/>
        <v>-55476.95</v>
      </c>
      <c r="J109" s="113">
        <f t="shared" si="6"/>
        <v>0.1320570835</v>
      </c>
      <c r="K109" s="29">
        <f t="shared" si="7"/>
        <v>0.0131387134</v>
      </c>
      <c r="L109" s="65">
        <f t="shared" si="8"/>
        <v>714.4625</v>
      </c>
      <c r="M109" s="25">
        <f t="shared" si="9"/>
        <v>0.0326800704</v>
      </c>
      <c r="N109" s="65">
        <f t="shared" si="10"/>
        <v>56904.4375</v>
      </c>
      <c r="O109" s="25">
        <f t="shared" si="11"/>
        <v>-0.01225439402</v>
      </c>
      <c r="P109" s="25">
        <f t="shared" si="12"/>
        <v>0.04493446443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IFERROR(__xludf.DUMMYFUNCTION("""COMPUTED_VALUE"""),46288.64583333333)</f>
        <v>46288.64583</v>
      </c>
      <c r="C110" s="1">
        <f>IFERROR(__xludf.DUMMYFUNCTION("""COMPUTED_VALUE"""),737.25)</f>
        <v>737.25</v>
      </c>
      <c r="D110" s="1"/>
      <c r="E110" s="112">
        <f>IFERROR(__xludf.DUMMYFUNCTION("""COMPUTED_VALUE"""),46288.64583333333)</f>
        <v>46288.64583</v>
      </c>
      <c r="F110" s="1">
        <f>IFERROR(__xludf.DUMMYFUNCTION("""COMPUTED_VALUE"""),56548.9)</f>
        <v>56548.9</v>
      </c>
      <c r="G110" s="1"/>
      <c r="H110" s="29">
        <f t="shared" si="4"/>
        <v>0.01303738888</v>
      </c>
      <c r="I110" s="1">
        <f t="shared" si="5"/>
        <v>-55811.65</v>
      </c>
      <c r="J110" s="113">
        <f t="shared" si="6"/>
        <v>-0.09057306684</v>
      </c>
      <c r="K110" s="29">
        <f t="shared" si="7"/>
        <v>0.01303738888</v>
      </c>
      <c r="L110" s="65">
        <f t="shared" si="8"/>
        <v>714.95</v>
      </c>
      <c r="M110" s="25">
        <f t="shared" si="9"/>
        <v>0.03024754154</v>
      </c>
      <c r="N110" s="65">
        <f t="shared" si="10"/>
        <v>56856.1725</v>
      </c>
      <c r="O110" s="25">
        <f t="shared" si="11"/>
        <v>-0.00543374849</v>
      </c>
      <c r="P110" s="25">
        <f t="shared" si="12"/>
        <v>0.03568129003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IFERROR(__xludf.DUMMYFUNCTION("""COMPUTED_VALUE"""),46289.64583333333)</f>
        <v>46289.64583</v>
      </c>
      <c r="C111" s="1">
        <f>IFERROR(__xludf.DUMMYFUNCTION("""COMPUTED_VALUE"""),728.9)</f>
        <v>728.9</v>
      </c>
      <c r="D111" s="1"/>
      <c r="E111" s="112">
        <f>IFERROR(__xludf.DUMMYFUNCTION("""COMPUTED_VALUE"""),46289.64583333333)</f>
        <v>46289.64583</v>
      </c>
      <c r="F111" s="1">
        <f>IFERROR(__xludf.DUMMYFUNCTION("""COMPUTED_VALUE"""),55438.5)</f>
        <v>55438.5</v>
      </c>
      <c r="G111" s="1"/>
      <c r="H111" s="29">
        <f t="shared" si="4"/>
        <v>0.01314790263</v>
      </c>
      <c r="I111" s="1">
        <f t="shared" si="5"/>
        <v>-54709.6</v>
      </c>
      <c r="J111" s="113">
        <f t="shared" si="6"/>
        <v>0.6424701276</v>
      </c>
      <c r="K111" s="29">
        <f t="shared" si="7"/>
        <v>0.01314790263</v>
      </c>
      <c r="L111" s="65">
        <f t="shared" si="8"/>
        <v>715.035</v>
      </c>
      <c r="M111" s="25">
        <f t="shared" si="9"/>
        <v>0.01902181369</v>
      </c>
      <c r="N111" s="65">
        <f t="shared" si="10"/>
        <v>56738.91</v>
      </c>
      <c r="O111" s="25">
        <f t="shared" si="11"/>
        <v>-0.02345680348</v>
      </c>
      <c r="P111" s="25">
        <f t="shared" si="12"/>
        <v>0.04247861718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IFERROR(__xludf.DUMMYFUNCTION("""COMPUTED_VALUE"""),46290.64583333333)</f>
        <v>46290.64583</v>
      </c>
      <c r="C112" s="1">
        <f>IFERROR(__xludf.DUMMYFUNCTION("""COMPUTED_VALUE"""),735.6)</f>
        <v>735.6</v>
      </c>
      <c r="D112" s="1"/>
      <c r="E112" s="112">
        <f>IFERROR(__xludf.DUMMYFUNCTION("""COMPUTED_VALUE"""),46290.64583333333)</f>
        <v>46290.64583</v>
      </c>
      <c r="F112" s="1">
        <f>IFERROR(__xludf.DUMMYFUNCTION("""COMPUTED_VALUE"""),55580.4)</f>
        <v>55580.4</v>
      </c>
      <c r="G112" s="1"/>
      <c r="H112" s="29">
        <f t="shared" si="4"/>
        <v>0.01323488136</v>
      </c>
      <c r="I112" s="1">
        <f t="shared" si="5"/>
        <v>-54844.8</v>
      </c>
      <c r="J112" s="113">
        <f t="shared" si="6"/>
        <v>0.5525400519</v>
      </c>
      <c r="K112" s="29">
        <f t="shared" si="7"/>
        <v>0.01323488136</v>
      </c>
      <c r="L112" s="65">
        <f t="shared" si="8"/>
        <v>716.265</v>
      </c>
      <c r="M112" s="25">
        <f t="shared" si="9"/>
        <v>0.02628466558</v>
      </c>
      <c r="N112" s="65">
        <f t="shared" si="10"/>
        <v>56642.4325</v>
      </c>
      <c r="O112" s="25">
        <f t="shared" si="11"/>
        <v>-0.01910803988</v>
      </c>
      <c r="P112" s="25">
        <f t="shared" si="12"/>
        <v>0.04539270546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IFERROR(__xludf.DUMMYFUNCTION("""COMPUTED_VALUE"""),46293.64583333333)</f>
        <v>46293.64583</v>
      </c>
      <c r="C113" s="1">
        <f>IFERROR(__xludf.DUMMYFUNCTION("""COMPUTED_VALUE"""),719.05)</f>
        <v>719.05</v>
      </c>
      <c r="D113" s="1"/>
      <c r="E113" s="112">
        <f>IFERROR(__xludf.DUMMYFUNCTION("""COMPUTED_VALUE"""),46293.64583333333)</f>
        <v>46293.64583</v>
      </c>
      <c r="F113" s="1">
        <f>IFERROR(__xludf.DUMMYFUNCTION("""COMPUTED_VALUE"""),54471.65)</f>
        <v>54471.65</v>
      </c>
      <c r="G113" s="1"/>
      <c r="H113" s="29">
        <f t="shared" si="4"/>
        <v>0.01320044463</v>
      </c>
      <c r="I113" s="1">
        <f t="shared" si="5"/>
        <v>-53752.6</v>
      </c>
      <c r="J113" s="113">
        <f t="shared" si="6"/>
        <v>1.279031388</v>
      </c>
      <c r="K113" s="29">
        <f t="shared" si="7"/>
        <v>0.01320044463</v>
      </c>
      <c r="L113" s="65">
        <f t="shared" si="8"/>
        <v>716.2025</v>
      </c>
      <c r="M113" s="25">
        <f t="shared" si="9"/>
        <v>0.003960086225</v>
      </c>
      <c r="N113" s="65">
        <f t="shared" si="10"/>
        <v>56491.2</v>
      </c>
      <c r="O113" s="25">
        <f t="shared" si="11"/>
        <v>-0.03707524924</v>
      </c>
      <c r="P113" s="25">
        <f t="shared" si="12"/>
        <v>0.04103533546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IFERROR(__xludf.DUMMYFUNCTION("""COMPUTED_VALUE"""),46294.64583333333)</f>
        <v>46294.64583</v>
      </c>
      <c r="C114" s="1">
        <f>IFERROR(__xludf.DUMMYFUNCTION("""COMPUTED_VALUE"""),722.7)</f>
        <v>722.7</v>
      </c>
      <c r="D114" s="1"/>
      <c r="E114" s="112">
        <f>IFERROR(__xludf.DUMMYFUNCTION("""COMPUTED_VALUE"""),46294.64583333333)</f>
        <v>46294.64583</v>
      </c>
      <c r="F114" s="1">
        <f>IFERROR(__xludf.DUMMYFUNCTION("""COMPUTED_VALUE"""),54259.95)</f>
        <v>54259.95</v>
      </c>
      <c r="G114" s="1"/>
      <c r="H114" s="29">
        <f t="shared" si="4"/>
        <v>0.01331921611</v>
      </c>
      <c r="I114" s="1">
        <f t="shared" si="5"/>
        <v>-53537.25</v>
      </c>
      <c r="J114" s="113">
        <f t="shared" si="6"/>
        <v>1.422274301</v>
      </c>
      <c r="K114" s="29">
        <f t="shared" si="7"/>
        <v>0.01331921611</v>
      </c>
      <c r="L114" s="65">
        <f t="shared" si="8"/>
        <v>716.8875</v>
      </c>
      <c r="M114" s="25">
        <f t="shared" si="9"/>
        <v>0.00804275633</v>
      </c>
      <c r="N114" s="65">
        <f t="shared" si="10"/>
        <v>56302.95</v>
      </c>
      <c r="O114" s="25">
        <f t="shared" si="11"/>
        <v>-0.0376520804</v>
      </c>
      <c r="P114" s="25">
        <f t="shared" si="12"/>
        <v>0.04569483673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IFERROR(__xludf.DUMMYFUNCTION("""COMPUTED_VALUE"""),46295.64583333333)</f>
        <v>46295.64583</v>
      </c>
      <c r="C115" s="1">
        <f>IFERROR(__xludf.DUMMYFUNCTION("""COMPUTED_VALUE"""),708.7)</f>
        <v>708.7</v>
      </c>
      <c r="D115" s="1"/>
      <c r="E115" s="112">
        <f>IFERROR(__xludf.DUMMYFUNCTION("""COMPUTED_VALUE"""),46295.64583333333)</f>
        <v>46295.64583</v>
      </c>
      <c r="F115" s="1">
        <f>IFERROR(__xludf.DUMMYFUNCTION("""COMPUTED_VALUE"""),54633.05)</f>
        <v>54633.05</v>
      </c>
      <c r="G115" s="1"/>
      <c r="H115" s="29">
        <f t="shared" si="4"/>
        <v>0.01297200138</v>
      </c>
      <c r="I115" s="1">
        <f t="shared" si="5"/>
        <v>-53924.35</v>
      </c>
      <c r="J115" s="113">
        <f t="shared" si="6"/>
        <v>1.164789594</v>
      </c>
      <c r="K115" s="29">
        <f t="shared" si="7"/>
        <v>0.01297200138</v>
      </c>
      <c r="L115" s="65">
        <f t="shared" si="8"/>
        <v>716.7275</v>
      </c>
      <c r="M115" s="25">
        <f t="shared" si="9"/>
        <v>-0.01132707775</v>
      </c>
      <c r="N115" s="65">
        <f t="shared" si="10"/>
        <v>56164.1225</v>
      </c>
      <c r="O115" s="25">
        <f t="shared" si="11"/>
        <v>-0.02802465724</v>
      </c>
      <c r="P115" s="25">
        <f t="shared" si="12"/>
        <v>0.01669757949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IFERROR(__xludf.DUMMYFUNCTION("""COMPUTED_VALUE"""),46296.64583333333)</f>
        <v>46296.64583</v>
      </c>
      <c r="C116" s="1">
        <f>IFERROR(__xludf.DUMMYFUNCTION("""COMPUTED_VALUE"""),721.2)</f>
        <v>721.2</v>
      </c>
      <c r="D116" s="1"/>
      <c r="E116" s="112">
        <f>IFERROR(__xludf.DUMMYFUNCTION("""COMPUTED_VALUE"""),46296.64583333333)</f>
        <v>46296.64583</v>
      </c>
      <c r="F116" s="1">
        <f>IFERROR(__xludf.DUMMYFUNCTION("""COMPUTED_VALUE"""),54450.75)</f>
        <v>54450.75</v>
      </c>
      <c r="G116" s="1"/>
      <c r="H116" s="29">
        <f t="shared" si="4"/>
        <v>0.01324499663</v>
      </c>
      <c r="I116" s="1">
        <f t="shared" si="5"/>
        <v>-53729.55</v>
      </c>
      <c r="J116" s="113">
        <f t="shared" si="6"/>
        <v>1.294363402</v>
      </c>
      <c r="K116" s="29">
        <f t="shared" si="7"/>
        <v>0.01324499663</v>
      </c>
      <c r="L116" s="65">
        <f t="shared" si="8"/>
        <v>717.7475</v>
      </c>
      <c r="M116" s="25">
        <f t="shared" si="9"/>
        <v>0.004787160288</v>
      </c>
      <c r="N116" s="65">
        <f t="shared" si="10"/>
        <v>56028.06</v>
      </c>
      <c r="O116" s="25">
        <f t="shared" si="11"/>
        <v>-0.02896764507</v>
      </c>
      <c r="P116" s="25">
        <f t="shared" si="12"/>
        <v>0.03375480536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IFERROR(__xludf.DUMMYFUNCTION("""COMPUTED_VALUE"""),46300.64583333333)</f>
        <v>46300.64583</v>
      </c>
      <c r="C117" s="1">
        <f>IFERROR(__xludf.DUMMYFUNCTION("""COMPUTED_VALUE"""),704.8)</f>
        <v>704.8</v>
      </c>
      <c r="D117" s="1"/>
      <c r="E117" s="112">
        <f>IFERROR(__xludf.DUMMYFUNCTION("""COMPUTED_VALUE"""),46300.64583333333)</f>
        <v>46300.64583</v>
      </c>
      <c r="F117" s="1">
        <f>IFERROR(__xludf.DUMMYFUNCTION("""COMPUTED_VALUE"""),54714.1)</f>
        <v>54714.1</v>
      </c>
      <c r="G117" s="1"/>
      <c r="H117" s="29">
        <f t="shared" si="4"/>
        <v>0.01288150586</v>
      </c>
      <c r="I117" s="1">
        <f t="shared" si="5"/>
        <v>-54009.3</v>
      </c>
      <c r="J117" s="113">
        <f t="shared" si="6"/>
        <v>1.108283974</v>
      </c>
      <c r="K117" s="29">
        <f t="shared" si="7"/>
        <v>0.01288150586</v>
      </c>
      <c r="L117" s="65">
        <f t="shared" si="8"/>
        <v>717.655</v>
      </c>
      <c r="M117" s="25">
        <f t="shared" si="9"/>
        <v>-0.0182392168</v>
      </c>
      <c r="N117" s="65">
        <f t="shared" si="10"/>
        <v>55894.735</v>
      </c>
      <c r="O117" s="25">
        <f t="shared" si="11"/>
        <v>-0.02157825862</v>
      </c>
      <c r="P117" s="25">
        <f t="shared" si="12"/>
        <v>0.003339041822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IFERROR(__xludf.DUMMYFUNCTION("""COMPUTED_VALUE"""),46301.64583333333)</f>
        <v>46301.64583</v>
      </c>
      <c r="C118" s="1">
        <f>IFERROR(__xludf.DUMMYFUNCTION("""COMPUTED_VALUE"""),711.45)</f>
        <v>711.45</v>
      </c>
      <c r="D118" s="1"/>
      <c r="E118" s="112">
        <f>IFERROR(__xludf.DUMMYFUNCTION("""COMPUTED_VALUE"""),46301.64583333333)</f>
        <v>46301.64583</v>
      </c>
      <c r="F118" s="1">
        <f>IFERROR(__xludf.DUMMYFUNCTION("""COMPUTED_VALUE"""),55128.4)</f>
        <v>55128.4</v>
      </c>
      <c r="G118" s="1"/>
      <c r="H118" s="29">
        <f t="shared" si="4"/>
        <v>0.01290532647</v>
      </c>
      <c r="I118" s="1">
        <f t="shared" si="5"/>
        <v>-54416.95</v>
      </c>
      <c r="J118" s="113">
        <f t="shared" si="6"/>
        <v>0.837130162</v>
      </c>
      <c r="K118" s="269">
        <f>C117/F118</f>
        <v>0.01278469899</v>
      </c>
      <c r="L118" s="65">
        <f t="shared" si="8"/>
        <v>717.6225</v>
      </c>
      <c r="M118" s="25">
        <f t="shared" si="9"/>
        <v>-0.008675943496</v>
      </c>
      <c r="N118" s="65">
        <f t="shared" si="10"/>
        <v>55782.6725</v>
      </c>
      <c r="O118" s="25">
        <f t="shared" si="11"/>
        <v>-0.01186815688</v>
      </c>
      <c r="P118" s="25">
        <f t="shared" si="12"/>
        <v>0.003192213389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IFERROR(__xludf.DUMMYFUNCTION("""COMPUTED_VALUE"""),46302.64583333333)</f>
        <v>46302.64583</v>
      </c>
      <c r="C119" s="1">
        <f>IFERROR(__xludf.DUMMYFUNCTION("""COMPUTED_VALUE"""),702.75)</f>
        <v>702.75</v>
      </c>
      <c r="D119" s="1"/>
      <c r="E119" s="112">
        <f>IFERROR(__xludf.DUMMYFUNCTION("""COMPUTED_VALUE"""),46302.64583333333)</f>
        <v>46302.64583</v>
      </c>
      <c r="F119" s="1">
        <f>IFERROR(__xludf.DUMMYFUNCTION("""COMPUTED_VALUE"""),55055.55)</f>
        <v>55055.55</v>
      </c>
      <c r="G119" s="1"/>
      <c r="H119" s="1"/>
      <c r="I119" s="1"/>
      <c r="J119" s="1"/>
      <c r="K119" s="269"/>
      <c r="L119" s="65"/>
      <c r="M119" s="25"/>
      <c r="N119" s="65"/>
      <c r="O119" s="2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12">
        <f>IFERROR(__xludf.DUMMYFUNCTION("""COMPUTED_VALUE"""),46303.64583333333)</f>
        <v>46303.64583</v>
      </c>
      <c r="C120" s="1">
        <f>IFERROR(__xludf.DUMMYFUNCTION("""COMPUTED_VALUE"""),692.25)</f>
        <v>692.25</v>
      </c>
      <c r="D120" s="1"/>
      <c r="E120" s="112">
        <f>IFERROR(__xludf.DUMMYFUNCTION("""COMPUTED_VALUE"""),46303.64583333333)</f>
        <v>46303.64583</v>
      </c>
      <c r="F120" s="1">
        <f>IFERROR(__xludf.DUMMYFUNCTION("""COMPUTED_VALUE"""),54515.05)</f>
        <v>54515.05</v>
      </c>
      <c r="G120" s="1"/>
      <c r="H120" s="1"/>
      <c r="I120" s="1"/>
      <c r="J120" s="1"/>
      <c r="K120" s="269">
        <f>C118/F120</f>
        <v>0.01305052458</v>
      </c>
      <c r="L120" s="65">
        <f>AVERAGE(C100:C120)</f>
        <v>716.0452381</v>
      </c>
      <c r="M120" s="25">
        <f>(C120-L120)/C120</f>
        <v>-0.03437376395</v>
      </c>
      <c r="N120" s="65">
        <f>AVERAGE(F100:F120)</f>
        <v>55625.5119</v>
      </c>
      <c r="O120" s="25">
        <f>(F120-N120)/F120</f>
        <v>-0.02036982273</v>
      </c>
      <c r="P120" s="25">
        <f>M120-O120</f>
        <v>-0.01400394122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81"/>
      <c r="B121" s="182">
        <f>IFERROR(__xludf.DUMMYFUNCTION("""COMPUTED_VALUE"""),46304.64583333333)</f>
        <v>46304.64583</v>
      </c>
      <c r="C121" s="183">
        <f>IFERROR(__xludf.DUMMYFUNCTION("""COMPUTED_VALUE"""),707.25)</f>
        <v>707.25</v>
      </c>
      <c r="D121" s="183"/>
      <c r="E121" s="182">
        <f>IFERROR(__xludf.DUMMYFUNCTION("""COMPUTED_VALUE"""),46304.64583333333)</f>
        <v>46304.64583</v>
      </c>
      <c r="F121" s="183">
        <f>IFERROR(__xludf.DUMMYFUNCTION("""COMPUTED_VALUE"""),55256.65)</f>
        <v>55256.65</v>
      </c>
      <c r="G121" s="183"/>
      <c r="H121" s="179"/>
      <c r="I121" s="175"/>
      <c r="J121" s="176"/>
      <c r="K121" s="184"/>
      <c r="L121" s="185"/>
      <c r="M121" s="186"/>
      <c r="N121" s="185"/>
      <c r="O121" s="186"/>
      <c r="P121" s="18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81"/>
      <c r="B122" s="182">
        <f>IFERROR(__xludf.DUMMYFUNCTION("""COMPUTED_VALUE"""),46307.64583333333)</f>
        <v>46307.64583</v>
      </c>
      <c r="C122" s="183">
        <f>IFERROR(__xludf.DUMMYFUNCTION("""COMPUTED_VALUE"""),704.9)</f>
        <v>704.9</v>
      </c>
      <c r="D122" s="183"/>
      <c r="E122" s="182">
        <f>IFERROR(__xludf.DUMMYFUNCTION("""COMPUTED_VALUE"""),46307.64583333333)</f>
        <v>46307.64583</v>
      </c>
      <c r="F122" s="183">
        <f>IFERROR(__xludf.DUMMYFUNCTION("""COMPUTED_VALUE"""),54918.0)</f>
        <v>54918</v>
      </c>
      <c r="G122" s="183"/>
      <c r="H122" s="179"/>
      <c r="I122" s="175"/>
      <c r="J122" s="176"/>
      <c r="K122" s="184"/>
      <c r="L122" s="185"/>
      <c r="M122" s="186"/>
      <c r="N122" s="185"/>
      <c r="O122" s="186"/>
      <c r="P122" s="18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81"/>
      <c r="B123" s="182">
        <f>IFERROR(__xludf.DUMMYFUNCTION("""COMPUTED_VALUE"""),46308.64583333333)</f>
        <v>46308.64583</v>
      </c>
      <c r="C123" s="183">
        <f>IFERROR(__xludf.DUMMYFUNCTION("""COMPUTED_VALUE"""),714.0)</f>
        <v>714</v>
      </c>
      <c r="D123" s="183"/>
      <c r="E123" s="182">
        <f>IFERROR(__xludf.DUMMYFUNCTION("""COMPUTED_VALUE"""),46308.64583333333)</f>
        <v>46308.64583</v>
      </c>
      <c r="F123" s="183">
        <f>IFERROR(__xludf.DUMMYFUNCTION("""COMPUTED_VALUE"""),55481.05)</f>
        <v>55481.05</v>
      </c>
      <c r="G123" s="183"/>
      <c r="H123" s="179"/>
      <c r="I123" s="175"/>
      <c r="J123" s="176"/>
      <c r="K123" s="184"/>
      <c r="L123" s="185"/>
      <c r="M123" s="186"/>
      <c r="N123" s="185"/>
      <c r="O123" s="186"/>
      <c r="P123" s="18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81"/>
      <c r="B124" s="182">
        <f>IFERROR(__xludf.DUMMYFUNCTION("""COMPUTED_VALUE"""),46309.64583333333)</f>
        <v>46309.64583</v>
      </c>
      <c r="C124" s="183">
        <f>IFERROR(__xludf.DUMMYFUNCTION("""COMPUTED_VALUE"""),710.7)</f>
        <v>710.7</v>
      </c>
      <c r="D124" s="183"/>
      <c r="E124" s="182">
        <f>IFERROR(__xludf.DUMMYFUNCTION("""COMPUTED_VALUE"""),46309.64583333333)</f>
        <v>46309.64583</v>
      </c>
      <c r="F124" s="183">
        <f>IFERROR(__xludf.DUMMYFUNCTION("""COMPUTED_VALUE"""),55316.0)</f>
        <v>55316</v>
      </c>
      <c r="G124" s="183"/>
      <c r="H124" s="179"/>
      <c r="I124" s="175"/>
      <c r="J124" s="176"/>
      <c r="K124" s="184"/>
      <c r="L124" s="185"/>
      <c r="M124" s="186"/>
      <c r="N124" s="185"/>
      <c r="O124" s="186"/>
      <c r="P124" s="18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B125" s="166">
        <f>IFERROR(__xludf.DUMMYFUNCTION("""COMPUTED_VALUE"""),46310.64583333333)</f>
        <v>46310.64583</v>
      </c>
      <c r="C125" s="230">
        <f>IFERROR(__xludf.DUMMYFUNCTION("""COMPUTED_VALUE"""),726.85)</f>
        <v>726.85</v>
      </c>
      <c r="E125" s="166">
        <f>IFERROR(__xludf.DUMMYFUNCTION("""COMPUTED_VALUE"""),46310.64583333333)</f>
        <v>46310.64583</v>
      </c>
      <c r="F125" s="230">
        <f>IFERROR(__xludf.DUMMYFUNCTION("""COMPUTED_VALUE"""),55810.5)</f>
        <v>55810.5</v>
      </c>
    </row>
    <row r="126">
      <c r="B126" s="166">
        <f>IFERROR(__xludf.DUMMYFUNCTION("""COMPUTED_VALUE"""),46311.64583333333)</f>
        <v>46311.64583</v>
      </c>
      <c r="C126" s="230">
        <f>IFERROR(__xludf.DUMMYFUNCTION("""COMPUTED_VALUE"""),728.85)</f>
        <v>728.85</v>
      </c>
      <c r="E126" s="166">
        <f>IFERROR(__xludf.DUMMYFUNCTION("""COMPUTED_VALUE"""),46311.64583333333)</f>
        <v>46311.64583</v>
      </c>
      <c r="F126" s="230">
        <f>IFERROR(__xludf.DUMMYFUNCTION("""COMPUTED_VALUE"""),55844.0)</f>
        <v>55844</v>
      </c>
    </row>
    <row r="128">
      <c r="A128" s="181" t="s">
        <v>9</v>
      </c>
      <c r="B128" s="182">
        <f>IFERROR(__xludf.DUMMYFUNCTION("GOOGLEFINANCE(B9,""TRADETIME"")"),46311.64583333333)</f>
        <v>46311.64583</v>
      </c>
      <c r="C128" s="183">
        <f>IFERROR(__xludf.DUMMYFUNCTION("GOOGLEFINANCE(B9,""PRICE"")"),728.85)</f>
        <v>728.85</v>
      </c>
      <c r="D128" s="183"/>
      <c r="E128" s="182">
        <f>IFERROR(__xludf.DUMMYFUNCTION("GOOGLEFINANCE(E9,""TRADETIME"")"),46311.6466087963)</f>
        <v>46311.64661</v>
      </c>
      <c r="F128" s="183">
        <f>IFERROR(__xludf.DUMMYFUNCTION("GOOGLEFINANCE(E9,""PRICE"")"),55844.0)</f>
        <v>55844</v>
      </c>
      <c r="G128" s="183"/>
      <c r="H128" s="179">
        <f>C128/F128</f>
        <v>0.01305153642</v>
      </c>
      <c r="I128" s="175">
        <f>C128-F128</f>
        <v>-55115.15</v>
      </c>
      <c r="J128" s="176">
        <f>((I128-$I$129)/$I$130)</f>
        <v>0.3727131588</v>
      </c>
      <c r="K128" s="184">
        <f>C128/F128</f>
        <v>0.01305153642</v>
      </c>
      <c r="L128" s="185">
        <f>AVERAGE(C73:C109)</f>
        <v>722.3432432</v>
      </c>
      <c r="M128" s="186">
        <f>(C128-L128)/C128</f>
        <v>0.008927429179</v>
      </c>
      <c r="N128" s="185">
        <f>AVERAGE(F73:F109)</f>
        <v>57242.91757</v>
      </c>
      <c r="O128" s="186">
        <f>(F128-N128)/F128</f>
        <v>-0.02505045426</v>
      </c>
      <c r="P128" s="186">
        <f>M128-O128</f>
        <v>0.03397788344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96" t="s">
        <v>138</v>
      </c>
      <c r="I129" s="177">
        <f>AVERAGE(I11:I118)</f>
        <v>-55675.48333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96" t="s">
        <v>139</v>
      </c>
      <c r="I130" s="189">
        <f>_xlfn.STDEV.P(I11:I117)</f>
        <v>1503.390262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93"/>
      <c r="D131" s="193"/>
      <c r="E131" s="193"/>
      <c r="F131" s="193"/>
      <c r="G131" s="19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5" max="5" width="20.63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18.88"/>
    <col customWidth="1" min="20" max="20" width="26.0"/>
    <col customWidth="1" min="21" max="21" width="18.5"/>
    <col customWidth="1" min="24" max="24" width="13.38"/>
  </cols>
  <sheetData>
    <row r="1">
      <c r="A1" s="1"/>
      <c r="B1" s="2" t="s">
        <v>0</v>
      </c>
      <c r="C1" s="4">
        <f>AVERAGE(C98:C118)</f>
        <v>147.6290476</v>
      </c>
      <c r="D1" s="1"/>
      <c r="E1" s="2" t="s">
        <v>0</v>
      </c>
      <c r="F1" s="4">
        <f>AVERAGE(F98:F118)</f>
        <v>172.382381</v>
      </c>
      <c r="G1" s="1">
        <f>STDEV(F74:F93)</f>
        <v>1.999430445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197</v>
      </c>
      <c r="V1" s="7" t="s">
        <v>198</v>
      </c>
      <c r="W1" s="7" t="s">
        <v>11</v>
      </c>
      <c r="X1" s="13" t="s">
        <v>12</v>
      </c>
      <c r="Y1" s="1"/>
      <c r="Z1" s="1"/>
      <c r="AA1" s="1"/>
      <c r="AB1" s="1"/>
      <c r="AC1" s="1"/>
    </row>
    <row r="2">
      <c r="A2" s="1"/>
      <c r="B2" s="17" t="s">
        <v>20</v>
      </c>
      <c r="C2" s="19">
        <f>AVERAGE(C18:C88)</f>
        <v>157.0942254</v>
      </c>
      <c r="D2" s="1"/>
      <c r="E2" s="17" t="s">
        <v>20</v>
      </c>
      <c r="F2" s="19">
        <f>AVERAGE(F88:F118)</f>
        <v>172.8570968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0.6143507111</v>
      </c>
      <c r="O2" s="7" t="s">
        <v>25</v>
      </c>
      <c r="P2" s="29">
        <f>AVERAGE(K88:K117)</f>
        <v>0.8576304702</v>
      </c>
      <c r="Q2" s="29">
        <f>MAX(K88:K117)</f>
        <v>0.9114186851</v>
      </c>
      <c r="R2" s="29">
        <f>MIN(K88:K117)</f>
        <v>0.8215946072</v>
      </c>
      <c r="S2" s="40">
        <f t="shared" ref="S2:S5" si="1">Q2-R2</f>
        <v>0.08982407796</v>
      </c>
      <c r="T2" s="1">
        <f>MATCH(MAX(K11:K116), K11:K116, 0)</f>
        <v>2</v>
      </c>
      <c r="U2" s="1">
        <f t="array" ref="U2">INDEX(C11:C116, MATCH(MAX(K11:K116), K11:K116, 0))</f>
        <v>169.46</v>
      </c>
      <c r="V2" s="1">
        <f t="array" ref="V2">INDEX(F11:F116, MATCH(MAX(K11:K116), K11:K116, 0))</f>
        <v>165.68</v>
      </c>
      <c r="W2" s="54">
        <f t="shared" ref="W2:W3" si="2">U2/V2</f>
        <v>1.022815065</v>
      </c>
      <c r="X2" s="7" t="s">
        <v>2</v>
      </c>
      <c r="Y2" s="1"/>
      <c r="Z2" s="1"/>
      <c r="AA2" s="1"/>
      <c r="AB2" s="1"/>
      <c r="AC2" s="1"/>
    </row>
    <row r="3">
      <c r="A3" s="1">
        <f>STDEV(C75:C93)</f>
        <v>2.392669971</v>
      </c>
      <c r="B3" s="58" t="s">
        <v>61</v>
      </c>
      <c r="C3" s="61">
        <f>max(C98:C118)</f>
        <v>154.8</v>
      </c>
      <c r="D3" s="65">
        <f>C1+A3*2</f>
        <v>152.4143876</v>
      </c>
      <c r="E3" s="58" t="s">
        <v>61</v>
      </c>
      <c r="F3" s="61">
        <f>max(F98:F118)</f>
        <v>176</v>
      </c>
      <c r="G3" s="65">
        <f>F1+G1*2</f>
        <v>176.3812418</v>
      </c>
      <c r="H3" s="1"/>
      <c r="I3" s="1"/>
      <c r="J3" s="1"/>
      <c r="K3" s="1"/>
      <c r="L3" s="1"/>
      <c r="M3" s="7" t="s">
        <v>64</v>
      </c>
      <c r="N3" s="25">
        <f>CORREL(C58:C118,F58:F118)</f>
        <v>0.5242882864</v>
      </c>
      <c r="O3" s="7" t="s">
        <v>67</v>
      </c>
      <c r="P3" s="29">
        <f>AVERAGE((K58:K117))</f>
        <v>0.8663308317</v>
      </c>
      <c r="Q3" s="29">
        <f>MAX(K58:K117)</f>
        <v>0.9114186851</v>
      </c>
      <c r="R3" s="29">
        <f>MIN(K58:K117)</f>
        <v>0.8215946072</v>
      </c>
      <c r="S3" s="40">
        <f t="shared" si="1"/>
        <v>0.08982407796</v>
      </c>
      <c r="T3" s="1">
        <f>MATCH(Min(K11:K116), K11:K116, 0)</f>
        <v>102</v>
      </c>
      <c r="U3" s="1">
        <f t="array" ref="U3">INDEX(C11:C116, MATCH(Min(K11:K116), K11:K116, 0))</f>
        <v>143.44</v>
      </c>
      <c r="V3" s="1">
        <f t="array" ref="V3">INDEX(F11:F116, MATCH(MIN(K11:K116), K11:K116, 0))</f>
        <v>172.45</v>
      </c>
      <c r="W3" s="54">
        <f t="shared" si="2"/>
        <v>0.8317773268</v>
      </c>
      <c r="X3" s="7" t="s">
        <v>3</v>
      </c>
      <c r="Y3" s="1"/>
      <c r="Z3" s="1"/>
      <c r="AA3" s="1"/>
      <c r="AB3" s="1"/>
      <c r="AC3" s="1"/>
    </row>
    <row r="4">
      <c r="A4" s="1"/>
      <c r="B4" s="58" t="s">
        <v>73</v>
      </c>
      <c r="C4" s="61">
        <f>MIN(C98:C118)</f>
        <v>141.38</v>
      </c>
      <c r="D4" s="65">
        <f>C1-A3*2</f>
        <v>142.8437077</v>
      </c>
      <c r="E4" s="58" t="s">
        <v>73</v>
      </c>
      <c r="F4" s="61">
        <f>MIN(F98:F118)</f>
        <v>167.5</v>
      </c>
      <c r="G4" s="65">
        <f>F1-G1*2</f>
        <v>168.3835201</v>
      </c>
      <c r="H4" s="1"/>
      <c r="I4" s="1"/>
      <c r="J4" s="1"/>
      <c r="K4" s="1"/>
      <c r="L4" s="1"/>
      <c r="M4" s="7" t="s">
        <v>77</v>
      </c>
      <c r="N4" s="25">
        <f>CORREL(C28:C118,F28:F118)</f>
        <v>-0.04932411381</v>
      </c>
      <c r="O4" s="7" t="s">
        <v>79</v>
      </c>
      <c r="P4" s="29">
        <f>AVERAGE(K28:K117)</f>
        <v>0.893399729</v>
      </c>
      <c r="Q4" s="29">
        <f>MAX(K28:K117)</f>
        <v>1.004824722</v>
      </c>
      <c r="R4" s="29">
        <f>MIN(K28:K117)</f>
        <v>0.8215946072</v>
      </c>
      <c r="S4" s="40">
        <f t="shared" si="1"/>
        <v>0.183230115</v>
      </c>
      <c r="T4" s="1"/>
      <c r="U4" s="1"/>
      <c r="V4" s="1"/>
      <c r="W4" s="54"/>
      <c r="X4" s="1"/>
      <c r="Y4" s="1"/>
      <c r="Z4" s="1"/>
      <c r="AA4" s="1"/>
      <c r="AB4" s="1"/>
      <c r="AC4" s="1"/>
    </row>
    <row r="5">
      <c r="A5" s="1"/>
      <c r="B5" s="58" t="s">
        <v>81</v>
      </c>
      <c r="C5" s="61">
        <f>max(C108:C118)</f>
        <v>147.09</v>
      </c>
      <c r="D5" s="65">
        <f>C1+A3</f>
        <v>150.0217176</v>
      </c>
      <c r="E5" s="58" t="s">
        <v>81</v>
      </c>
      <c r="F5" s="61">
        <f>max(F108:F118)</f>
        <v>173.85</v>
      </c>
      <c r="G5" s="65">
        <f>F1+G1</f>
        <v>174.3818114</v>
      </c>
      <c r="H5" s="1"/>
      <c r="I5" s="1"/>
      <c r="J5" s="1"/>
      <c r="K5" s="1"/>
      <c r="L5" s="1"/>
      <c r="M5" s="7" t="s">
        <v>82</v>
      </c>
      <c r="N5" s="25">
        <f>CORREL(C11:C118,F11:F118)</f>
        <v>-0.1648206291</v>
      </c>
      <c r="O5" s="7" t="s">
        <v>83</v>
      </c>
      <c r="P5" s="29">
        <f>AVERAGE(K11:K117)</f>
        <v>0.9076612048</v>
      </c>
      <c r="Q5" s="29">
        <f>MAX(K11:K117)</f>
        <v>1.022815065</v>
      </c>
      <c r="R5" s="29">
        <f>MIN(K11:K117)</f>
        <v>0.8215946072</v>
      </c>
      <c r="S5" s="40">
        <f t="shared" si="1"/>
        <v>0.201220458</v>
      </c>
      <c r="T5" s="96" t="s">
        <v>200</v>
      </c>
      <c r="U5" s="96" t="str">
        <f t="shared" ref="U5:U8" si="3">#REF!</f>
        <v>#REF!</v>
      </c>
      <c r="V5" s="99" t="str">
        <f>U2*U7*U5</f>
        <v>#REF!</v>
      </c>
      <c r="W5" s="109" t="str">
        <f>V2*U6*U8</f>
        <v>#REF!</v>
      </c>
      <c r="X5" s="99"/>
      <c r="Y5" s="1"/>
      <c r="Z5" s="1"/>
      <c r="AA5" s="1"/>
      <c r="AB5" s="1"/>
      <c r="AC5" s="1"/>
    </row>
    <row r="6">
      <c r="A6" s="1"/>
      <c r="B6" s="58" t="s">
        <v>87</v>
      </c>
      <c r="C6" s="61">
        <f>MIN(C108:C118)</f>
        <v>141.38</v>
      </c>
      <c r="D6" s="65">
        <f>C1-A3</f>
        <v>145.2363776</v>
      </c>
      <c r="E6" s="58" t="s">
        <v>87</v>
      </c>
      <c r="F6" s="61">
        <f>MIN(F108:F118)</f>
        <v>167.5</v>
      </c>
      <c r="G6" s="65">
        <f>F1-G1</f>
        <v>170.3829505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201</v>
      </c>
      <c r="U6" s="96" t="str">
        <f t="shared" si="3"/>
        <v>#REF!</v>
      </c>
      <c r="V6" s="99" t="str">
        <f>U3*U5*U7</f>
        <v>#REF!</v>
      </c>
      <c r="W6" s="99" t="str">
        <f>V3*U6*U8</f>
        <v>#REF!</v>
      </c>
      <c r="X6" s="99"/>
      <c r="Y6" s="109"/>
      <c r="Z6" s="1"/>
      <c r="AA6" s="1"/>
      <c r="AB6" s="1"/>
      <c r="AC6" s="1"/>
    </row>
    <row r="7">
      <c r="A7" s="1"/>
      <c r="B7" s="7" t="s">
        <v>88</v>
      </c>
      <c r="C7" s="1">
        <f>max(C88:C118)</f>
        <v>158.04</v>
      </c>
      <c r="D7" s="1"/>
      <c r="E7" s="7" t="s">
        <v>88</v>
      </c>
      <c r="F7" s="1">
        <f>max(F88:F118)</f>
        <v>177.5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7" t="s">
        <v>200</v>
      </c>
      <c r="U7" s="7" t="str">
        <f t="shared" si="3"/>
        <v>#REF!</v>
      </c>
      <c r="V7" s="1"/>
      <c r="W7" s="1"/>
      <c r="X7" s="1"/>
      <c r="Y7" s="1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147.6290476</v>
      </c>
      <c r="D8" s="1"/>
      <c r="E8" s="58" t="s">
        <v>90</v>
      </c>
      <c r="F8" s="107">
        <f>AVERAGE(F98:F118)</f>
        <v>172.382381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7" t="s">
        <v>201</v>
      </c>
      <c r="U8" s="7" t="str">
        <f t="shared" si="3"/>
        <v>#REF!</v>
      </c>
      <c r="V8" s="1"/>
      <c r="W8" s="1"/>
      <c r="X8" s="1"/>
      <c r="Y8" s="1"/>
      <c r="Z8" s="1"/>
      <c r="AA8" s="1"/>
      <c r="AB8" s="1"/>
      <c r="AC8" s="1"/>
    </row>
    <row r="9">
      <c r="A9" s="1"/>
      <c r="B9" s="13" t="s">
        <v>133</v>
      </c>
      <c r="C9" s="1"/>
      <c r="D9" s="1"/>
      <c r="E9" s="13" t="s">
        <v>134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" t="str">
        <f>IFERROR(__xludf.DUMMYFUNCTION("GOOGLEFINANCE(B9,""price"",TODAY()-165,TODAY())"),"Date")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IFERROR(__xludf.DUMMYFUNCTION("GOOGLEFINANCE(E9,""price"",TODAY()-165,TODAY())"),"Date")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106</v>
      </c>
      <c r="M10" s="7" t="s">
        <v>107</v>
      </c>
      <c r="N10" s="7" t="s">
        <v>108</v>
      </c>
      <c r="O10" s="7" t="s">
        <v>109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tr">
        <f>T5</f>
        <v>IGL</v>
      </c>
      <c r="AA10" s="111" t="str">
        <f>T6</f>
        <v>GAIL</v>
      </c>
      <c r="AB10" s="1"/>
      <c r="AC10" s="1"/>
    </row>
    <row r="11">
      <c r="A11" s="1"/>
      <c r="B11" s="112">
        <f>IFERROR(__xludf.DUMMYFUNCTION("""COMPUTED_VALUE"""),46147.64583333333)</f>
        <v>46147.64583</v>
      </c>
      <c r="C11" s="1">
        <f>IFERROR(__xludf.DUMMYFUNCTION("""COMPUTED_VALUE"""),166.24)</f>
        <v>166.24</v>
      </c>
      <c r="D11" s="1"/>
      <c r="E11" s="112">
        <f>IFERROR(__xludf.DUMMYFUNCTION("""COMPUTED_VALUE"""),46147.64583333333)</f>
        <v>46147.64583</v>
      </c>
      <c r="F11" s="1">
        <f>IFERROR(__xludf.DUMMYFUNCTION("""COMPUTED_VALUE"""),163.7)</f>
        <v>163.7</v>
      </c>
      <c r="G11" s="1"/>
      <c r="H11" s="29">
        <f t="shared" ref="H11:H121" si="4">C11/F11</f>
        <v>1.015516188</v>
      </c>
      <c r="I11" s="1">
        <f t="shared" ref="I11:I118" si="5">C11-F11</f>
        <v>2.54</v>
      </c>
      <c r="J11" s="113">
        <f t="shared" ref="J11:J118" si="6">((I11-$I$129)/$I$130)</f>
        <v>1.947499686</v>
      </c>
      <c r="K11" s="29">
        <f t="shared" ref="K11:K119" si="7">C11/F11</f>
        <v>1.015516188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 t="str">
        <f>V5-V6</f>
        <v>#REF!</v>
      </c>
      <c r="W11" s="120" t="str">
        <f>W6-W5</f>
        <v>#REF!</v>
      </c>
      <c r="X11" s="99" t="str">
        <f>V11+W11</f>
        <v>#REF!</v>
      </c>
      <c r="Y11" s="110" t="s">
        <v>101</v>
      </c>
      <c r="Z11" s="115">
        <f>AVERAGE(C88,C118)</f>
        <v>147.035</v>
      </c>
      <c r="AA11" s="115">
        <f>AVERAGE(F88,F118)</f>
        <v>172.23</v>
      </c>
      <c r="AB11" s="1"/>
      <c r="AC11" s="1"/>
    </row>
    <row r="12">
      <c r="A12" s="1"/>
      <c r="B12" s="112">
        <f>IFERROR(__xludf.DUMMYFUNCTION("""COMPUTED_VALUE"""),46148.64583333333)</f>
        <v>46148.64583</v>
      </c>
      <c r="C12" s="1">
        <f>IFERROR(__xludf.DUMMYFUNCTION("""COMPUTED_VALUE"""),169.46)</f>
        <v>169.46</v>
      </c>
      <c r="D12" s="1"/>
      <c r="E12" s="112">
        <f>IFERROR(__xludf.DUMMYFUNCTION("""COMPUTED_VALUE"""),46148.64583333333)</f>
        <v>46148.64583</v>
      </c>
      <c r="F12" s="1">
        <f>IFERROR(__xludf.DUMMYFUNCTION("""COMPUTED_VALUE"""),165.68)</f>
        <v>165.68</v>
      </c>
      <c r="G12" s="1"/>
      <c r="H12" s="29">
        <f t="shared" si="4"/>
        <v>1.022815065</v>
      </c>
      <c r="I12" s="1">
        <f t="shared" si="5"/>
        <v>3.78</v>
      </c>
      <c r="J12" s="113">
        <f t="shared" si="6"/>
        <v>2.077397663</v>
      </c>
      <c r="K12" s="29">
        <f t="shared" si="7"/>
        <v>1.022815065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S2/3</f>
        <v>0.02994135932</v>
      </c>
      <c r="V12" s="1"/>
      <c r="W12" s="1"/>
      <c r="X12" s="1"/>
      <c r="Y12" s="110" t="s">
        <v>104</v>
      </c>
      <c r="Z12" s="115">
        <f>AVERAGE(C58,C118)</f>
        <v>149.71</v>
      </c>
      <c r="AA12" s="115">
        <f>AVERAGE(F58,F118)</f>
        <v>171.915</v>
      </c>
      <c r="AB12" s="1"/>
      <c r="AC12" s="1"/>
    </row>
    <row r="13">
      <c r="A13" s="1"/>
      <c r="B13" s="112">
        <f>IFERROR(__xludf.DUMMYFUNCTION("""COMPUTED_VALUE"""),46149.64583333333)</f>
        <v>46149.64583</v>
      </c>
      <c r="C13" s="1">
        <f>IFERROR(__xludf.DUMMYFUNCTION("""COMPUTED_VALUE"""),169.84)</f>
        <v>169.84</v>
      </c>
      <c r="D13" s="1"/>
      <c r="E13" s="112">
        <f>IFERROR(__xludf.DUMMYFUNCTION("""COMPUTED_VALUE"""),46149.64583333333)</f>
        <v>46149.64583</v>
      </c>
      <c r="F13" s="1">
        <f>IFERROR(__xludf.DUMMYFUNCTION("""COMPUTED_VALUE"""),167.26)</f>
        <v>167.26</v>
      </c>
      <c r="G13" s="1"/>
      <c r="H13" s="29">
        <f t="shared" si="4"/>
        <v>1.015425087</v>
      </c>
      <c r="I13" s="1">
        <f t="shared" si="5"/>
        <v>2.58</v>
      </c>
      <c r="J13" s="113">
        <f t="shared" si="6"/>
        <v>1.951689943</v>
      </c>
      <c r="K13" s="29">
        <f t="shared" si="7"/>
        <v>1.015425087</v>
      </c>
      <c r="L13" s="1"/>
      <c r="M13" s="1"/>
      <c r="N13" s="1"/>
      <c r="O13" s="25"/>
      <c r="P13" s="1"/>
      <c r="Q13" s="1"/>
      <c r="R13" s="1"/>
      <c r="S13" s="9"/>
      <c r="T13" s="117"/>
      <c r="U13" s="118" t="str">
        <f>(X11*U12)/S2</f>
        <v>#REF!</v>
      </c>
      <c r="V13" s="117"/>
      <c r="W13" s="117"/>
      <c r="X13" s="119" t="str">
        <f>X11/(R2/U12)</f>
        <v>#REF!</v>
      </c>
      <c r="Y13" s="110" t="s">
        <v>105</v>
      </c>
      <c r="Z13" s="115">
        <f>AVERAGE(C28,C118)</f>
        <v>153.41</v>
      </c>
      <c r="AA13" s="115">
        <f>AVERAGE(F28,F118)</f>
        <v>167.61</v>
      </c>
      <c r="AB13" s="1"/>
      <c r="AC13" s="1"/>
    </row>
    <row r="14">
      <c r="A14" s="1"/>
      <c r="B14" s="112">
        <f>IFERROR(__xludf.DUMMYFUNCTION("""COMPUTED_VALUE"""),46150.64583333333)</f>
        <v>46150.64583</v>
      </c>
      <c r="C14" s="1">
        <f>IFERROR(__xludf.DUMMYFUNCTION("""COMPUTED_VALUE"""),165.99)</f>
        <v>165.99</v>
      </c>
      <c r="D14" s="1"/>
      <c r="E14" s="112">
        <f>IFERROR(__xludf.DUMMYFUNCTION("""COMPUTED_VALUE"""),46150.64583333333)</f>
        <v>46150.64583</v>
      </c>
      <c r="F14" s="1">
        <f>IFERROR(__xludf.DUMMYFUNCTION("""COMPUTED_VALUE"""),166.49)</f>
        <v>166.49</v>
      </c>
      <c r="G14" s="1"/>
      <c r="H14" s="29">
        <f t="shared" si="4"/>
        <v>0.9969968166</v>
      </c>
      <c r="I14" s="1">
        <f t="shared" si="5"/>
        <v>-0.5</v>
      </c>
      <c r="J14" s="113">
        <f t="shared" si="6"/>
        <v>1.62904013</v>
      </c>
      <c r="K14" s="29">
        <f t="shared" si="7"/>
        <v>0.9969968166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3"/>
      <c r="Z14" s="1"/>
      <c r="AA14" s="1"/>
      <c r="AB14" s="1"/>
      <c r="AC14" s="1"/>
    </row>
    <row r="15">
      <c r="A15" s="1"/>
      <c r="B15" s="112">
        <f>IFERROR(__xludf.DUMMYFUNCTION("""COMPUTED_VALUE"""),46153.64583333333)</f>
        <v>46153.64583</v>
      </c>
      <c r="C15" s="1">
        <f>IFERROR(__xludf.DUMMYFUNCTION("""COMPUTED_VALUE"""),160.69)</f>
        <v>160.69</v>
      </c>
      <c r="D15" s="1"/>
      <c r="E15" s="112">
        <f>IFERROR(__xludf.DUMMYFUNCTION("""COMPUTED_VALUE"""),46153.64583333333)</f>
        <v>46153.64583</v>
      </c>
      <c r="F15" s="1">
        <f>IFERROR(__xludf.DUMMYFUNCTION("""COMPUTED_VALUE"""),162.51)</f>
        <v>162.51</v>
      </c>
      <c r="G15" s="1"/>
      <c r="H15" s="29">
        <f t="shared" si="4"/>
        <v>0.9888006892</v>
      </c>
      <c r="I15" s="1">
        <f t="shared" si="5"/>
        <v>-1.82</v>
      </c>
      <c r="J15" s="113">
        <f t="shared" si="6"/>
        <v>1.490761638</v>
      </c>
      <c r="K15" s="29">
        <f t="shared" si="7"/>
        <v>0.9888006892</v>
      </c>
      <c r="L15" s="1"/>
      <c r="M15" s="1"/>
      <c r="N15" s="1"/>
      <c r="O15" s="1"/>
      <c r="P15" s="1"/>
      <c r="Q15" s="1"/>
      <c r="R15" s="1"/>
      <c r="S15" s="123"/>
      <c r="T15" s="123"/>
      <c r="U15" s="123"/>
      <c r="V15" s="123"/>
      <c r="W15" s="123"/>
      <c r="X15" s="123"/>
      <c r="Y15" s="123"/>
      <c r="Z15" s="1"/>
      <c r="AA15" s="1"/>
      <c r="AB15" s="1"/>
      <c r="AC15" s="1"/>
    </row>
    <row r="16">
      <c r="A16" s="1"/>
      <c r="B16" s="112">
        <f>IFERROR(__xludf.DUMMYFUNCTION("""COMPUTED_VALUE"""),46154.64583333333)</f>
        <v>46154.64583</v>
      </c>
      <c r="C16" s="1">
        <f>IFERROR(__xludf.DUMMYFUNCTION("""COMPUTED_VALUE"""),156.81)</f>
        <v>156.81</v>
      </c>
      <c r="D16" s="1"/>
      <c r="E16" s="112">
        <f>IFERROR(__xludf.DUMMYFUNCTION("""COMPUTED_VALUE"""),46154.64583333333)</f>
        <v>46154.64583</v>
      </c>
      <c r="F16" s="1">
        <f>IFERROR(__xludf.DUMMYFUNCTION("""COMPUTED_VALUE"""),160.35)</f>
        <v>160.35</v>
      </c>
      <c r="G16" s="1"/>
      <c r="H16" s="29">
        <f t="shared" si="4"/>
        <v>0.9779232928</v>
      </c>
      <c r="I16" s="1">
        <f t="shared" si="5"/>
        <v>-3.54</v>
      </c>
      <c r="J16" s="113">
        <f t="shared" si="6"/>
        <v>1.310580574</v>
      </c>
      <c r="K16" s="29">
        <f t="shared" si="7"/>
        <v>0.9779232928</v>
      </c>
      <c r="L16" s="1"/>
      <c r="M16" s="1"/>
      <c r="N16" s="1"/>
      <c r="O16" s="1"/>
      <c r="P16" s="1"/>
      <c r="Q16" s="1"/>
      <c r="R16" s="1"/>
      <c r="S16" s="117"/>
      <c r="T16" s="125"/>
      <c r="U16" s="126"/>
      <c r="V16" s="123"/>
      <c r="W16" s="123"/>
      <c r="X16" s="123"/>
      <c r="Y16" s="123"/>
      <c r="Z16" s="1"/>
      <c r="AA16" s="1"/>
      <c r="AB16" s="1"/>
      <c r="AC16" s="1"/>
    </row>
    <row r="17">
      <c r="A17" s="1"/>
      <c r="B17" s="112">
        <f>IFERROR(__xludf.DUMMYFUNCTION("""COMPUTED_VALUE"""),46155.64583333333)</f>
        <v>46155.64583</v>
      </c>
      <c r="C17" s="1">
        <f>IFERROR(__xludf.DUMMYFUNCTION("""COMPUTED_VALUE"""),159.3)</f>
        <v>159.3</v>
      </c>
      <c r="D17" s="1"/>
      <c r="E17" s="112">
        <f>IFERROR(__xludf.DUMMYFUNCTION("""COMPUTED_VALUE"""),46155.64583333333)</f>
        <v>46155.64583</v>
      </c>
      <c r="F17" s="1">
        <f>IFERROR(__xludf.DUMMYFUNCTION("""COMPUTED_VALUE"""),163.31)</f>
        <v>163.31</v>
      </c>
      <c r="G17" s="1"/>
      <c r="H17" s="29">
        <f t="shared" si="4"/>
        <v>0.9754454718</v>
      </c>
      <c r="I17" s="1">
        <f t="shared" si="5"/>
        <v>-4.01</v>
      </c>
      <c r="J17" s="113">
        <f t="shared" si="6"/>
        <v>1.26134505</v>
      </c>
      <c r="K17" s="29">
        <f t="shared" si="7"/>
        <v>0.9754454718</v>
      </c>
      <c r="L17" s="1"/>
      <c r="M17" s="1"/>
      <c r="N17" s="1"/>
      <c r="O17" s="1"/>
      <c r="P17" s="1"/>
      <c r="Q17" s="1"/>
      <c r="R17" s="1"/>
      <c r="S17" s="123"/>
      <c r="T17" s="123"/>
      <c r="U17" s="123"/>
      <c r="V17" s="123"/>
      <c r="W17" s="123"/>
      <c r="X17" s="123"/>
      <c r="Y17" s="123"/>
      <c r="Z17" s="1"/>
      <c r="AA17" s="1"/>
      <c r="AB17" s="1"/>
      <c r="AC17" s="1"/>
    </row>
    <row r="18">
      <c r="A18" s="1"/>
      <c r="B18" s="112">
        <f>IFERROR(__xludf.DUMMYFUNCTION("""COMPUTED_VALUE"""),46156.64583333333)</f>
        <v>46156.64583</v>
      </c>
      <c r="C18" s="1">
        <f>IFERROR(__xludf.DUMMYFUNCTION("""COMPUTED_VALUE"""),155.71)</f>
        <v>155.71</v>
      </c>
      <c r="D18" s="1"/>
      <c r="E18" s="112">
        <f>IFERROR(__xludf.DUMMYFUNCTION("""COMPUTED_VALUE"""),46156.64583333333)</f>
        <v>46156.64583</v>
      </c>
      <c r="F18" s="1">
        <f>IFERROR(__xludf.DUMMYFUNCTION("""COMPUTED_VALUE"""),162.61)</f>
        <v>162.61</v>
      </c>
      <c r="G18" s="1"/>
      <c r="H18" s="29">
        <f t="shared" si="4"/>
        <v>0.9575671853</v>
      </c>
      <c r="I18" s="1">
        <f t="shared" si="5"/>
        <v>-6.9</v>
      </c>
      <c r="J18" s="113">
        <f t="shared" si="6"/>
        <v>0.9585989589</v>
      </c>
      <c r="K18" s="29">
        <f t="shared" si="7"/>
        <v>0.9575671853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IFERROR(__xludf.DUMMYFUNCTION("""COMPUTED_VALUE"""),46157.64583333333)</f>
        <v>46157.64583</v>
      </c>
      <c r="C19" s="1">
        <f>IFERROR(__xludf.DUMMYFUNCTION("""COMPUTED_VALUE"""),152.12)</f>
        <v>152.12</v>
      </c>
      <c r="D19" s="1"/>
      <c r="E19" s="112">
        <f>IFERROR(__xludf.DUMMYFUNCTION("""COMPUTED_VALUE"""),46157.64583333333)</f>
        <v>46157.64583</v>
      </c>
      <c r="F19" s="1">
        <f>IFERROR(__xludf.DUMMYFUNCTION("""COMPUTED_VALUE"""),162.13)</f>
        <v>162.13</v>
      </c>
      <c r="G19" s="1"/>
      <c r="H19" s="29">
        <f t="shared" si="4"/>
        <v>0.9382594215</v>
      </c>
      <c r="I19" s="1">
        <f t="shared" si="5"/>
        <v>-10.01</v>
      </c>
      <c r="J19" s="113">
        <f t="shared" si="6"/>
        <v>0.6328064524</v>
      </c>
      <c r="K19" s="29">
        <f t="shared" si="7"/>
        <v>0.9382594215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IFERROR(__xludf.DUMMYFUNCTION("""COMPUTED_VALUE"""),46160.64583333333)</f>
        <v>46160.64583</v>
      </c>
      <c r="C20" s="1">
        <f>IFERROR(__xludf.DUMMYFUNCTION("""COMPUTED_VALUE"""),151.64)</f>
        <v>151.64</v>
      </c>
      <c r="D20" s="1"/>
      <c r="E20" s="112">
        <f>IFERROR(__xludf.DUMMYFUNCTION("""COMPUTED_VALUE"""),46160.64583333333)</f>
        <v>46160.64583</v>
      </c>
      <c r="F20" s="1">
        <f>IFERROR(__xludf.DUMMYFUNCTION("""COMPUTED_VALUE"""),160.22)</f>
        <v>160.22</v>
      </c>
      <c r="G20" s="1"/>
      <c r="H20" s="29">
        <f t="shared" si="4"/>
        <v>0.9464486331</v>
      </c>
      <c r="I20" s="1">
        <f t="shared" si="5"/>
        <v>-8.58</v>
      </c>
      <c r="J20" s="113">
        <f t="shared" si="6"/>
        <v>0.7826081515</v>
      </c>
      <c r="K20" s="29">
        <f t="shared" si="7"/>
        <v>0.9464486331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IFERROR(__xludf.DUMMYFUNCTION("""COMPUTED_VALUE"""),46161.64583333333)</f>
        <v>46161.64583</v>
      </c>
      <c r="C21" s="1">
        <f>IFERROR(__xludf.DUMMYFUNCTION("""COMPUTED_VALUE"""),157.35)</f>
        <v>157.35</v>
      </c>
      <c r="D21" s="1"/>
      <c r="E21" s="112">
        <f>IFERROR(__xludf.DUMMYFUNCTION("""COMPUTED_VALUE"""),46161.64583333333)</f>
        <v>46161.64583</v>
      </c>
      <c r="F21" s="1">
        <f>IFERROR(__xludf.DUMMYFUNCTION("""COMPUTED_VALUE"""),156.12)</f>
        <v>156.12</v>
      </c>
      <c r="G21" s="1"/>
      <c r="H21" s="29">
        <f t="shared" si="4"/>
        <v>1.007878555</v>
      </c>
      <c r="I21" s="1">
        <f t="shared" si="5"/>
        <v>1.23</v>
      </c>
      <c r="J21" s="113">
        <f t="shared" si="6"/>
        <v>1.810268759</v>
      </c>
      <c r="K21" s="29">
        <f t="shared" si="7"/>
        <v>1.007878555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IFERROR(__xludf.DUMMYFUNCTION("""COMPUTED_VALUE"""),46162.64583333333)</f>
        <v>46162.64583</v>
      </c>
      <c r="C22" s="1">
        <f>IFERROR(__xludf.DUMMYFUNCTION("""COMPUTED_VALUE"""),154.8)</f>
        <v>154.8</v>
      </c>
      <c r="D22" s="1"/>
      <c r="E22" s="112">
        <f>IFERROR(__xludf.DUMMYFUNCTION("""COMPUTED_VALUE"""),46162.64583333333)</f>
        <v>46162.64583</v>
      </c>
      <c r="F22" s="1">
        <f>IFERROR(__xludf.DUMMYFUNCTION("""COMPUTED_VALUE"""),155.64)</f>
        <v>155.64</v>
      </c>
      <c r="G22" s="1"/>
      <c r="H22" s="29">
        <f t="shared" si="4"/>
        <v>0.9946029298</v>
      </c>
      <c r="I22" s="1">
        <f t="shared" si="5"/>
        <v>-0.84</v>
      </c>
      <c r="J22" s="113">
        <f t="shared" si="6"/>
        <v>1.593422943</v>
      </c>
      <c r="K22" s="29">
        <f t="shared" si="7"/>
        <v>0.9946029298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IFERROR(__xludf.DUMMYFUNCTION("""COMPUTED_VALUE"""),46163.64583333333)</f>
        <v>46163.64583</v>
      </c>
      <c r="C23" s="1">
        <f>IFERROR(__xludf.DUMMYFUNCTION("""COMPUTED_VALUE"""),154.81)</f>
        <v>154.81</v>
      </c>
      <c r="D23" s="1"/>
      <c r="E23" s="112">
        <f>IFERROR(__xludf.DUMMYFUNCTION("""COMPUTED_VALUE"""),46163.64583333333)</f>
        <v>46163.64583</v>
      </c>
      <c r="F23" s="1">
        <f>IFERROR(__xludf.DUMMYFUNCTION("""COMPUTED_VALUE"""),155.9)</f>
        <v>155.9</v>
      </c>
      <c r="G23" s="1"/>
      <c r="H23" s="29">
        <f t="shared" si="4"/>
        <v>0.9930083387</v>
      </c>
      <c r="I23" s="1">
        <f t="shared" si="5"/>
        <v>-1.09</v>
      </c>
      <c r="J23" s="113">
        <f t="shared" si="6"/>
        <v>1.567233834</v>
      </c>
      <c r="K23" s="29">
        <f t="shared" si="7"/>
        <v>0.9930083387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IFERROR(__xludf.DUMMYFUNCTION("""COMPUTED_VALUE"""),46164.64583333333)</f>
        <v>46164.64583</v>
      </c>
      <c r="C24" s="1">
        <f>IFERROR(__xludf.DUMMYFUNCTION("""COMPUTED_VALUE"""),155.51)</f>
        <v>155.51</v>
      </c>
      <c r="D24" s="1"/>
      <c r="E24" s="112">
        <f>IFERROR(__xludf.DUMMYFUNCTION("""COMPUTED_VALUE"""),46164.64583333333)</f>
        <v>46164.64583</v>
      </c>
      <c r="F24" s="1">
        <f>IFERROR(__xludf.DUMMYFUNCTION("""COMPUTED_VALUE"""),160.77)</f>
        <v>160.77</v>
      </c>
      <c r="G24" s="1"/>
      <c r="H24" s="29">
        <f t="shared" si="4"/>
        <v>0.9672824532</v>
      </c>
      <c r="I24" s="1">
        <f t="shared" si="5"/>
        <v>-5.26</v>
      </c>
      <c r="J24" s="113">
        <f t="shared" si="6"/>
        <v>1.130399509</v>
      </c>
      <c r="K24" s="29">
        <f t="shared" si="7"/>
        <v>0.9672824532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IFERROR(__xludf.DUMMYFUNCTION("""COMPUTED_VALUE"""),46167.64583333333)</f>
        <v>46167.64583</v>
      </c>
      <c r="C25" s="1">
        <f>IFERROR(__xludf.DUMMYFUNCTION("""COMPUTED_VALUE"""),160.48)</f>
        <v>160.48</v>
      </c>
      <c r="D25" s="1"/>
      <c r="E25" s="112">
        <f>IFERROR(__xludf.DUMMYFUNCTION("""COMPUTED_VALUE"""),46167.64583333333)</f>
        <v>46167.64583</v>
      </c>
      <c r="F25" s="1">
        <f>IFERROR(__xludf.DUMMYFUNCTION("""COMPUTED_VALUE"""),168.67)</f>
        <v>168.67</v>
      </c>
      <c r="G25" s="1"/>
      <c r="H25" s="29">
        <f t="shared" si="4"/>
        <v>0.9514436474</v>
      </c>
      <c r="I25" s="1">
        <f t="shared" si="5"/>
        <v>-8.19</v>
      </c>
      <c r="J25" s="113">
        <f t="shared" si="6"/>
        <v>0.8234631604</v>
      </c>
      <c r="K25" s="29">
        <f t="shared" si="7"/>
        <v>0.9514436474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IFERROR(__xludf.DUMMYFUNCTION("""COMPUTED_VALUE"""),46168.64583333333)</f>
        <v>46168.64583</v>
      </c>
      <c r="C26" s="1">
        <f>IFERROR(__xludf.DUMMYFUNCTION("""COMPUTED_VALUE"""),166.01)</f>
        <v>166.01</v>
      </c>
      <c r="D26" s="1"/>
      <c r="E26" s="112">
        <f>IFERROR(__xludf.DUMMYFUNCTION("""COMPUTED_VALUE"""),46168.64583333333)</f>
        <v>46168.64583</v>
      </c>
      <c r="F26" s="1">
        <f>IFERROR(__xludf.DUMMYFUNCTION("""COMPUTED_VALUE"""),167.63)</f>
        <v>167.63</v>
      </c>
      <c r="G26" s="1"/>
      <c r="H26" s="29">
        <f t="shared" si="4"/>
        <v>0.9903358587</v>
      </c>
      <c r="I26" s="1">
        <f t="shared" si="5"/>
        <v>-1.62</v>
      </c>
      <c r="J26" s="113">
        <f t="shared" si="6"/>
        <v>1.511712925</v>
      </c>
      <c r="K26" s="29">
        <f t="shared" si="7"/>
        <v>0.9903358587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IFERROR(__xludf.DUMMYFUNCTION("""COMPUTED_VALUE"""),46169.64583333333)</f>
        <v>46169.64583</v>
      </c>
      <c r="C27" s="1">
        <f>IFERROR(__xludf.DUMMYFUNCTION("""COMPUTED_VALUE"""),164.61)</f>
        <v>164.61</v>
      </c>
      <c r="D27" s="1"/>
      <c r="E27" s="112">
        <f>IFERROR(__xludf.DUMMYFUNCTION("""COMPUTED_VALUE"""),46169.64583333333)</f>
        <v>46169.64583</v>
      </c>
      <c r="F27" s="1">
        <f>IFERROR(__xludf.DUMMYFUNCTION("""COMPUTED_VALUE"""),169.0)</f>
        <v>169</v>
      </c>
      <c r="G27" s="1"/>
      <c r="H27" s="29">
        <f t="shared" si="4"/>
        <v>0.9740236686</v>
      </c>
      <c r="I27" s="1">
        <f t="shared" si="5"/>
        <v>-4.39</v>
      </c>
      <c r="J27" s="113">
        <f t="shared" si="6"/>
        <v>1.221537606</v>
      </c>
      <c r="K27" s="29">
        <f t="shared" si="7"/>
        <v>0.9740236686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0.8576198698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IFERROR(__xludf.DUMMYFUNCTION("""COMPUTED_VALUE"""),46171.64583333333)</f>
        <v>46171.64583</v>
      </c>
      <c r="C28" s="1">
        <f>IFERROR(__xludf.DUMMYFUNCTION("""COMPUTED_VALUE"""),160.47)</f>
        <v>160.47</v>
      </c>
      <c r="D28" s="1"/>
      <c r="E28" s="112">
        <f>IFERROR(__xludf.DUMMYFUNCTION("""COMPUTED_VALUE"""),46171.64583333333)</f>
        <v>46171.64583</v>
      </c>
      <c r="F28" s="1">
        <f>IFERROR(__xludf.DUMMYFUNCTION("""COMPUTED_VALUE"""),164.51)</f>
        <v>164.51</v>
      </c>
      <c r="G28" s="1"/>
      <c r="H28" s="29">
        <f t="shared" si="4"/>
        <v>0.9754422224</v>
      </c>
      <c r="I28" s="1">
        <f t="shared" si="5"/>
        <v>-4.04</v>
      </c>
      <c r="J28" s="113">
        <f t="shared" si="6"/>
        <v>1.258202357</v>
      </c>
      <c r="K28" s="29">
        <f t="shared" si="7"/>
        <v>0.9754422224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0.9114186851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IFERROR(__xludf.DUMMYFUNCTION("""COMPUTED_VALUE"""),46174.64583333333)</f>
        <v>46174.64583</v>
      </c>
      <c r="C29" s="1">
        <f>IFERROR(__xludf.DUMMYFUNCTION("""COMPUTED_VALUE"""),164.53)</f>
        <v>164.53</v>
      </c>
      <c r="D29" s="1"/>
      <c r="E29" s="112">
        <f>IFERROR(__xludf.DUMMYFUNCTION("""COMPUTED_VALUE"""),46174.64583333333)</f>
        <v>46174.64583</v>
      </c>
      <c r="F29" s="1">
        <f>IFERROR(__xludf.DUMMYFUNCTION("""COMPUTED_VALUE"""),163.74)</f>
        <v>163.74</v>
      </c>
      <c r="G29" s="1"/>
      <c r="H29" s="29">
        <f t="shared" si="4"/>
        <v>1.004824722</v>
      </c>
      <c r="I29" s="1">
        <f t="shared" si="5"/>
        <v>0.79</v>
      </c>
      <c r="J29" s="113">
        <f t="shared" si="6"/>
        <v>1.764175928</v>
      </c>
      <c r="K29" s="29">
        <f t="shared" si="7"/>
        <v>1.004824722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IFERROR(__xludf.DUMMYFUNCTION("""COMPUTED_VALUE"""),46175.64583333333)</f>
        <v>46175.64583</v>
      </c>
      <c r="C30" s="1">
        <f>IFERROR(__xludf.DUMMYFUNCTION("""COMPUTED_VALUE"""),160.85)</f>
        <v>160.85</v>
      </c>
      <c r="D30" s="1"/>
      <c r="E30" s="112">
        <f>IFERROR(__xludf.DUMMYFUNCTION("""COMPUTED_VALUE"""),46175.64583333333)</f>
        <v>46175.64583</v>
      </c>
      <c r="F30" s="1">
        <f>IFERROR(__xludf.DUMMYFUNCTION("""COMPUTED_VALUE"""),164.83)</f>
        <v>164.83</v>
      </c>
      <c r="G30" s="1"/>
      <c r="H30" s="29">
        <f t="shared" si="4"/>
        <v>0.9758539101</v>
      </c>
      <c r="I30" s="1">
        <f t="shared" si="5"/>
        <v>-3.98</v>
      </c>
      <c r="J30" s="113">
        <f t="shared" si="6"/>
        <v>1.264487743</v>
      </c>
      <c r="K30" s="29">
        <f t="shared" si="7"/>
        <v>0.9758539101</v>
      </c>
      <c r="L30" s="1">
        <f t="shared" ref="L30:L119" si="8">AVERAGE(C11:C30)</f>
        <v>160.361</v>
      </c>
      <c r="M30" s="25">
        <f t="shared" ref="M30:M120" si="9">(C30-L30)/C30</f>
        <v>0.003040099472</v>
      </c>
      <c r="N30" s="65">
        <f t="shared" ref="N30:N119" si="10">AVERAGE(F11:F30)</f>
        <v>163.0535</v>
      </c>
      <c r="O30" s="25">
        <f t="shared" ref="O30:O120" si="11">(F30-N30)/F30</f>
        <v>0.01077777104</v>
      </c>
      <c r="P30" s="25">
        <f t="shared" ref="P30:P120" si="12">M30-O30</f>
        <v>-0.007737671565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IFERROR(__xludf.DUMMYFUNCTION("""COMPUTED_VALUE"""),46176.64583333333)</f>
        <v>46176.64583</v>
      </c>
      <c r="C31" s="1">
        <f>IFERROR(__xludf.DUMMYFUNCTION("""COMPUTED_VALUE"""),161.48)</f>
        <v>161.48</v>
      </c>
      <c r="D31" s="1"/>
      <c r="E31" s="112">
        <f>IFERROR(__xludf.DUMMYFUNCTION("""COMPUTED_VALUE"""),46176.64583333333)</f>
        <v>46176.64583</v>
      </c>
      <c r="F31" s="1">
        <f>IFERROR(__xludf.DUMMYFUNCTION("""COMPUTED_VALUE"""),163.86)</f>
        <v>163.86</v>
      </c>
      <c r="G31" s="1"/>
      <c r="H31" s="29">
        <f t="shared" si="4"/>
        <v>0.9854754058</v>
      </c>
      <c r="I31" s="1">
        <f t="shared" si="5"/>
        <v>-2.38</v>
      </c>
      <c r="J31" s="113">
        <f t="shared" si="6"/>
        <v>1.432098036</v>
      </c>
      <c r="K31" s="29">
        <f t="shared" si="7"/>
        <v>0.9854754058</v>
      </c>
      <c r="L31" s="65">
        <f t="shared" si="8"/>
        <v>160.123</v>
      </c>
      <c r="M31" s="25">
        <f t="shared" si="9"/>
        <v>0.008403517463</v>
      </c>
      <c r="N31" s="65">
        <f t="shared" si="10"/>
        <v>163.0615</v>
      </c>
      <c r="O31" s="25">
        <f t="shared" si="11"/>
        <v>0.00487306237</v>
      </c>
      <c r="P31" s="25">
        <f t="shared" si="12"/>
        <v>0.003530455093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IFERROR(__xludf.DUMMYFUNCTION("""COMPUTED_VALUE"""),46177.64583333333)</f>
        <v>46177.64583</v>
      </c>
      <c r="C32" s="1">
        <f>IFERROR(__xludf.DUMMYFUNCTION("""COMPUTED_VALUE"""),162.05)</f>
        <v>162.05</v>
      </c>
      <c r="D32" s="1"/>
      <c r="E32" s="112">
        <f>IFERROR(__xludf.DUMMYFUNCTION("""COMPUTED_VALUE"""),46177.64583333333)</f>
        <v>46177.64583</v>
      </c>
      <c r="F32" s="1">
        <f>IFERROR(__xludf.DUMMYFUNCTION("""COMPUTED_VALUE"""),167.55)</f>
        <v>167.55</v>
      </c>
      <c r="G32" s="1"/>
      <c r="H32" s="29">
        <f t="shared" si="4"/>
        <v>0.9671739779</v>
      </c>
      <c r="I32" s="1">
        <f t="shared" si="5"/>
        <v>-5.5</v>
      </c>
      <c r="J32" s="113">
        <f t="shared" si="6"/>
        <v>1.105257965</v>
      </c>
      <c r="K32" s="29">
        <f t="shared" si="7"/>
        <v>0.9671739779</v>
      </c>
      <c r="L32" s="65">
        <f t="shared" si="8"/>
        <v>159.7525</v>
      </c>
      <c r="M32" s="25">
        <f t="shared" si="9"/>
        <v>0.01417772293</v>
      </c>
      <c r="N32" s="65">
        <f t="shared" si="10"/>
        <v>163.155</v>
      </c>
      <c r="O32" s="25">
        <f t="shared" si="11"/>
        <v>0.02623097583</v>
      </c>
      <c r="P32" s="25">
        <f t="shared" si="12"/>
        <v>-0.0120532529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IFERROR(__xludf.DUMMYFUNCTION("""COMPUTED_VALUE"""),46178.64583333333)</f>
        <v>46178.64583</v>
      </c>
      <c r="C33" s="1">
        <f>IFERROR(__xludf.DUMMYFUNCTION("""COMPUTED_VALUE"""),164.32)</f>
        <v>164.32</v>
      </c>
      <c r="D33" s="1"/>
      <c r="E33" s="112">
        <f>IFERROR(__xludf.DUMMYFUNCTION("""COMPUTED_VALUE"""),46178.64583333333)</f>
        <v>46178.64583</v>
      </c>
      <c r="F33" s="1">
        <f>IFERROR(__xludf.DUMMYFUNCTION("""COMPUTED_VALUE"""),167.4)</f>
        <v>167.4</v>
      </c>
      <c r="G33" s="1"/>
      <c r="H33" s="29">
        <f t="shared" si="4"/>
        <v>0.9816009558</v>
      </c>
      <c r="I33" s="1">
        <f t="shared" si="5"/>
        <v>-3.08</v>
      </c>
      <c r="J33" s="113">
        <f t="shared" si="6"/>
        <v>1.358768533</v>
      </c>
      <c r="K33" s="29">
        <f t="shared" si="7"/>
        <v>0.9816009558</v>
      </c>
      <c r="L33" s="65">
        <f t="shared" si="8"/>
        <v>159.4765</v>
      </c>
      <c r="M33" s="25">
        <f t="shared" si="9"/>
        <v>0.0294760224</v>
      </c>
      <c r="N33" s="65">
        <f t="shared" si="10"/>
        <v>163.162</v>
      </c>
      <c r="O33" s="25">
        <f t="shared" si="11"/>
        <v>0.02531660693</v>
      </c>
      <c r="P33" s="25">
        <f t="shared" si="12"/>
        <v>0.004159415466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IFERROR(__xludf.DUMMYFUNCTION("""COMPUTED_VALUE"""),46181.64583333333)</f>
        <v>46181.64583</v>
      </c>
      <c r="C34" s="1">
        <f>IFERROR(__xludf.DUMMYFUNCTION("""COMPUTED_VALUE"""),163.62)</f>
        <v>163.62</v>
      </c>
      <c r="D34" s="1"/>
      <c r="E34" s="112">
        <f>IFERROR(__xludf.DUMMYFUNCTION("""COMPUTED_VALUE"""),46181.64583333333)</f>
        <v>46181.64583</v>
      </c>
      <c r="F34" s="1">
        <f>IFERROR(__xludf.DUMMYFUNCTION("""COMPUTED_VALUE"""),168.6)</f>
        <v>168.6</v>
      </c>
      <c r="G34" s="1"/>
      <c r="H34" s="29">
        <f t="shared" si="4"/>
        <v>0.9704626335</v>
      </c>
      <c r="I34" s="1">
        <f t="shared" si="5"/>
        <v>-4.98</v>
      </c>
      <c r="J34" s="113">
        <f t="shared" si="6"/>
        <v>1.15973131</v>
      </c>
      <c r="K34" s="29">
        <f t="shared" si="7"/>
        <v>0.9704626335</v>
      </c>
      <c r="L34" s="65">
        <f t="shared" si="8"/>
        <v>159.358</v>
      </c>
      <c r="M34" s="25">
        <f t="shared" si="9"/>
        <v>0.02604816037</v>
      </c>
      <c r="N34" s="65">
        <f t="shared" si="10"/>
        <v>163.2675</v>
      </c>
      <c r="O34" s="25">
        <f t="shared" si="11"/>
        <v>0.03162811388</v>
      </c>
      <c r="P34" s="25">
        <f t="shared" si="12"/>
        <v>-0.005579953507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IFERROR(__xludf.DUMMYFUNCTION("""COMPUTED_VALUE"""),46182.64583333333)</f>
        <v>46182.64583</v>
      </c>
      <c r="C35" s="1">
        <f>IFERROR(__xludf.DUMMYFUNCTION("""COMPUTED_VALUE"""),162.5)</f>
        <v>162.5</v>
      </c>
      <c r="D35" s="1"/>
      <c r="E35" s="112">
        <f>IFERROR(__xludf.DUMMYFUNCTION("""COMPUTED_VALUE"""),46182.64583333333)</f>
        <v>46182.64583</v>
      </c>
      <c r="F35" s="1">
        <f>IFERROR(__xludf.DUMMYFUNCTION("""COMPUTED_VALUE"""),167.59)</f>
        <v>167.59</v>
      </c>
      <c r="G35" s="1"/>
      <c r="H35" s="29">
        <f t="shared" si="4"/>
        <v>0.9696282594</v>
      </c>
      <c r="I35" s="1">
        <f t="shared" si="5"/>
        <v>-5.09</v>
      </c>
      <c r="J35" s="113">
        <f t="shared" si="6"/>
        <v>1.148208103</v>
      </c>
      <c r="K35" s="29">
        <f t="shared" si="7"/>
        <v>0.9696282594</v>
      </c>
      <c r="L35" s="65">
        <f t="shared" si="8"/>
        <v>159.4485</v>
      </c>
      <c r="M35" s="25">
        <f t="shared" si="9"/>
        <v>0.01877846154</v>
      </c>
      <c r="N35" s="65">
        <f t="shared" si="10"/>
        <v>163.5215</v>
      </c>
      <c r="O35" s="25">
        <f t="shared" si="11"/>
        <v>0.02427650814</v>
      </c>
      <c r="P35" s="25">
        <f t="shared" si="12"/>
        <v>-0.005498046606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IFERROR(__xludf.DUMMYFUNCTION("""COMPUTED_VALUE"""),46183.64583333333)</f>
        <v>46183.64583</v>
      </c>
      <c r="C36" s="1">
        <f>IFERROR(__xludf.DUMMYFUNCTION("""COMPUTED_VALUE"""),162.17)</f>
        <v>162.17</v>
      </c>
      <c r="D36" s="1"/>
      <c r="E36" s="112">
        <f>IFERROR(__xludf.DUMMYFUNCTION("""COMPUTED_VALUE"""),46183.64583333333)</f>
        <v>46183.64583</v>
      </c>
      <c r="F36" s="1">
        <f>IFERROR(__xludf.DUMMYFUNCTION("""COMPUTED_VALUE"""),168.01)</f>
        <v>168.01</v>
      </c>
      <c r="G36" s="1"/>
      <c r="H36" s="29">
        <f t="shared" si="4"/>
        <v>0.9652401643</v>
      </c>
      <c r="I36" s="1">
        <f t="shared" si="5"/>
        <v>-5.84</v>
      </c>
      <c r="J36" s="113">
        <f t="shared" si="6"/>
        <v>1.069640778</v>
      </c>
      <c r="K36" s="29">
        <f t="shared" si="7"/>
        <v>0.9652401643</v>
      </c>
      <c r="L36" s="65">
        <f t="shared" si="8"/>
        <v>159.7165</v>
      </c>
      <c r="M36" s="25">
        <f t="shared" si="9"/>
        <v>0.01512918542</v>
      </c>
      <c r="N36" s="65">
        <f t="shared" si="10"/>
        <v>163.9045</v>
      </c>
      <c r="O36" s="25">
        <f t="shared" si="11"/>
        <v>0.02443604547</v>
      </c>
      <c r="P36" s="25">
        <f t="shared" si="12"/>
        <v>-0.009306860051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IFERROR(__xludf.DUMMYFUNCTION("""COMPUTED_VALUE"""),46184.64583333333)</f>
        <v>46184.64583</v>
      </c>
      <c r="C37" s="1">
        <f>IFERROR(__xludf.DUMMYFUNCTION("""COMPUTED_VALUE"""),160.8)</f>
        <v>160.8</v>
      </c>
      <c r="D37" s="1"/>
      <c r="E37" s="112">
        <f>IFERROR(__xludf.DUMMYFUNCTION("""COMPUTED_VALUE"""),46184.64583333333)</f>
        <v>46184.64583</v>
      </c>
      <c r="F37" s="1">
        <f>IFERROR(__xludf.DUMMYFUNCTION("""COMPUTED_VALUE"""),166.09)</f>
        <v>166.09</v>
      </c>
      <c r="G37" s="1"/>
      <c r="H37" s="29">
        <f t="shared" si="4"/>
        <v>0.9681497983</v>
      </c>
      <c r="I37" s="1">
        <f t="shared" si="5"/>
        <v>-5.29</v>
      </c>
      <c r="J37" s="113">
        <f t="shared" si="6"/>
        <v>1.127256816</v>
      </c>
      <c r="K37" s="29">
        <f t="shared" si="7"/>
        <v>0.9681497983</v>
      </c>
      <c r="L37" s="65">
        <f t="shared" si="8"/>
        <v>159.7915</v>
      </c>
      <c r="M37" s="25">
        <f t="shared" si="9"/>
        <v>0.006271766169</v>
      </c>
      <c r="N37" s="65">
        <f t="shared" si="10"/>
        <v>164.0435</v>
      </c>
      <c r="O37" s="25">
        <f t="shared" si="11"/>
        <v>0.01232163285</v>
      </c>
      <c r="P37" s="25">
        <f t="shared" si="12"/>
        <v>-0.006049866681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IFERROR(__xludf.DUMMYFUNCTION("""COMPUTED_VALUE"""),46185.64583333333)</f>
        <v>46185.64583</v>
      </c>
      <c r="C38" s="1">
        <f>IFERROR(__xludf.DUMMYFUNCTION("""COMPUTED_VALUE"""),163.52)</f>
        <v>163.52</v>
      </c>
      <c r="D38" s="1"/>
      <c r="E38" s="112">
        <f>IFERROR(__xludf.DUMMYFUNCTION("""COMPUTED_VALUE"""),46185.64583333333)</f>
        <v>46185.64583</v>
      </c>
      <c r="F38" s="1">
        <f>IFERROR(__xludf.DUMMYFUNCTION("""COMPUTED_VALUE"""),170.5)</f>
        <v>170.5</v>
      </c>
      <c r="G38" s="1"/>
      <c r="H38" s="29">
        <f t="shared" si="4"/>
        <v>0.9590615836</v>
      </c>
      <c r="I38" s="1">
        <f t="shared" si="5"/>
        <v>-6.98</v>
      </c>
      <c r="J38" s="113">
        <f t="shared" si="6"/>
        <v>0.9502184443</v>
      </c>
      <c r="K38" s="29">
        <f t="shared" si="7"/>
        <v>0.9590615836</v>
      </c>
      <c r="L38" s="65">
        <f t="shared" si="8"/>
        <v>160.182</v>
      </c>
      <c r="M38" s="25">
        <f t="shared" si="9"/>
        <v>0.02041340509</v>
      </c>
      <c r="N38" s="65">
        <f t="shared" si="10"/>
        <v>164.438</v>
      </c>
      <c r="O38" s="25">
        <f t="shared" si="11"/>
        <v>0.0355542522</v>
      </c>
      <c r="P38" s="25">
        <f t="shared" si="12"/>
        <v>-0.01514084711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IFERROR(__xludf.DUMMYFUNCTION("""COMPUTED_VALUE"""),46188.64583333333)</f>
        <v>46188.64583</v>
      </c>
      <c r="C39" s="1">
        <f>IFERROR(__xludf.DUMMYFUNCTION("""COMPUTED_VALUE"""),169.62)</f>
        <v>169.62</v>
      </c>
      <c r="D39" s="1"/>
      <c r="E39" s="112">
        <f>IFERROR(__xludf.DUMMYFUNCTION("""COMPUTED_VALUE"""),46188.64583333333)</f>
        <v>46188.64583</v>
      </c>
      <c r="F39" s="1">
        <f>IFERROR(__xludf.DUMMYFUNCTION("""COMPUTED_VALUE"""),175.41)</f>
        <v>175.41</v>
      </c>
      <c r="G39" s="1"/>
      <c r="H39" s="29">
        <f t="shared" si="4"/>
        <v>0.9669916196</v>
      </c>
      <c r="I39" s="1">
        <f t="shared" si="5"/>
        <v>-5.79</v>
      </c>
      <c r="J39" s="113">
        <f t="shared" si="6"/>
        <v>1.074878599</v>
      </c>
      <c r="K39" s="29">
        <f t="shared" si="7"/>
        <v>0.9669916196</v>
      </c>
      <c r="L39" s="65">
        <f t="shared" si="8"/>
        <v>161.057</v>
      </c>
      <c r="M39" s="25">
        <f t="shared" si="9"/>
        <v>0.05048343356</v>
      </c>
      <c r="N39" s="65">
        <f t="shared" si="10"/>
        <v>165.102</v>
      </c>
      <c r="O39" s="25">
        <f t="shared" si="11"/>
        <v>0.05876517872</v>
      </c>
      <c r="P39" s="25">
        <f t="shared" si="12"/>
        <v>-0.008281745167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IFERROR(__xludf.DUMMYFUNCTION("""COMPUTED_VALUE"""),46189.64583333333)</f>
        <v>46189.64583</v>
      </c>
      <c r="C40" s="1">
        <f>IFERROR(__xludf.DUMMYFUNCTION("""COMPUTED_VALUE"""),168.76)</f>
        <v>168.76</v>
      </c>
      <c r="D40" s="1"/>
      <c r="E40" s="112">
        <f>IFERROR(__xludf.DUMMYFUNCTION("""COMPUTED_VALUE"""),46189.64583333333)</f>
        <v>46189.64583</v>
      </c>
      <c r="F40" s="1">
        <f>IFERROR(__xludf.DUMMYFUNCTION("""COMPUTED_VALUE"""),176.09)</f>
        <v>176.09</v>
      </c>
      <c r="G40" s="1"/>
      <c r="H40" s="29">
        <f t="shared" si="4"/>
        <v>0.958373559</v>
      </c>
      <c r="I40" s="1">
        <f t="shared" si="5"/>
        <v>-7.33</v>
      </c>
      <c r="J40" s="113">
        <f t="shared" si="6"/>
        <v>0.9135536927</v>
      </c>
      <c r="K40" s="29">
        <f t="shared" si="7"/>
        <v>0.958373559</v>
      </c>
      <c r="L40" s="65">
        <f t="shared" si="8"/>
        <v>161.913</v>
      </c>
      <c r="M40" s="25">
        <f t="shared" si="9"/>
        <v>0.04057241052</v>
      </c>
      <c r="N40" s="65">
        <f t="shared" si="10"/>
        <v>165.8955</v>
      </c>
      <c r="O40" s="25">
        <f t="shared" si="11"/>
        <v>0.05789369073</v>
      </c>
      <c r="P40" s="25">
        <f t="shared" si="12"/>
        <v>-0.0173212802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IFERROR(__xludf.DUMMYFUNCTION("""COMPUTED_VALUE"""),46190.64583333333)</f>
        <v>46190.64583</v>
      </c>
      <c r="C41" s="1">
        <f>IFERROR(__xludf.DUMMYFUNCTION("""COMPUTED_VALUE"""),170.78)</f>
        <v>170.78</v>
      </c>
      <c r="D41" s="1"/>
      <c r="E41" s="112">
        <f>IFERROR(__xludf.DUMMYFUNCTION("""COMPUTED_VALUE"""),46190.64583333333)</f>
        <v>46190.64583</v>
      </c>
      <c r="F41" s="1">
        <f>IFERROR(__xludf.DUMMYFUNCTION("""COMPUTED_VALUE"""),175.03)</f>
        <v>175.03</v>
      </c>
      <c r="G41" s="1"/>
      <c r="H41" s="29">
        <f t="shared" si="4"/>
        <v>0.9757184483</v>
      </c>
      <c r="I41" s="1">
        <f t="shared" si="5"/>
        <v>-4.25</v>
      </c>
      <c r="J41" s="113">
        <f t="shared" si="6"/>
        <v>1.236203506</v>
      </c>
      <c r="K41" s="29">
        <f t="shared" si="7"/>
        <v>0.9757184483</v>
      </c>
      <c r="L41" s="65">
        <f t="shared" si="8"/>
        <v>162.5845</v>
      </c>
      <c r="M41" s="25">
        <f t="shared" si="9"/>
        <v>0.04798864036</v>
      </c>
      <c r="N41" s="65">
        <f t="shared" si="10"/>
        <v>166.841</v>
      </c>
      <c r="O41" s="25">
        <f t="shared" si="11"/>
        <v>0.04678626521</v>
      </c>
      <c r="P41" s="25">
        <f t="shared" si="12"/>
        <v>0.001202375144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IFERROR(__xludf.DUMMYFUNCTION("""COMPUTED_VALUE"""),46191.64583333333)</f>
        <v>46191.64583</v>
      </c>
      <c r="C42" s="1">
        <f>IFERROR(__xludf.DUMMYFUNCTION("""COMPUTED_VALUE"""),169.99)</f>
        <v>169.99</v>
      </c>
      <c r="D42" s="1"/>
      <c r="E42" s="112">
        <f>IFERROR(__xludf.DUMMYFUNCTION("""COMPUTED_VALUE"""),46191.64583333333)</f>
        <v>46191.64583</v>
      </c>
      <c r="F42" s="1">
        <f>IFERROR(__xludf.DUMMYFUNCTION("""COMPUTED_VALUE"""),176.44)</f>
        <v>176.44</v>
      </c>
      <c r="G42" s="1"/>
      <c r="H42" s="29">
        <f t="shared" si="4"/>
        <v>0.9634436636</v>
      </c>
      <c r="I42" s="1">
        <f t="shared" si="5"/>
        <v>-6.45</v>
      </c>
      <c r="J42" s="113">
        <f t="shared" si="6"/>
        <v>1.005739354</v>
      </c>
      <c r="K42" s="29">
        <f t="shared" si="7"/>
        <v>0.9634436636</v>
      </c>
      <c r="L42" s="65">
        <f t="shared" si="8"/>
        <v>163.344</v>
      </c>
      <c r="M42" s="25">
        <f t="shared" si="9"/>
        <v>0.03909641744</v>
      </c>
      <c r="N42" s="65">
        <f t="shared" si="10"/>
        <v>167.881</v>
      </c>
      <c r="O42" s="25">
        <f t="shared" si="11"/>
        <v>0.0485094083</v>
      </c>
      <c r="P42" s="25">
        <f t="shared" si="12"/>
        <v>-0.009412990861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IFERROR(__xludf.DUMMYFUNCTION("""COMPUTED_VALUE"""),46192.64583333333)</f>
        <v>46192.64583</v>
      </c>
      <c r="C43" s="1">
        <f>IFERROR(__xludf.DUMMYFUNCTION("""COMPUTED_VALUE"""),167.6)</f>
        <v>167.6</v>
      </c>
      <c r="D43" s="1"/>
      <c r="E43" s="112">
        <f>IFERROR(__xludf.DUMMYFUNCTION("""COMPUTED_VALUE"""),46192.64583333333)</f>
        <v>46192.64583</v>
      </c>
      <c r="F43" s="1">
        <f>IFERROR(__xludf.DUMMYFUNCTION("""COMPUTED_VALUE"""),173.9)</f>
        <v>173.9</v>
      </c>
      <c r="G43" s="1"/>
      <c r="H43" s="29">
        <f t="shared" si="4"/>
        <v>0.9637722829</v>
      </c>
      <c r="I43" s="1">
        <f t="shared" si="5"/>
        <v>-6.3</v>
      </c>
      <c r="J43" s="113">
        <f t="shared" si="6"/>
        <v>1.021452819</v>
      </c>
      <c r="K43" s="29">
        <f t="shared" si="7"/>
        <v>0.9637722829</v>
      </c>
      <c r="L43" s="65">
        <f t="shared" si="8"/>
        <v>163.9835</v>
      </c>
      <c r="M43" s="25">
        <f t="shared" si="9"/>
        <v>0.02157816229</v>
      </c>
      <c r="N43" s="65">
        <f t="shared" si="10"/>
        <v>168.781</v>
      </c>
      <c r="O43" s="25">
        <f t="shared" si="11"/>
        <v>0.02943645773</v>
      </c>
      <c r="P43" s="25">
        <f t="shared" si="12"/>
        <v>-0.007858295443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IFERROR(__xludf.DUMMYFUNCTION("""COMPUTED_VALUE"""),46195.64583333333)</f>
        <v>46195.64583</v>
      </c>
      <c r="C44" s="1">
        <f>IFERROR(__xludf.DUMMYFUNCTION("""COMPUTED_VALUE"""),169.74)</f>
        <v>169.74</v>
      </c>
      <c r="D44" s="1"/>
      <c r="E44" s="112">
        <f>IFERROR(__xludf.DUMMYFUNCTION("""COMPUTED_VALUE"""),46195.64583333333)</f>
        <v>46195.64583</v>
      </c>
      <c r="F44" s="1">
        <f>IFERROR(__xludf.DUMMYFUNCTION("""COMPUTED_VALUE"""),177.3)</f>
        <v>177.3</v>
      </c>
      <c r="G44" s="1"/>
      <c r="H44" s="29">
        <f t="shared" si="4"/>
        <v>0.9573604061</v>
      </c>
      <c r="I44" s="1">
        <f t="shared" si="5"/>
        <v>-7.56</v>
      </c>
      <c r="J44" s="113">
        <f t="shared" si="6"/>
        <v>0.8894597132</v>
      </c>
      <c r="K44" s="29">
        <f t="shared" si="7"/>
        <v>0.9573604061</v>
      </c>
      <c r="L44" s="65">
        <f t="shared" si="8"/>
        <v>164.695</v>
      </c>
      <c r="M44" s="25">
        <f t="shared" si="9"/>
        <v>0.02972192765</v>
      </c>
      <c r="N44" s="65">
        <f t="shared" si="10"/>
        <v>169.6075</v>
      </c>
      <c r="O44" s="25">
        <f t="shared" si="11"/>
        <v>0.04338691483</v>
      </c>
      <c r="P44" s="25">
        <f t="shared" si="12"/>
        <v>-0.01366498718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IFERROR(__xludf.DUMMYFUNCTION("""COMPUTED_VALUE"""),46196.64583333333)</f>
        <v>46196.64583</v>
      </c>
      <c r="C45" s="1">
        <f>IFERROR(__xludf.DUMMYFUNCTION("""COMPUTED_VALUE"""),169.33)</f>
        <v>169.33</v>
      </c>
      <c r="D45" s="1"/>
      <c r="E45" s="112">
        <f>IFERROR(__xludf.DUMMYFUNCTION("""COMPUTED_VALUE"""),46196.64583333333)</f>
        <v>46196.64583</v>
      </c>
      <c r="F45" s="1">
        <f>IFERROR(__xludf.DUMMYFUNCTION("""COMPUTED_VALUE"""),173.84)</f>
        <v>173.84</v>
      </c>
      <c r="G45" s="1"/>
      <c r="H45" s="29">
        <f t="shared" si="4"/>
        <v>0.9740566038</v>
      </c>
      <c r="I45" s="1">
        <f t="shared" si="5"/>
        <v>-4.51</v>
      </c>
      <c r="J45" s="113">
        <f t="shared" si="6"/>
        <v>1.208966834</v>
      </c>
      <c r="K45" s="29">
        <f t="shared" si="7"/>
        <v>0.9740566038</v>
      </c>
      <c r="L45" s="65">
        <f t="shared" si="8"/>
        <v>165.1375</v>
      </c>
      <c r="M45" s="25">
        <f t="shared" si="9"/>
        <v>0.02475934566</v>
      </c>
      <c r="N45" s="65">
        <f t="shared" si="10"/>
        <v>169.866</v>
      </c>
      <c r="O45" s="25">
        <f t="shared" si="11"/>
        <v>0.02286010124</v>
      </c>
      <c r="P45" s="25">
        <f t="shared" si="12"/>
        <v>0.001899244414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IFERROR(__xludf.DUMMYFUNCTION("""COMPUTED_VALUE"""),46197.64583333333)</f>
        <v>46197.64583</v>
      </c>
      <c r="C46" s="1">
        <f>IFERROR(__xludf.DUMMYFUNCTION("""COMPUTED_VALUE"""),167.94)</f>
        <v>167.94</v>
      </c>
      <c r="D46" s="1"/>
      <c r="E46" s="112">
        <f>IFERROR(__xludf.DUMMYFUNCTION("""COMPUTED_VALUE"""),46197.64583333333)</f>
        <v>46197.64583</v>
      </c>
      <c r="F46" s="1">
        <f>IFERROR(__xludf.DUMMYFUNCTION("""COMPUTED_VALUE"""),174.93)</f>
        <v>174.93</v>
      </c>
      <c r="G46" s="1"/>
      <c r="H46" s="29">
        <f t="shared" si="4"/>
        <v>0.9600411593</v>
      </c>
      <c r="I46" s="1">
        <f t="shared" si="5"/>
        <v>-6.99</v>
      </c>
      <c r="J46" s="113">
        <f t="shared" si="6"/>
        <v>0.9491708799</v>
      </c>
      <c r="K46" s="29">
        <f t="shared" si="7"/>
        <v>0.9600411593</v>
      </c>
      <c r="L46" s="65">
        <f t="shared" si="8"/>
        <v>165.234</v>
      </c>
      <c r="M46" s="25">
        <f t="shared" si="9"/>
        <v>0.01611289746</v>
      </c>
      <c r="N46" s="65">
        <f t="shared" si="10"/>
        <v>170.231</v>
      </c>
      <c r="O46" s="25">
        <f t="shared" si="11"/>
        <v>0.02686217344</v>
      </c>
      <c r="P46" s="25">
        <f t="shared" si="12"/>
        <v>-0.01074927598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IFERROR(__xludf.DUMMYFUNCTION("""COMPUTED_VALUE"""),46198.64583333333)</f>
        <v>46198.64583</v>
      </c>
      <c r="C47" s="1">
        <f>IFERROR(__xludf.DUMMYFUNCTION("""COMPUTED_VALUE"""),170.38)</f>
        <v>170.38</v>
      </c>
      <c r="D47" s="1"/>
      <c r="E47" s="112">
        <f>IFERROR(__xludf.DUMMYFUNCTION("""COMPUTED_VALUE"""),46198.64583333333)</f>
        <v>46198.64583</v>
      </c>
      <c r="F47" s="1">
        <f>IFERROR(__xludf.DUMMYFUNCTION("""COMPUTED_VALUE"""),172.85)</f>
        <v>172.85</v>
      </c>
      <c r="G47" s="1"/>
      <c r="H47" s="29">
        <f t="shared" si="4"/>
        <v>0.9857101533</v>
      </c>
      <c r="I47" s="1">
        <f t="shared" si="5"/>
        <v>-2.47</v>
      </c>
      <c r="J47" s="113">
        <f t="shared" si="6"/>
        <v>1.422669957</v>
      </c>
      <c r="K47" s="29">
        <f t="shared" si="7"/>
        <v>0.9857101533</v>
      </c>
      <c r="L47" s="65">
        <f t="shared" si="8"/>
        <v>165.5225</v>
      </c>
      <c r="M47" s="25">
        <f t="shared" si="9"/>
        <v>0.02850980162</v>
      </c>
      <c r="N47" s="65">
        <f t="shared" si="10"/>
        <v>170.4235</v>
      </c>
      <c r="O47" s="25">
        <f t="shared" si="11"/>
        <v>0.0140381834</v>
      </c>
      <c r="P47" s="25">
        <f t="shared" si="12"/>
        <v>0.01447161822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IFERROR(__xludf.DUMMYFUNCTION("""COMPUTED_VALUE"""),46202.64583333333)</f>
        <v>46202.64583</v>
      </c>
      <c r="C48" s="1">
        <f>IFERROR(__xludf.DUMMYFUNCTION("""COMPUTED_VALUE"""),165.45)</f>
        <v>165.45</v>
      </c>
      <c r="D48" s="1"/>
      <c r="E48" s="112">
        <f>IFERROR(__xludf.DUMMYFUNCTION("""COMPUTED_VALUE"""),46202.64583333333)</f>
        <v>46202.64583</v>
      </c>
      <c r="F48" s="1">
        <f>IFERROR(__xludf.DUMMYFUNCTION("""COMPUTED_VALUE"""),172.22)</f>
        <v>172.22</v>
      </c>
      <c r="G48" s="1"/>
      <c r="H48" s="29">
        <f t="shared" si="4"/>
        <v>0.9606898154</v>
      </c>
      <c r="I48" s="1">
        <f t="shared" si="5"/>
        <v>-6.77</v>
      </c>
      <c r="J48" s="113">
        <f t="shared" si="6"/>
        <v>0.9722172952</v>
      </c>
      <c r="K48" s="29">
        <f t="shared" si="7"/>
        <v>0.9606898154</v>
      </c>
      <c r="L48" s="65">
        <f t="shared" si="8"/>
        <v>165.7715</v>
      </c>
      <c r="M48" s="25">
        <f t="shared" si="9"/>
        <v>-0.001943185252</v>
      </c>
      <c r="N48" s="65">
        <f t="shared" si="10"/>
        <v>170.809</v>
      </c>
      <c r="O48" s="25">
        <f t="shared" si="11"/>
        <v>0.008193008942</v>
      </c>
      <c r="P48" s="25">
        <f t="shared" si="12"/>
        <v>-0.01013619419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IFERROR(__xludf.DUMMYFUNCTION("""COMPUTED_VALUE"""),46203.64583333333)</f>
        <v>46203.64583</v>
      </c>
      <c r="C49" s="1">
        <f>IFERROR(__xludf.DUMMYFUNCTION("""COMPUTED_VALUE"""),164.78)</f>
        <v>164.78</v>
      </c>
      <c r="D49" s="1"/>
      <c r="E49" s="112">
        <f>IFERROR(__xludf.DUMMYFUNCTION("""COMPUTED_VALUE"""),46203.64583333333)</f>
        <v>46203.64583</v>
      </c>
      <c r="F49" s="1">
        <f>IFERROR(__xludf.DUMMYFUNCTION("""COMPUTED_VALUE"""),173.46)</f>
        <v>173.46</v>
      </c>
      <c r="G49" s="1"/>
      <c r="H49" s="29">
        <f t="shared" si="4"/>
        <v>0.9499596449</v>
      </c>
      <c r="I49" s="1">
        <f t="shared" si="5"/>
        <v>-8.68</v>
      </c>
      <c r="J49" s="113">
        <f t="shared" si="6"/>
        <v>0.7721325082</v>
      </c>
      <c r="K49" s="29">
        <f t="shared" si="7"/>
        <v>0.9499596449</v>
      </c>
      <c r="L49" s="65">
        <f t="shared" si="8"/>
        <v>165.784</v>
      </c>
      <c r="M49" s="25">
        <f t="shared" si="9"/>
        <v>-0.006092972448</v>
      </c>
      <c r="N49" s="65">
        <f t="shared" si="10"/>
        <v>171.295</v>
      </c>
      <c r="O49" s="25">
        <f t="shared" si="11"/>
        <v>0.01248126369</v>
      </c>
      <c r="P49" s="25">
        <f t="shared" si="12"/>
        <v>-0.01857423614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IFERROR(__xludf.DUMMYFUNCTION("""COMPUTED_VALUE"""),46204.64583333333)</f>
        <v>46204.64583</v>
      </c>
      <c r="C50" s="1">
        <f>IFERROR(__xludf.DUMMYFUNCTION("""COMPUTED_VALUE"""),156.81)</f>
        <v>156.81</v>
      </c>
      <c r="D50" s="1"/>
      <c r="E50" s="112">
        <f>IFERROR(__xludf.DUMMYFUNCTION("""COMPUTED_VALUE"""),46204.64583333333)</f>
        <v>46204.64583</v>
      </c>
      <c r="F50" s="1">
        <f>IFERROR(__xludf.DUMMYFUNCTION("""COMPUTED_VALUE"""),174.5)</f>
        <v>174.5</v>
      </c>
      <c r="G50" s="1"/>
      <c r="H50" s="29">
        <f t="shared" si="4"/>
        <v>0.8986246418</v>
      </c>
      <c r="I50" s="1">
        <f t="shared" si="5"/>
        <v>-17.69</v>
      </c>
      <c r="J50" s="113">
        <f t="shared" si="6"/>
        <v>-0.1717229527</v>
      </c>
      <c r="K50" s="29">
        <f t="shared" si="7"/>
        <v>0.8986246418</v>
      </c>
      <c r="L50" s="65">
        <f t="shared" si="8"/>
        <v>165.582</v>
      </c>
      <c r="M50" s="25">
        <f t="shared" si="9"/>
        <v>-0.05594030993</v>
      </c>
      <c r="N50" s="65">
        <f t="shared" si="10"/>
        <v>171.7785</v>
      </c>
      <c r="O50" s="25">
        <f t="shared" si="11"/>
        <v>0.01559598854</v>
      </c>
      <c r="P50" s="25">
        <f t="shared" si="12"/>
        <v>-0.07153629847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IFERROR(__xludf.DUMMYFUNCTION("""COMPUTED_VALUE"""),46205.64583333333)</f>
        <v>46205.64583</v>
      </c>
      <c r="C51" s="1">
        <f>IFERROR(__xludf.DUMMYFUNCTION("""COMPUTED_VALUE"""),155.8)</f>
        <v>155.8</v>
      </c>
      <c r="D51" s="1"/>
      <c r="E51" s="112">
        <f>IFERROR(__xludf.DUMMYFUNCTION("""COMPUTED_VALUE"""),46205.64583333333)</f>
        <v>46205.64583</v>
      </c>
      <c r="F51" s="1">
        <f>IFERROR(__xludf.DUMMYFUNCTION("""COMPUTED_VALUE"""),174.29)</f>
        <v>174.29</v>
      </c>
      <c r="G51" s="1"/>
      <c r="H51" s="29">
        <f t="shared" si="4"/>
        <v>0.8939124448</v>
      </c>
      <c r="I51" s="1">
        <f t="shared" si="5"/>
        <v>-18.49</v>
      </c>
      <c r="J51" s="113">
        <f t="shared" si="6"/>
        <v>-0.2555280991</v>
      </c>
      <c r="K51" s="29">
        <f t="shared" si="7"/>
        <v>0.8939124448</v>
      </c>
      <c r="L51" s="65">
        <f t="shared" si="8"/>
        <v>165.298</v>
      </c>
      <c r="M51" s="25">
        <f t="shared" si="9"/>
        <v>-0.06096277279</v>
      </c>
      <c r="N51" s="65">
        <f t="shared" si="10"/>
        <v>172.3</v>
      </c>
      <c r="O51" s="25">
        <f t="shared" si="11"/>
        <v>0.01141775202</v>
      </c>
      <c r="P51" s="25">
        <f t="shared" si="12"/>
        <v>-0.07238052481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IFERROR(__xludf.DUMMYFUNCTION("""COMPUTED_VALUE"""),46206.64583333333)</f>
        <v>46206.64583</v>
      </c>
      <c r="C52" s="1">
        <f>IFERROR(__xludf.DUMMYFUNCTION("""COMPUTED_VALUE"""),153.99)</f>
        <v>153.99</v>
      </c>
      <c r="D52" s="1"/>
      <c r="E52" s="112">
        <f>IFERROR(__xludf.DUMMYFUNCTION("""COMPUTED_VALUE"""),46206.64583333333)</f>
        <v>46206.64583</v>
      </c>
      <c r="F52" s="1">
        <f>IFERROR(__xludf.DUMMYFUNCTION("""COMPUTED_VALUE"""),174.15)</f>
        <v>174.15</v>
      </c>
      <c r="G52" s="1"/>
      <c r="H52" s="29">
        <f t="shared" si="4"/>
        <v>0.8842377261</v>
      </c>
      <c r="I52" s="1">
        <f t="shared" si="5"/>
        <v>-20.16</v>
      </c>
      <c r="J52" s="113">
        <f t="shared" si="6"/>
        <v>-0.4304713421</v>
      </c>
      <c r="K52" s="29">
        <f t="shared" si="7"/>
        <v>0.8842377261</v>
      </c>
      <c r="L52" s="65">
        <f t="shared" si="8"/>
        <v>164.895</v>
      </c>
      <c r="M52" s="25">
        <f t="shared" si="9"/>
        <v>-0.07081628677</v>
      </c>
      <c r="N52" s="65">
        <f t="shared" si="10"/>
        <v>172.63</v>
      </c>
      <c r="O52" s="25">
        <f t="shared" si="11"/>
        <v>0.008728107953</v>
      </c>
      <c r="P52" s="25">
        <f t="shared" si="12"/>
        <v>-0.07954439472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IFERROR(__xludf.DUMMYFUNCTION("""COMPUTED_VALUE"""),46209.64583333333)</f>
        <v>46209.64583</v>
      </c>
      <c r="C53" s="1">
        <f>IFERROR(__xludf.DUMMYFUNCTION("""COMPUTED_VALUE"""),152.22)</f>
        <v>152.22</v>
      </c>
      <c r="D53" s="1"/>
      <c r="E53" s="112">
        <f>IFERROR(__xludf.DUMMYFUNCTION("""COMPUTED_VALUE"""),46209.64583333333)</f>
        <v>46209.64583</v>
      </c>
      <c r="F53" s="1">
        <f>IFERROR(__xludf.DUMMYFUNCTION("""COMPUTED_VALUE"""),175.03)</f>
        <v>175.03</v>
      </c>
      <c r="G53" s="1"/>
      <c r="H53" s="29">
        <f t="shared" si="4"/>
        <v>0.8696794835</v>
      </c>
      <c r="I53" s="1">
        <f t="shared" si="5"/>
        <v>-22.81</v>
      </c>
      <c r="J53" s="113">
        <f t="shared" si="6"/>
        <v>-0.7080758894</v>
      </c>
      <c r="K53" s="29">
        <f t="shared" si="7"/>
        <v>0.8696794835</v>
      </c>
      <c r="L53" s="65">
        <f t="shared" si="8"/>
        <v>164.29</v>
      </c>
      <c r="M53" s="25">
        <f t="shared" si="9"/>
        <v>-0.07929312837</v>
      </c>
      <c r="N53" s="65">
        <f t="shared" si="10"/>
        <v>173.0115</v>
      </c>
      <c r="O53" s="25">
        <f t="shared" si="11"/>
        <v>0.01153230875</v>
      </c>
      <c r="P53" s="25">
        <f t="shared" si="12"/>
        <v>-0.09082543711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IFERROR(__xludf.DUMMYFUNCTION("""COMPUTED_VALUE"""),46210.64583333333)</f>
        <v>46210.64583</v>
      </c>
      <c r="C54" s="1">
        <f>IFERROR(__xludf.DUMMYFUNCTION("""COMPUTED_VALUE"""),152.28)</f>
        <v>152.28</v>
      </c>
      <c r="D54" s="1"/>
      <c r="E54" s="112">
        <f>IFERROR(__xludf.DUMMYFUNCTION("""COMPUTED_VALUE"""),46210.64583333333)</f>
        <v>46210.64583</v>
      </c>
      <c r="F54" s="1">
        <f>IFERROR(__xludf.DUMMYFUNCTION("""COMPUTED_VALUE"""),174.01)</f>
        <v>174.01</v>
      </c>
      <c r="G54" s="1"/>
      <c r="H54" s="29">
        <f t="shared" si="4"/>
        <v>0.8751221194</v>
      </c>
      <c r="I54" s="1">
        <f t="shared" si="5"/>
        <v>-21.73</v>
      </c>
      <c r="J54" s="113">
        <f t="shared" si="6"/>
        <v>-0.5949389418</v>
      </c>
      <c r="K54" s="29">
        <f t="shared" si="7"/>
        <v>0.8751221194</v>
      </c>
      <c r="L54" s="65">
        <f t="shared" si="8"/>
        <v>163.723</v>
      </c>
      <c r="M54" s="25">
        <f t="shared" si="9"/>
        <v>-0.07514447071</v>
      </c>
      <c r="N54" s="65">
        <f t="shared" si="10"/>
        <v>173.282</v>
      </c>
      <c r="O54" s="25">
        <f t="shared" si="11"/>
        <v>0.004183667605</v>
      </c>
      <c r="P54" s="25">
        <f t="shared" si="12"/>
        <v>-0.07932813832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IFERROR(__xludf.DUMMYFUNCTION("""COMPUTED_VALUE"""),46211.64583333333)</f>
        <v>46211.64583</v>
      </c>
      <c r="C55" s="1">
        <f>IFERROR(__xludf.DUMMYFUNCTION("""COMPUTED_VALUE"""),150.12)</f>
        <v>150.12</v>
      </c>
      <c r="D55" s="1"/>
      <c r="E55" s="112">
        <f>IFERROR(__xludf.DUMMYFUNCTION("""COMPUTED_VALUE"""),46211.64583333333)</f>
        <v>46211.64583</v>
      </c>
      <c r="F55" s="1">
        <f>IFERROR(__xludf.DUMMYFUNCTION("""COMPUTED_VALUE"""),169.24)</f>
        <v>169.24</v>
      </c>
      <c r="G55" s="1"/>
      <c r="H55" s="29">
        <f t="shared" si="4"/>
        <v>0.8870243441</v>
      </c>
      <c r="I55" s="1">
        <f t="shared" si="5"/>
        <v>-19.12</v>
      </c>
      <c r="J55" s="113">
        <f t="shared" si="6"/>
        <v>-0.3215246518</v>
      </c>
      <c r="K55" s="29">
        <f t="shared" si="7"/>
        <v>0.8870243441</v>
      </c>
      <c r="L55" s="65">
        <f t="shared" si="8"/>
        <v>163.104</v>
      </c>
      <c r="M55" s="25">
        <f t="shared" si="9"/>
        <v>-0.08649080735</v>
      </c>
      <c r="N55" s="65">
        <f t="shared" si="10"/>
        <v>173.3645</v>
      </c>
      <c r="O55" s="25">
        <f t="shared" si="11"/>
        <v>-0.02437071614</v>
      </c>
      <c r="P55" s="25">
        <f t="shared" si="12"/>
        <v>-0.06212009121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IFERROR(__xludf.DUMMYFUNCTION("""COMPUTED_VALUE"""),46212.64583333333)</f>
        <v>46212.64583</v>
      </c>
      <c r="C56" s="1">
        <f>IFERROR(__xludf.DUMMYFUNCTION("""COMPUTED_VALUE"""),151.77)</f>
        <v>151.77</v>
      </c>
      <c r="D56" s="1"/>
      <c r="E56" s="112">
        <f>IFERROR(__xludf.DUMMYFUNCTION("""COMPUTED_VALUE"""),46212.64583333333)</f>
        <v>46212.64583</v>
      </c>
      <c r="F56" s="1">
        <f>IFERROR(__xludf.DUMMYFUNCTION("""COMPUTED_VALUE"""),170.2)</f>
        <v>170.2</v>
      </c>
      <c r="G56" s="1"/>
      <c r="H56" s="29">
        <f t="shared" si="4"/>
        <v>0.8917156287</v>
      </c>
      <c r="I56" s="1">
        <f t="shared" si="5"/>
        <v>-18.43</v>
      </c>
      <c r="J56" s="113">
        <f t="shared" si="6"/>
        <v>-0.2492427131</v>
      </c>
      <c r="K56" s="29">
        <f t="shared" si="7"/>
        <v>0.8917156287</v>
      </c>
      <c r="L56" s="65">
        <f t="shared" si="8"/>
        <v>162.584</v>
      </c>
      <c r="M56" s="25">
        <f t="shared" si="9"/>
        <v>-0.07125255321</v>
      </c>
      <c r="N56" s="65">
        <f t="shared" si="10"/>
        <v>173.474</v>
      </c>
      <c r="O56" s="25">
        <f t="shared" si="11"/>
        <v>-0.01923619271</v>
      </c>
      <c r="P56" s="25">
        <f t="shared" si="12"/>
        <v>-0.05201636049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IFERROR(__xludf.DUMMYFUNCTION("""COMPUTED_VALUE"""),46213.64583333333)</f>
        <v>46213.64583</v>
      </c>
      <c r="C57" s="1">
        <f>IFERROR(__xludf.DUMMYFUNCTION("""COMPUTED_VALUE"""),154.06)</f>
        <v>154.06</v>
      </c>
      <c r="D57" s="1"/>
      <c r="E57" s="112">
        <f>IFERROR(__xludf.DUMMYFUNCTION("""COMPUTED_VALUE"""),46213.64583333333)</f>
        <v>46213.64583</v>
      </c>
      <c r="F57" s="1">
        <f>IFERROR(__xludf.DUMMYFUNCTION("""COMPUTED_VALUE"""),173.73)</f>
        <v>173.73</v>
      </c>
      <c r="G57" s="1"/>
      <c r="H57" s="29">
        <f t="shared" si="4"/>
        <v>0.8867783342</v>
      </c>
      <c r="I57" s="1">
        <f t="shared" si="5"/>
        <v>-19.67</v>
      </c>
      <c r="J57" s="113">
        <f t="shared" si="6"/>
        <v>-0.3791406899</v>
      </c>
      <c r="K57" s="29">
        <f t="shared" si="7"/>
        <v>0.8867783342</v>
      </c>
      <c r="L57" s="65">
        <f t="shared" si="8"/>
        <v>162.247</v>
      </c>
      <c r="M57" s="25">
        <f t="shared" si="9"/>
        <v>-0.05314163313</v>
      </c>
      <c r="N57" s="65">
        <f t="shared" si="10"/>
        <v>173.856</v>
      </c>
      <c r="O57" s="25">
        <f t="shared" si="11"/>
        <v>-0.0007252633397</v>
      </c>
      <c r="P57" s="25">
        <f t="shared" si="12"/>
        <v>-0.05241636979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IFERROR(__xludf.DUMMYFUNCTION("""COMPUTED_VALUE"""),46216.64583333333)</f>
        <v>46216.64583</v>
      </c>
      <c r="C58" s="1">
        <f>IFERROR(__xludf.DUMMYFUNCTION("""COMPUTED_VALUE"""),153.07)</f>
        <v>153.07</v>
      </c>
      <c r="D58" s="1"/>
      <c r="E58" s="112">
        <f>IFERROR(__xludf.DUMMYFUNCTION("""COMPUTED_VALUE"""),46216.64583333333)</f>
        <v>46216.64583</v>
      </c>
      <c r="F58" s="1">
        <f>IFERROR(__xludf.DUMMYFUNCTION("""COMPUTED_VALUE"""),173.12)</f>
        <v>173.12</v>
      </c>
      <c r="G58" s="1"/>
      <c r="H58" s="29">
        <f t="shared" si="4"/>
        <v>0.8841843808</v>
      </c>
      <c r="I58" s="1">
        <f t="shared" si="5"/>
        <v>-20.05</v>
      </c>
      <c r="J58" s="113">
        <f t="shared" si="6"/>
        <v>-0.4189481345</v>
      </c>
      <c r="K58" s="29">
        <f t="shared" si="7"/>
        <v>0.8841843808</v>
      </c>
      <c r="L58" s="65">
        <f t="shared" si="8"/>
        <v>161.7245</v>
      </c>
      <c r="M58" s="25">
        <f t="shared" si="9"/>
        <v>-0.05653949174</v>
      </c>
      <c r="N58" s="65">
        <f t="shared" si="10"/>
        <v>173.987</v>
      </c>
      <c r="O58" s="25">
        <f t="shared" si="11"/>
        <v>-0.005008086876</v>
      </c>
      <c r="P58" s="25">
        <f t="shared" si="12"/>
        <v>-0.05153140486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IFERROR(__xludf.DUMMYFUNCTION("""COMPUTED_VALUE"""),46217.64583333333)</f>
        <v>46217.64583</v>
      </c>
      <c r="C59" s="1">
        <f>IFERROR(__xludf.DUMMYFUNCTION("""COMPUTED_VALUE"""),151.79)</f>
        <v>151.79</v>
      </c>
      <c r="D59" s="1"/>
      <c r="E59" s="112">
        <f>IFERROR(__xludf.DUMMYFUNCTION("""COMPUTED_VALUE"""),46217.64583333333)</f>
        <v>46217.64583</v>
      </c>
      <c r="F59" s="1">
        <f>IFERROR(__xludf.DUMMYFUNCTION("""COMPUTED_VALUE"""),171.51)</f>
        <v>171.51</v>
      </c>
      <c r="G59" s="1"/>
      <c r="H59" s="29">
        <f t="shared" si="4"/>
        <v>0.8850212816</v>
      </c>
      <c r="I59" s="1">
        <f t="shared" si="5"/>
        <v>-19.72</v>
      </c>
      <c r="J59" s="113">
        <f t="shared" si="6"/>
        <v>-0.3843785116</v>
      </c>
      <c r="K59" s="29">
        <f t="shared" si="7"/>
        <v>0.8850212816</v>
      </c>
      <c r="L59" s="65">
        <f t="shared" si="8"/>
        <v>160.833</v>
      </c>
      <c r="M59" s="25">
        <f t="shared" si="9"/>
        <v>-0.05957572963</v>
      </c>
      <c r="N59" s="65">
        <f t="shared" si="10"/>
        <v>173.792</v>
      </c>
      <c r="O59" s="25">
        <f t="shared" si="11"/>
        <v>-0.01330534663</v>
      </c>
      <c r="P59" s="25">
        <f t="shared" si="12"/>
        <v>-0.046270383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IFERROR(__xludf.DUMMYFUNCTION("""COMPUTED_VALUE"""),46218.64583333333)</f>
        <v>46218.64583</v>
      </c>
      <c r="C60" s="1">
        <f>IFERROR(__xludf.DUMMYFUNCTION("""COMPUTED_VALUE"""),151.56)</f>
        <v>151.56</v>
      </c>
      <c r="D60" s="1"/>
      <c r="E60" s="112">
        <f>IFERROR(__xludf.DUMMYFUNCTION("""COMPUTED_VALUE"""),46218.64583333333)</f>
        <v>46218.64583</v>
      </c>
      <c r="F60" s="1">
        <f>IFERROR(__xludf.DUMMYFUNCTION("""COMPUTED_VALUE"""),173.15)</f>
        <v>173.15</v>
      </c>
      <c r="G60" s="1"/>
      <c r="H60" s="29">
        <f t="shared" si="4"/>
        <v>0.8753104245</v>
      </c>
      <c r="I60" s="1">
        <f t="shared" si="5"/>
        <v>-21.59</v>
      </c>
      <c r="J60" s="113">
        <f t="shared" si="6"/>
        <v>-0.5802730412</v>
      </c>
      <c r="K60" s="29">
        <f t="shared" si="7"/>
        <v>0.8753104245</v>
      </c>
      <c r="L60" s="65">
        <f t="shared" si="8"/>
        <v>159.973</v>
      </c>
      <c r="M60" s="25">
        <f t="shared" si="9"/>
        <v>-0.05550936923</v>
      </c>
      <c r="N60" s="65">
        <f t="shared" si="10"/>
        <v>173.645</v>
      </c>
      <c r="O60" s="25">
        <f t="shared" si="11"/>
        <v>-0.002858792954</v>
      </c>
      <c r="P60" s="25">
        <f t="shared" si="12"/>
        <v>-0.05265057627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IFERROR(__xludf.DUMMYFUNCTION("""COMPUTED_VALUE"""),46219.64583333333)</f>
        <v>46219.64583</v>
      </c>
      <c r="C61" s="1">
        <f>IFERROR(__xludf.DUMMYFUNCTION("""COMPUTED_VALUE"""),154.0)</f>
        <v>154</v>
      </c>
      <c r="D61" s="1"/>
      <c r="E61" s="112">
        <f>IFERROR(__xludf.DUMMYFUNCTION("""COMPUTED_VALUE"""),46219.64583333333)</f>
        <v>46219.64583</v>
      </c>
      <c r="F61" s="1">
        <f>IFERROR(__xludf.DUMMYFUNCTION("""COMPUTED_VALUE"""),171.71)</f>
        <v>171.71</v>
      </c>
      <c r="G61" s="1"/>
      <c r="H61" s="29">
        <f t="shared" si="4"/>
        <v>0.8968609865</v>
      </c>
      <c r="I61" s="1">
        <f t="shared" si="5"/>
        <v>-17.71</v>
      </c>
      <c r="J61" s="113">
        <f t="shared" si="6"/>
        <v>-0.1738180814</v>
      </c>
      <c r="K61" s="29">
        <f t="shared" si="7"/>
        <v>0.8968609865</v>
      </c>
      <c r="L61" s="65">
        <f t="shared" si="8"/>
        <v>159.134</v>
      </c>
      <c r="M61" s="25">
        <f t="shared" si="9"/>
        <v>-0.03333766234</v>
      </c>
      <c r="N61" s="65">
        <f t="shared" si="10"/>
        <v>173.479</v>
      </c>
      <c r="O61" s="25">
        <f t="shared" si="11"/>
        <v>-0.0103022538</v>
      </c>
      <c r="P61" s="25">
        <f t="shared" si="12"/>
        <v>-0.02303540854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IFERROR(__xludf.DUMMYFUNCTION("""COMPUTED_VALUE"""),46220.64583333333)</f>
        <v>46220.64583</v>
      </c>
      <c r="C62" s="1">
        <f>IFERROR(__xludf.DUMMYFUNCTION("""COMPUTED_VALUE"""),153.11)</f>
        <v>153.11</v>
      </c>
      <c r="D62" s="1"/>
      <c r="E62" s="112">
        <f>IFERROR(__xludf.DUMMYFUNCTION("""COMPUTED_VALUE"""),46220.64583333333)</f>
        <v>46220.64583</v>
      </c>
      <c r="F62" s="1">
        <f>IFERROR(__xludf.DUMMYFUNCTION("""COMPUTED_VALUE"""),171.2)</f>
        <v>171.2</v>
      </c>
      <c r="G62" s="1"/>
      <c r="H62" s="29">
        <f t="shared" si="4"/>
        <v>0.8943341121</v>
      </c>
      <c r="I62" s="1">
        <f t="shared" si="5"/>
        <v>-18.09</v>
      </c>
      <c r="J62" s="113">
        <f t="shared" si="6"/>
        <v>-0.2136255259</v>
      </c>
      <c r="K62" s="29">
        <f t="shared" si="7"/>
        <v>0.8943341121</v>
      </c>
      <c r="L62" s="65">
        <f t="shared" si="8"/>
        <v>158.29</v>
      </c>
      <c r="M62" s="25">
        <f t="shared" si="9"/>
        <v>-0.03383188557</v>
      </c>
      <c r="N62" s="65">
        <f t="shared" si="10"/>
        <v>173.217</v>
      </c>
      <c r="O62" s="25">
        <f t="shared" si="11"/>
        <v>-0.01178154206</v>
      </c>
      <c r="P62" s="25">
        <f t="shared" si="12"/>
        <v>-0.02205034352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IFERROR(__xludf.DUMMYFUNCTION("""COMPUTED_VALUE"""),46223.64583333333)</f>
        <v>46223.64583</v>
      </c>
      <c r="C63" s="1">
        <f>IFERROR(__xludf.DUMMYFUNCTION("""COMPUTED_VALUE"""),154.66)</f>
        <v>154.66</v>
      </c>
      <c r="D63" s="1"/>
      <c r="E63" s="112">
        <f>IFERROR(__xludf.DUMMYFUNCTION("""COMPUTED_VALUE"""),46223.64583333333)</f>
        <v>46223.64583</v>
      </c>
      <c r="F63" s="1">
        <f>IFERROR(__xludf.DUMMYFUNCTION("""COMPUTED_VALUE"""),173.01)</f>
        <v>173.01</v>
      </c>
      <c r="G63" s="1"/>
      <c r="H63" s="29">
        <f t="shared" si="4"/>
        <v>0.8939367667</v>
      </c>
      <c r="I63" s="1">
        <f t="shared" si="5"/>
        <v>-18.35</v>
      </c>
      <c r="J63" s="113">
        <f t="shared" si="6"/>
        <v>-0.2408621984</v>
      </c>
      <c r="K63" s="29">
        <f t="shared" si="7"/>
        <v>0.8939367667</v>
      </c>
      <c r="L63" s="65">
        <f t="shared" si="8"/>
        <v>157.643</v>
      </c>
      <c r="M63" s="25">
        <f t="shared" si="9"/>
        <v>-0.01928746929</v>
      </c>
      <c r="N63" s="65">
        <f t="shared" si="10"/>
        <v>173.1725</v>
      </c>
      <c r="O63" s="25">
        <f t="shared" si="11"/>
        <v>-0.0009392520664</v>
      </c>
      <c r="P63" s="25">
        <f t="shared" si="12"/>
        <v>-0.01834821722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IFERROR(__xludf.DUMMYFUNCTION("""COMPUTED_VALUE"""),46224.64583333333)</f>
        <v>46224.64583</v>
      </c>
      <c r="C64" s="1">
        <f>IFERROR(__xludf.DUMMYFUNCTION("""COMPUTED_VALUE"""),153.67)</f>
        <v>153.67</v>
      </c>
      <c r="D64" s="1"/>
      <c r="E64" s="112">
        <f>IFERROR(__xludf.DUMMYFUNCTION("""COMPUTED_VALUE"""),46224.64583333333)</f>
        <v>46224.64583</v>
      </c>
      <c r="F64" s="1">
        <f>IFERROR(__xludf.DUMMYFUNCTION("""COMPUTED_VALUE"""),173.99)</f>
        <v>173.99</v>
      </c>
      <c r="G64" s="1"/>
      <c r="H64" s="29">
        <f t="shared" si="4"/>
        <v>0.8832116788</v>
      </c>
      <c r="I64" s="1">
        <f t="shared" si="5"/>
        <v>-20.32</v>
      </c>
      <c r="J64" s="113">
        <f t="shared" si="6"/>
        <v>-0.4472323714</v>
      </c>
      <c r="K64" s="29">
        <f t="shared" si="7"/>
        <v>0.8832116788</v>
      </c>
      <c r="L64" s="65">
        <f t="shared" si="8"/>
        <v>156.8395</v>
      </c>
      <c r="M64" s="25">
        <f t="shared" si="9"/>
        <v>-0.02062536604</v>
      </c>
      <c r="N64" s="65">
        <f t="shared" si="10"/>
        <v>173.007</v>
      </c>
      <c r="O64" s="25">
        <f t="shared" si="11"/>
        <v>0.005649749986</v>
      </c>
      <c r="P64" s="25">
        <f t="shared" si="12"/>
        <v>-0.02627511603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IFERROR(__xludf.DUMMYFUNCTION("""COMPUTED_VALUE"""),46225.64583333333)</f>
        <v>46225.64583</v>
      </c>
      <c r="C65" s="1">
        <f>IFERROR(__xludf.DUMMYFUNCTION("""COMPUTED_VALUE"""),151.38)</f>
        <v>151.38</v>
      </c>
      <c r="D65" s="1"/>
      <c r="E65" s="112">
        <f>IFERROR(__xludf.DUMMYFUNCTION("""COMPUTED_VALUE"""),46225.64583333333)</f>
        <v>46225.64583</v>
      </c>
      <c r="F65" s="1">
        <f>IFERROR(__xludf.DUMMYFUNCTION("""COMPUTED_VALUE"""),173.01)</f>
        <v>173.01</v>
      </c>
      <c r="G65" s="1"/>
      <c r="H65" s="29">
        <f t="shared" si="4"/>
        <v>0.874978325</v>
      </c>
      <c r="I65" s="1">
        <f t="shared" si="5"/>
        <v>-21.63</v>
      </c>
      <c r="J65" s="113">
        <f t="shared" si="6"/>
        <v>-0.5844632985</v>
      </c>
      <c r="K65" s="29">
        <f t="shared" si="7"/>
        <v>0.874978325</v>
      </c>
      <c r="L65" s="65">
        <f t="shared" si="8"/>
        <v>155.942</v>
      </c>
      <c r="M65" s="25">
        <f t="shared" si="9"/>
        <v>-0.03013608138</v>
      </c>
      <c r="N65" s="65">
        <f t="shared" si="10"/>
        <v>172.9655</v>
      </c>
      <c r="O65" s="25">
        <f t="shared" si="11"/>
        <v>0.0002572105659</v>
      </c>
      <c r="P65" s="25">
        <f t="shared" si="12"/>
        <v>-0.03039329195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IFERROR(__xludf.DUMMYFUNCTION("""COMPUTED_VALUE"""),46226.64583333333)</f>
        <v>46226.64583</v>
      </c>
      <c r="C66" s="1">
        <f>IFERROR(__xludf.DUMMYFUNCTION("""COMPUTED_VALUE"""),149.9)</f>
        <v>149.9</v>
      </c>
      <c r="D66" s="1"/>
      <c r="E66" s="112">
        <f>IFERROR(__xludf.DUMMYFUNCTION("""COMPUTED_VALUE"""),46226.64583333333)</f>
        <v>46226.64583</v>
      </c>
      <c r="F66" s="1">
        <f>IFERROR(__xludf.DUMMYFUNCTION("""COMPUTED_VALUE"""),171.99)</f>
        <v>171.99</v>
      </c>
      <c r="G66" s="1"/>
      <c r="H66" s="29">
        <f t="shared" si="4"/>
        <v>0.8715623001</v>
      </c>
      <c r="I66" s="1">
        <f t="shared" si="5"/>
        <v>-22.09</v>
      </c>
      <c r="J66" s="113">
        <f t="shared" si="6"/>
        <v>-0.6326512577</v>
      </c>
      <c r="K66" s="29">
        <f t="shared" si="7"/>
        <v>0.8715623001</v>
      </c>
      <c r="L66" s="65">
        <f t="shared" si="8"/>
        <v>155.04</v>
      </c>
      <c r="M66" s="25">
        <f t="shared" si="9"/>
        <v>-0.03428952635</v>
      </c>
      <c r="N66" s="65">
        <f t="shared" si="10"/>
        <v>172.8185</v>
      </c>
      <c r="O66" s="25">
        <f t="shared" si="11"/>
        <v>-0.004817140531</v>
      </c>
      <c r="P66" s="25">
        <f t="shared" si="12"/>
        <v>-0.02947238582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IFERROR(__xludf.DUMMYFUNCTION("""COMPUTED_VALUE"""),46227.64583333333)</f>
        <v>46227.64583</v>
      </c>
      <c r="C67" s="1">
        <f>IFERROR(__xludf.DUMMYFUNCTION("""COMPUTED_VALUE"""),149.33)</f>
        <v>149.33</v>
      </c>
      <c r="D67" s="1"/>
      <c r="E67" s="112">
        <f>IFERROR(__xludf.DUMMYFUNCTION("""COMPUTED_VALUE"""),46227.64583333333)</f>
        <v>46227.64583</v>
      </c>
      <c r="F67" s="1">
        <f>IFERROR(__xludf.DUMMYFUNCTION("""COMPUTED_VALUE"""),170.02)</f>
        <v>170.02</v>
      </c>
      <c r="G67" s="1"/>
      <c r="H67" s="29">
        <f t="shared" si="4"/>
        <v>0.8783084343</v>
      </c>
      <c r="I67" s="1">
        <f t="shared" si="5"/>
        <v>-20.69</v>
      </c>
      <c r="J67" s="113">
        <f t="shared" si="6"/>
        <v>-0.4859922516</v>
      </c>
      <c r="K67" s="29">
        <f t="shared" si="7"/>
        <v>0.8783084343</v>
      </c>
      <c r="L67" s="65">
        <f t="shared" si="8"/>
        <v>153.9875</v>
      </c>
      <c r="M67" s="25">
        <f t="shared" si="9"/>
        <v>-0.03118931226</v>
      </c>
      <c r="N67" s="65">
        <f t="shared" si="10"/>
        <v>172.677</v>
      </c>
      <c r="O67" s="25">
        <f t="shared" si="11"/>
        <v>-0.01562757323</v>
      </c>
      <c r="P67" s="25">
        <f t="shared" si="12"/>
        <v>-0.01556173903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IFERROR(__xludf.DUMMYFUNCTION("""COMPUTED_VALUE"""),46230.64583333333)</f>
        <v>46230.64583</v>
      </c>
      <c r="C68" s="1">
        <f>IFERROR(__xludf.DUMMYFUNCTION("""COMPUTED_VALUE"""),150.27)</f>
        <v>150.27</v>
      </c>
      <c r="D68" s="1"/>
      <c r="E68" s="112">
        <f>IFERROR(__xludf.DUMMYFUNCTION("""COMPUTED_VALUE"""),46230.64583333333)</f>
        <v>46230.64583</v>
      </c>
      <c r="F68" s="1">
        <f>IFERROR(__xludf.DUMMYFUNCTION("""COMPUTED_VALUE"""),174.23)</f>
        <v>174.23</v>
      </c>
      <c r="G68" s="1"/>
      <c r="H68" s="29">
        <f t="shared" si="4"/>
        <v>0.8624806291</v>
      </c>
      <c r="I68" s="1">
        <f t="shared" si="5"/>
        <v>-23.96</v>
      </c>
      <c r="J68" s="113">
        <f t="shared" si="6"/>
        <v>-0.8285457873</v>
      </c>
      <c r="K68" s="29">
        <f t="shared" si="7"/>
        <v>0.8624806291</v>
      </c>
      <c r="L68" s="65">
        <f t="shared" si="8"/>
        <v>153.2285</v>
      </c>
      <c r="M68" s="25">
        <f t="shared" si="9"/>
        <v>-0.01968789512</v>
      </c>
      <c r="N68" s="65">
        <f t="shared" si="10"/>
        <v>172.7775</v>
      </c>
      <c r="O68" s="25">
        <f t="shared" si="11"/>
        <v>0.008336681398</v>
      </c>
      <c r="P68" s="25">
        <f t="shared" si="12"/>
        <v>-0.02802457652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IFERROR(__xludf.DUMMYFUNCTION("""COMPUTED_VALUE"""),46231.64583333333)</f>
        <v>46231.64583</v>
      </c>
      <c r="C69" s="1">
        <f>IFERROR(__xludf.DUMMYFUNCTION("""COMPUTED_VALUE"""),150.7)</f>
        <v>150.7</v>
      </c>
      <c r="D69" s="1"/>
      <c r="E69" s="112">
        <f>IFERROR(__xludf.DUMMYFUNCTION("""COMPUTED_VALUE"""),46231.64583333333)</f>
        <v>46231.64583</v>
      </c>
      <c r="F69" s="1">
        <f>IFERROR(__xludf.DUMMYFUNCTION("""COMPUTED_VALUE"""),175.15)</f>
        <v>175.15</v>
      </c>
      <c r="G69" s="1"/>
      <c r="H69" s="29">
        <f t="shared" si="4"/>
        <v>0.8604053668</v>
      </c>
      <c r="I69" s="1">
        <f t="shared" si="5"/>
        <v>-24.45</v>
      </c>
      <c r="J69" s="113">
        <f t="shared" si="6"/>
        <v>-0.8798764395</v>
      </c>
      <c r="K69" s="29">
        <f t="shared" si="7"/>
        <v>0.8604053668</v>
      </c>
      <c r="L69" s="65">
        <f t="shared" si="8"/>
        <v>152.5245</v>
      </c>
      <c r="M69" s="25">
        <f t="shared" si="9"/>
        <v>-0.01210683477</v>
      </c>
      <c r="N69" s="65">
        <f t="shared" si="10"/>
        <v>172.862</v>
      </c>
      <c r="O69" s="25">
        <f t="shared" si="11"/>
        <v>0.01306308878</v>
      </c>
      <c r="P69" s="25">
        <f t="shared" si="12"/>
        <v>-0.02516992355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IFERROR(__xludf.DUMMYFUNCTION("""COMPUTED_VALUE"""),46232.64583333333)</f>
        <v>46232.64583</v>
      </c>
      <c r="C70" s="1">
        <f>IFERROR(__xludf.DUMMYFUNCTION("""COMPUTED_VALUE"""),152.91)</f>
        <v>152.91</v>
      </c>
      <c r="D70" s="1"/>
      <c r="E70" s="112">
        <f>IFERROR(__xludf.DUMMYFUNCTION("""COMPUTED_VALUE"""),46232.64583333333)</f>
        <v>46232.64583</v>
      </c>
      <c r="F70" s="1">
        <f>IFERROR(__xludf.DUMMYFUNCTION("""COMPUTED_VALUE"""),175.12)</f>
        <v>175.12</v>
      </c>
      <c r="G70" s="1"/>
      <c r="H70" s="29">
        <f t="shared" si="4"/>
        <v>0.8731726816</v>
      </c>
      <c r="I70" s="1">
        <f t="shared" si="5"/>
        <v>-22.21</v>
      </c>
      <c r="J70" s="113">
        <f t="shared" si="6"/>
        <v>-0.6452220297</v>
      </c>
      <c r="K70" s="29">
        <f t="shared" si="7"/>
        <v>0.8731726816</v>
      </c>
      <c r="L70" s="65">
        <f t="shared" si="8"/>
        <v>152.3295</v>
      </c>
      <c r="M70" s="25">
        <f t="shared" si="9"/>
        <v>0.003796350795</v>
      </c>
      <c r="N70" s="65">
        <f t="shared" si="10"/>
        <v>172.893</v>
      </c>
      <c r="O70" s="25">
        <f t="shared" si="11"/>
        <v>0.01271699406</v>
      </c>
      <c r="P70" s="25">
        <f t="shared" si="12"/>
        <v>-0.008920643267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IFERROR(__xludf.DUMMYFUNCTION("""COMPUTED_VALUE"""),46233.64583333333)</f>
        <v>46233.64583</v>
      </c>
      <c r="C71" s="1">
        <f>IFERROR(__xludf.DUMMYFUNCTION("""COMPUTED_VALUE"""),151.74)</f>
        <v>151.74</v>
      </c>
      <c r="D71" s="1"/>
      <c r="E71" s="112">
        <f>IFERROR(__xludf.DUMMYFUNCTION("""COMPUTED_VALUE"""),46233.64583333333)</f>
        <v>46233.64583</v>
      </c>
      <c r="F71" s="1">
        <f>IFERROR(__xludf.DUMMYFUNCTION("""COMPUTED_VALUE"""),173.64)</f>
        <v>173.64</v>
      </c>
      <c r="G71" s="1"/>
      <c r="H71" s="29">
        <f t="shared" si="4"/>
        <v>0.8738769869</v>
      </c>
      <c r="I71" s="1">
        <f t="shared" si="5"/>
        <v>-21.9</v>
      </c>
      <c r="J71" s="113">
        <f t="shared" si="6"/>
        <v>-0.6127475354</v>
      </c>
      <c r="K71" s="29">
        <f t="shared" si="7"/>
        <v>0.8738769869</v>
      </c>
      <c r="L71" s="65">
        <f t="shared" si="8"/>
        <v>152.1265</v>
      </c>
      <c r="M71" s="25">
        <f t="shared" si="9"/>
        <v>-0.002547120074</v>
      </c>
      <c r="N71" s="65">
        <f t="shared" si="10"/>
        <v>172.8605</v>
      </c>
      <c r="O71" s="25">
        <f t="shared" si="11"/>
        <v>0.004489173002</v>
      </c>
      <c r="P71" s="25">
        <f t="shared" si="12"/>
        <v>-0.007036293075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IFERROR(__xludf.DUMMYFUNCTION("""COMPUTED_VALUE"""),46234.64583333333)</f>
        <v>46234.64583</v>
      </c>
      <c r="C72" s="1">
        <f>IFERROR(__xludf.DUMMYFUNCTION("""COMPUTED_VALUE"""),151.98)</f>
        <v>151.98</v>
      </c>
      <c r="D72" s="1"/>
      <c r="E72" s="112">
        <f>IFERROR(__xludf.DUMMYFUNCTION("""COMPUTED_VALUE"""),46234.64583333333)</f>
        <v>46234.64583</v>
      </c>
      <c r="F72" s="1">
        <f>IFERROR(__xludf.DUMMYFUNCTION("""COMPUTED_VALUE"""),181.44)</f>
        <v>181.44</v>
      </c>
      <c r="G72" s="1"/>
      <c r="H72" s="29">
        <f t="shared" si="4"/>
        <v>0.8376322751</v>
      </c>
      <c r="I72" s="1">
        <f t="shared" si="5"/>
        <v>-29.46</v>
      </c>
      <c r="J72" s="113">
        <f t="shared" si="6"/>
        <v>-1.404706169</v>
      </c>
      <c r="K72" s="29">
        <f t="shared" si="7"/>
        <v>0.8376322751</v>
      </c>
      <c r="L72" s="65">
        <f t="shared" si="8"/>
        <v>152.026</v>
      </c>
      <c r="M72" s="25">
        <f t="shared" si="9"/>
        <v>-0.0003026714041</v>
      </c>
      <c r="N72" s="65">
        <f t="shared" si="10"/>
        <v>173.225</v>
      </c>
      <c r="O72" s="25">
        <f t="shared" si="11"/>
        <v>0.04527667549</v>
      </c>
      <c r="P72" s="25">
        <f t="shared" si="12"/>
        <v>-0.04557934689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IFERROR(__xludf.DUMMYFUNCTION("""COMPUTED_VALUE"""),46237.64583333333)</f>
        <v>46237.64583</v>
      </c>
      <c r="C73" s="1">
        <f>IFERROR(__xludf.DUMMYFUNCTION("""COMPUTED_VALUE"""),156.17)</f>
        <v>156.17</v>
      </c>
      <c r="D73" s="1"/>
      <c r="E73" s="112">
        <f>IFERROR(__xludf.DUMMYFUNCTION("""COMPUTED_VALUE"""),46237.64583333333)</f>
        <v>46237.64583</v>
      </c>
      <c r="F73" s="1">
        <f>IFERROR(__xludf.DUMMYFUNCTION("""COMPUTED_VALUE"""),174.3)</f>
        <v>174.3</v>
      </c>
      <c r="G73" s="1"/>
      <c r="H73" s="29">
        <f t="shared" si="4"/>
        <v>0.8959839357</v>
      </c>
      <c r="I73" s="1">
        <f t="shared" si="5"/>
        <v>-18.13</v>
      </c>
      <c r="J73" s="113">
        <f t="shared" si="6"/>
        <v>-0.2178157832</v>
      </c>
      <c r="K73" s="29">
        <f t="shared" si="7"/>
        <v>0.8959839357</v>
      </c>
      <c r="L73" s="65">
        <f t="shared" si="8"/>
        <v>152.2235</v>
      </c>
      <c r="M73" s="25">
        <f t="shared" si="9"/>
        <v>0.02527053852</v>
      </c>
      <c r="N73" s="65">
        <f t="shared" si="10"/>
        <v>173.1885</v>
      </c>
      <c r="O73" s="25">
        <f t="shared" si="11"/>
        <v>0.006376936317</v>
      </c>
      <c r="P73" s="25">
        <f t="shared" si="12"/>
        <v>0.0188936022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IFERROR(__xludf.DUMMYFUNCTION("""COMPUTED_VALUE"""),46238.64583333333)</f>
        <v>46238.64583</v>
      </c>
      <c r="C74" s="1">
        <f>IFERROR(__xludf.DUMMYFUNCTION("""COMPUTED_VALUE"""),153.93)</f>
        <v>153.93</v>
      </c>
      <c r="D74" s="1"/>
      <c r="E74" s="112">
        <f>IFERROR(__xludf.DUMMYFUNCTION("""COMPUTED_VALUE"""),46238.64583333333)</f>
        <v>46238.64583</v>
      </c>
      <c r="F74" s="1">
        <f>IFERROR(__xludf.DUMMYFUNCTION("""COMPUTED_VALUE"""),175.0)</f>
        <v>175</v>
      </c>
      <c r="G74" s="1"/>
      <c r="H74" s="29">
        <f t="shared" si="4"/>
        <v>0.8796</v>
      </c>
      <c r="I74" s="1">
        <f t="shared" si="5"/>
        <v>-21.07</v>
      </c>
      <c r="J74" s="113">
        <f t="shared" si="6"/>
        <v>-0.5257996961</v>
      </c>
      <c r="K74" s="29">
        <f t="shared" si="7"/>
        <v>0.8796</v>
      </c>
      <c r="L74" s="65">
        <f t="shared" si="8"/>
        <v>152.306</v>
      </c>
      <c r="M74" s="25">
        <f t="shared" si="9"/>
        <v>0.01055025011</v>
      </c>
      <c r="N74" s="65">
        <f t="shared" si="10"/>
        <v>173.238</v>
      </c>
      <c r="O74" s="25">
        <f t="shared" si="11"/>
        <v>0.01006857143</v>
      </c>
      <c r="P74" s="25">
        <f t="shared" si="12"/>
        <v>0.0004816786851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IFERROR(__xludf.DUMMYFUNCTION("""COMPUTED_VALUE"""),46239.64583333333)</f>
        <v>46239.64583</v>
      </c>
      <c r="C75" s="1">
        <f>IFERROR(__xludf.DUMMYFUNCTION("""COMPUTED_VALUE"""),154.08)</f>
        <v>154.08</v>
      </c>
      <c r="D75" s="1"/>
      <c r="E75" s="112">
        <f>IFERROR(__xludf.DUMMYFUNCTION("""COMPUTED_VALUE"""),46239.64583333333)</f>
        <v>46239.64583</v>
      </c>
      <c r="F75" s="1">
        <f>IFERROR(__xludf.DUMMYFUNCTION("""COMPUTED_VALUE"""),176.96)</f>
        <v>176.96</v>
      </c>
      <c r="G75" s="1"/>
      <c r="H75" s="29">
        <f t="shared" si="4"/>
        <v>0.8707052441</v>
      </c>
      <c r="I75" s="1">
        <f t="shared" si="5"/>
        <v>-22.88</v>
      </c>
      <c r="J75" s="113">
        <f t="shared" si="6"/>
        <v>-0.7154088397</v>
      </c>
      <c r="K75" s="29">
        <f t="shared" si="7"/>
        <v>0.8707052441</v>
      </c>
      <c r="L75" s="65">
        <f t="shared" si="8"/>
        <v>152.504</v>
      </c>
      <c r="M75" s="25">
        <f t="shared" si="9"/>
        <v>0.01022845275</v>
      </c>
      <c r="N75" s="65">
        <f t="shared" si="10"/>
        <v>173.624</v>
      </c>
      <c r="O75" s="25">
        <f t="shared" si="11"/>
        <v>0.0188517179</v>
      </c>
      <c r="P75" s="25">
        <f t="shared" si="12"/>
        <v>-0.008623265151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IFERROR(__xludf.DUMMYFUNCTION("""COMPUTED_VALUE"""),46240.64583333333)</f>
        <v>46240.64583</v>
      </c>
      <c r="C76" s="1">
        <f>IFERROR(__xludf.DUMMYFUNCTION("""COMPUTED_VALUE"""),154.33)</f>
        <v>154.33</v>
      </c>
      <c r="D76" s="1"/>
      <c r="E76" s="112">
        <f>IFERROR(__xludf.DUMMYFUNCTION("""COMPUTED_VALUE"""),46240.64583333333)</f>
        <v>46240.64583</v>
      </c>
      <c r="F76" s="1">
        <f>IFERROR(__xludf.DUMMYFUNCTION("""COMPUTED_VALUE"""),176.4)</f>
        <v>176.4</v>
      </c>
      <c r="G76" s="1"/>
      <c r="H76" s="29">
        <f t="shared" si="4"/>
        <v>0.8748866213</v>
      </c>
      <c r="I76" s="1">
        <f t="shared" si="5"/>
        <v>-22.07</v>
      </c>
      <c r="J76" s="113">
        <f t="shared" si="6"/>
        <v>-0.630556129</v>
      </c>
      <c r="K76" s="29">
        <f t="shared" si="7"/>
        <v>0.8748866213</v>
      </c>
      <c r="L76" s="65">
        <f t="shared" si="8"/>
        <v>152.632</v>
      </c>
      <c r="M76" s="25">
        <f t="shared" si="9"/>
        <v>0.01100239746</v>
      </c>
      <c r="N76" s="65">
        <f t="shared" si="10"/>
        <v>173.934</v>
      </c>
      <c r="O76" s="25">
        <f t="shared" si="11"/>
        <v>0.01397959184</v>
      </c>
      <c r="P76" s="25">
        <f t="shared" si="12"/>
        <v>-0.002977194377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IFERROR(__xludf.DUMMYFUNCTION("""COMPUTED_VALUE"""),46241.64583333333)</f>
        <v>46241.64583</v>
      </c>
      <c r="C77" s="1">
        <f>IFERROR(__xludf.DUMMYFUNCTION("""COMPUTED_VALUE"""),151.94)</f>
        <v>151.94</v>
      </c>
      <c r="D77" s="1"/>
      <c r="E77" s="112">
        <f>IFERROR(__xludf.DUMMYFUNCTION("""COMPUTED_VALUE"""),46241.64583333333)</f>
        <v>46241.64583</v>
      </c>
      <c r="F77" s="1">
        <f>IFERROR(__xludf.DUMMYFUNCTION("""COMPUTED_VALUE"""),173.63)</f>
        <v>173.63</v>
      </c>
      <c r="G77" s="1"/>
      <c r="H77" s="29">
        <f t="shared" si="4"/>
        <v>0.8750791914</v>
      </c>
      <c r="I77" s="1">
        <f t="shared" si="5"/>
        <v>-21.69</v>
      </c>
      <c r="J77" s="113">
        <f t="shared" si="6"/>
        <v>-0.5907486845</v>
      </c>
      <c r="K77" s="29">
        <f t="shared" si="7"/>
        <v>0.8750791914</v>
      </c>
      <c r="L77" s="65">
        <f t="shared" si="8"/>
        <v>152.526</v>
      </c>
      <c r="M77" s="25">
        <f t="shared" si="9"/>
        <v>-0.003856785573</v>
      </c>
      <c r="N77" s="65">
        <f t="shared" si="10"/>
        <v>173.929</v>
      </c>
      <c r="O77" s="25">
        <f t="shared" si="11"/>
        <v>-0.001722052641</v>
      </c>
      <c r="P77" s="25">
        <f t="shared" si="12"/>
        <v>-0.002134732933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IFERROR(__xludf.DUMMYFUNCTION("""COMPUTED_VALUE"""),46244.64583333333)</f>
        <v>46244.64583</v>
      </c>
      <c r="C78" s="1">
        <f>IFERROR(__xludf.DUMMYFUNCTION("""COMPUTED_VALUE"""),152.15)</f>
        <v>152.15</v>
      </c>
      <c r="D78" s="1"/>
      <c r="E78" s="112">
        <f>IFERROR(__xludf.DUMMYFUNCTION("""COMPUTED_VALUE"""),46244.64583333333)</f>
        <v>46244.64583</v>
      </c>
      <c r="F78" s="1">
        <f>IFERROR(__xludf.DUMMYFUNCTION("""COMPUTED_VALUE"""),172.5)</f>
        <v>172.5</v>
      </c>
      <c r="G78" s="1"/>
      <c r="H78" s="29">
        <f t="shared" si="4"/>
        <v>0.8820289855</v>
      </c>
      <c r="I78" s="1">
        <f t="shared" si="5"/>
        <v>-20.35</v>
      </c>
      <c r="J78" s="113">
        <f t="shared" si="6"/>
        <v>-0.4503750644</v>
      </c>
      <c r="K78" s="29">
        <f t="shared" si="7"/>
        <v>0.8820289855</v>
      </c>
      <c r="L78" s="65">
        <f t="shared" si="8"/>
        <v>152.48</v>
      </c>
      <c r="M78" s="25">
        <f t="shared" si="9"/>
        <v>-0.002168912258</v>
      </c>
      <c r="N78" s="65">
        <f t="shared" si="10"/>
        <v>173.898</v>
      </c>
      <c r="O78" s="25">
        <f t="shared" si="11"/>
        <v>-0.008104347826</v>
      </c>
      <c r="P78" s="25">
        <f t="shared" si="12"/>
        <v>0.005935435568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IFERROR(__xludf.DUMMYFUNCTION("""COMPUTED_VALUE"""),46245.64583333333)</f>
        <v>46245.64583</v>
      </c>
      <c r="C79" s="1">
        <f>IFERROR(__xludf.DUMMYFUNCTION("""COMPUTED_VALUE"""),153.07)</f>
        <v>153.07</v>
      </c>
      <c r="D79" s="1"/>
      <c r="E79" s="112">
        <f>IFERROR(__xludf.DUMMYFUNCTION("""COMPUTED_VALUE"""),46245.64583333333)</f>
        <v>46245.64583</v>
      </c>
      <c r="F79" s="1">
        <f>IFERROR(__xludf.DUMMYFUNCTION("""COMPUTED_VALUE"""),175.34)</f>
        <v>175.34</v>
      </c>
      <c r="G79" s="1"/>
      <c r="H79" s="29">
        <f t="shared" si="4"/>
        <v>0.8729896202</v>
      </c>
      <c r="I79" s="1">
        <f t="shared" si="5"/>
        <v>-22.27</v>
      </c>
      <c r="J79" s="113">
        <f t="shared" si="6"/>
        <v>-0.6515074156</v>
      </c>
      <c r="K79" s="29">
        <f t="shared" si="7"/>
        <v>0.8729896202</v>
      </c>
      <c r="L79" s="65">
        <f t="shared" si="8"/>
        <v>152.544</v>
      </c>
      <c r="M79" s="25">
        <f t="shared" si="9"/>
        <v>0.003436336317</v>
      </c>
      <c r="N79" s="65">
        <f t="shared" si="10"/>
        <v>174.0895</v>
      </c>
      <c r="O79" s="25">
        <f t="shared" si="11"/>
        <v>0.007131858104</v>
      </c>
      <c r="P79" s="25">
        <f t="shared" si="12"/>
        <v>-0.003695521788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IFERROR(__xludf.DUMMYFUNCTION("""COMPUTED_VALUE"""),46246.64583333333)</f>
        <v>46246.64583</v>
      </c>
      <c r="C80" s="1">
        <f>IFERROR(__xludf.DUMMYFUNCTION("""COMPUTED_VALUE"""),154.54)</f>
        <v>154.54</v>
      </c>
      <c r="D80" s="1"/>
      <c r="E80" s="112">
        <f>IFERROR(__xludf.DUMMYFUNCTION("""COMPUTED_VALUE"""),46246.64583333333)</f>
        <v>46246.64583</v>
      </c>
      <c r="F80" s="1">
        <f>IFERROR(__xludf.DUMMYFUNCTION("""COMPUTED_VALUE"""),177.95)</f>
        <v>177.95</v>
      </c>
      <c r="G80" s="1"/>
      <c r="H80" s="29">
        <f t="shared" si="4"/>
        <v>0.8684461928</v>
      </c>
      <c r="I80" s="1">
        <f t="shared" si="5"/>
        <v>-23.41</v>
      </c>
      <c r="J80" s="113">
        <f t="shared" si="6"/>
        <v>-0.7709297492</v>
      </c>
      <c r="K80" s="29">
        <f t="shared" si="7"/>
        <v>0.8684461928</v>
      </c>
      <c r="L80" s="65">
        <f t="shared" si="8"/>
        <v>152.693</v>
      </c>
      <c r="M80" s="25">
        <f t="shared" si="9"/>
        <v>0.01195159829</v>
      </c>
      <c r="N80" s="65">
        <f t="shared" si="10"/>
        <v>174.3295</v>
      </c>
      <c r="O80" s="25">
        <f t="shared" si="11"/>
        <v>0.0203456027</v>
      </c>
      <c r="P80" s="25">
        <f t="shared" si="12"/>
        <v>-0.008394004406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IFERROR(__xludf.DUMMYFUNCTION("""COMPUTED_VALUE"""),46247.64583333333)</f>
        <v>46247.64583</v>
      </c>
      <c r="C81" s="1">
        <f>IFERROR(__xludf.DUMMYFUNCTION("""COMPUTED_VALUE"""),151.77)</f>
        <v>151.77</v>
      </c>
      <c r="D81" s="1"/>
      <c r="E81" s="112">
        <f>IFERROR(__xludf.DUMMYFUNCTION("""COMPUTED_VALUE"""),46247.64583333333)</f>
        <v>46247.64583</v>
      </c>
      <c r="F81" s="1">
        <f>IFERROR(__xludf.DUMMYFUNCTION("""COMPUTED_VALUE"""),175.9)</f>
        <v>175.9</v>
      </c>
      <c r="G81" s="1"/>
      <c r="H81" s="29">
        <f t="shared" si="4"/>
        <v>0.862819784</v>
      </c>
      <c r="I81" s="1">
        <f t="shared" si="5"/>
        <v>-24.13</v>
      </c>
      <c r="J81" s="113">
        <f t="shared" si="6"/>
        <v>-0.8463543809</v>
      </c>
      <c r="K81" s="29">
        <f t="shared" si="7"/>
        <v>0.862819784</v>
      </c>
      <c r="L81" s="65">
        <f t="shared" si="8"/>
        <v>152.5815</v>
      </c>
      <c r="M81" s="25">
        <f t="shared" si="9"/>
        <v>-0.005346906503</v>
      </c>
      <c r="N81" s="65">
        <f t="shared" si="10"/>
        <v>174.539</v>
      </c>
      <c r="O81" s="25">
        <f t="shared" si="11"/>
        <v>0.007737350767</v>
      </c>
      <c r="P81" s="25">
        <f t="shared" si="12"/>
        <v>-0.01308425727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IFERROR(__xludf.DUMMYFUNCTION("""COMPUTED_VALUE"""),46248.64583333333)</f>
        <v>46248.64583</v>
      </c>
      <c r="C82" s="1">
        <f>IFERROR(__xludf.DUMMYFUNCTION("""COMPUTED_VALUE"""),151.7)</f>
        <v>151.7</v>
      </c>
      <c r="D82" s="1"/>
      <c r="E82" s="112">
        <f>IFERROR(__xludf.DUMMYFUNCTION("""COMPUTED_VALUE"""),46248.64583333333)</f>
        <v>46248.64583</v>
      </c>
      <c r="F82" s="1">
        <f>IFERROR(__xludf.DUMMYFUNCTION("""COMPUTED_VALUE"""),174.9)</f>
        <v>174.9</v>
      </c>
      <c r="G82" s="1"/>
      <c r="H82" s="29">
        <f t="shared" si="4"/>
        <v>0.867352773</v>
      </c>
      <c r="I82" s="1">
        <f t="shared" si="5"/>
        <v>-23.2</v>
      </c>
      <c r="J82" s="113">
        <f t="shared" si="6"/>
        <v>-0.7489308983</v>
      </c>
      <c r="K82" s="29">
        <f t="shared" si="7"/>
        <v>0.867352773</v>
      </c>
      <c r="L82" s="65">
        <f t="shared" si="8"/>
        <v>152.511</v>
      </c>
      <c r="M82" s="25">
        <f t="shared" si="9"/>
        <v>-0.005346077785</v>
      </c>
      <c r="N82" s="65">
        <f t="shared" si="10"/>
        <v>174.724</v>
      </c>
      <c r="O82" s="25">
        <f t="shared" si="11"/>
        <v>0.001006289308</v>
      </c>
      <c r="P82" s="25">
        <f t="shared" si="12"/>
        <v>-0.006352367093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IFERROR(__xludf.DUMMYFUNCTION("""COMPUTED_VALUE"""),46251.64583333333)</f>
        <v>46251.64583</v>
      </c>
      <c r="C83" s="1">
        <f>IFERROR(__xludf.DUMMYFUNCTION("""COMPUTED_VALUE"""),151.0)</f>
        <v>151</v>
      </c>
      <c r="D83" s="1"/>
      <c r="E83" s="112">
        <f>IFERROR(__xludf.DUMMYFUNCTION("""COMPUTED_VALUE"""),46251.64583333333)</f>
        <v>46251.64583</v>
      </c>
      <c r="F83" s="1">
        <f>IFERROR(__xludf.DUMMYFUNCTION("""COMPUTED_VALUE"""),172.1)</f>
        <v>172.1</v>
      </c>
      <c r="G83" s="1"/>
      <c r="H83" s="29">
        <f t="shared" si="4"/>
        <v>0.8773968623</v>
      </c>
      <c r="I83" s="1">
        <f t="shared" si="5"/>
        <v>-21.1</v>
      </c>
      <c r="J83" s="113">
        <f t="shared" si="6"/>
        <v>-0.5289423891</v>
      </c>
      <c r="K83" s="29">
        <f t="shared" si="7"/>
        <v>0.8773968623</v>
      </c>
      <c r="L83" s="65">
        <f t="shared" si="8"/>
        <v>152.328</v>
      </c>
      <c r="M83" s="25">
        <f t="shared" si="9"/>
        <v>-0.008794701987</v>
      </c>
      <c r="N83" s="65">
        <f t="shared" si="10"/>
        <v>174.6785</v>
      </c>
      <c r="O83" s="25">
        <f t="shared" si="11"/>
        <v>-0.01498256827</v>
      </c>
      <c r="P83" s="25">
        <f t="shared" si="12"/>
        <v>0.006187866288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IFERROR(__xludf.DUMMYFUNCTION("""COMPUTED_VALUE"""),46252.64583333333)</f>
        <v>46252.64583</v>
      </c>
      <c r="C84" s="1">
        <f>IFERROR(__xludf.DUMMYFUNCTION("""COMPUTED_VALUE"""),149.39)</f>
        <v>149.39</v>
      </c>
      <c r="D84" s="1"/>
      <c r="E84" s="112">
        <f>IFERROR(__xludf.DUMMYFUNCTION("""COMPUTED_VALUE"""),46252.64583333333)</f>
        <v>46252.64583</v>
      </c>
      <c r="F84" s="1">
        <f>IFERROR(__xludf.DUMMYFUNCTION("""COMPUTED_VALUE"""),173.5)</f>
        <v>173.5</v>
      </c>
      <c r="G84" s="1"/>
      <c r="H84" s="29">
        <f t="shared" si="4"/>
        <v>0.861037464</v>
      </c>
      <c r="I84" s="1">
        <f t="shared" si="5"/>
        <v>-24.11</v>
      </c>
      <c r="J84" s="113">
        <f t="shared" si="6"/>
        <v>-0.8442592523</v>
      </c>
      <c r="K84" s="29">
        <f t="shared" si="7"/>
        <v>0.861037464</v>
      </c>
      <c r="L84" s="65">
        <f t="shared" si="8"/>
        <v>152.114</v>
      </c>
      <c r="M84" s="25">
        <f t="shared" si="9"/>
        <v>-0.01823415222</v>
      </c>
      <c r="N84" s="65">
        <f t="shared" si="10"/>
        <v>174.654</v>
      </c>
      <c r="O84" s="25">
        <f t="shared" si="11"/>
        <v>-0.00665129683</v>
      </c>
      <c r="P84" s="25">
        <f t="shared" si="12"/>
        <v>-0.01158285539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IFERROR(__xludf.DUMMYFUNCTION("""COMPUTED_VALUE"""),46253.64583333333)</f>
        <v>46253.64583</v>
      </c>
      <c r="C85" s="1">
        <f>IFERROR(__xludf.DUMMYFUNCTION("""COMPUTED_VALUE"""),152.64)</f>
        <v>152.64</v>
      </c>
      <c r="D85" s="1"/>
      <c r="E85" s="112">
        <f>IFERROR(__xludf.DUMMYFUNCTION("""COMPUTED_VALUE"""),46253.64583333333)</f>
        <v>46253.64583</v>
      </c>
      <c r="F85" s="1">
        <f>IFERROR(__xludf.DUMMYFUNCTION("""COMPUTED_VALUE"""),172.5)</f>
        <v>172.5</v>
      </c>
      <c r="G85" s="1"/>
      <c r="H85" s="29">
        <f t="shared" si="4"/>
        <v>0.8848695652</v>
      </c>
      <c r="I85" s="1">
        <f t="shared" si="5"/>
        <v>-19.86</v>
      </c>
      <c r="J85" s="113">
        <f t="shared" si="6"/>
        <v>-0.3990444122</v>
      </c>
      <c r="K85" s="29">
        <f t="shared" si="7"/>
        <v>0.8848695652</v>
      </c>
      <c r="L85" s="65">
        <f t="shared" si="8"/>
        <v>152.177</v>
      </c>
      <c r="M85" s="25">
        <f t="shared" si="9"/>
        <v>0.003033280922</v>
      </c>
      <c r="N85" s="65">
        <f t="shared" si="10"/>
        <v>174.6285</v>
      </c>
      <c r="O85" s="25">
        <f t="shared" si="11"/>
        <v>-0.01233913043</v>
      </c>
      <c r="P85" s="25">
        <f t="shared" si="12"/>
        <v>0.01537241136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IFERROR(__xludf.DUMMYFUNCTION("""COMPUTED_VALUE"""),46254.64583333333)</f>
        <v>46254.64583</v>
      </c>
      <c r="C86" s="1">
        <f>IFERROR(__xludf.DUMMYFUNCTION("""COMPUTED_VALUE"""),150.55)</f>
        <v>150.55</v>
      </c>
      <c r="D86" s="1"/>
      <c r="E86" s="112">
        <f>IFERROR(__xludf.DUMMYFUNCTION("""COMPUTED_VALUE"""),46254.64583333333)</f>
        <v>46254.64583</v>
      </c>
      <c r="F86" s="1">
        <f>IFERROR(__xludf.DUMMYFUNCTION("""COMPUTED_VALUE"""),172.5)</f>
        <v>172.5</v>
      </c>
      <c r="G86" s="1"/>
      <c r="H86" s="29">
        <f t="shared" si="4"/>
        <v>0.8727536232</v>
      </c>
      <c r="I86" s="1">
        <f t="shared" si="5"/>
        <v>-21.95</v>
      </c>
      <c r="J86" s="113">
        <f t="shared" si="6"/>
        <v>-0.6179853571</v>
      </c>
      <c r="K86" s="29">
        <f t="shared" si="7"/>
        <v>0.8727536232</v>
      </c>
      <c r="L86" s="65">
        <f t="shared" si="8"/>
        <v>152.2095</v>
      </c>
      <c r="M86" s="25">
        <f t="shared" si="9"/>
        <v>-0.01102291597</v>
      </c>
      <c r="N86" s="65">
        <f t="shared" si="10"/>
        <v>174.654</v>
      </c>
      <c r="O86" s="25">
        <f t="shared" si="11"/>
        <v>-0.01248695652</v>
      </c>
      <c r="P86" s="25">
        <f t="shared" si="12"/>
        <v>0.001464040547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IFERROR(__xludf.DUMMYFUNCTION("""COMPUTED_VALUE"""),46255.64583333333)</f>
        <v>46255.64583</v>
      </c>
      <c r="C87" s="1">
        <f>IFERROR(__xludf.DUMMYFUNCTION("""COMPUTED_VALUE"""),147.87)</f>
        <v>147.87</v>
      </c>
      <c r="D87" s="1"/>
      <c r="E87" s="112">
        <f>IFERROR(__xludf.DUMMYFUNCTION("""COMPUTED_VALUE"""),46255.64583333333)</f>
        <v>46255.64583</v>
      </c>
      <c r="F87" s="1">
        <f>IFERROR(__xludf.DUMMYFUNCTION("""COMPUTED_VALUE"""),172.0)</f>
        <v>172</v>
      </c>
      <c r="G87" s="1"/>
      <c r="H87" s="29">
        <f t="shared" si="4"/>
        <v>0.8597093023</v>
      </c>
      <c r="I87" s="1">
        <f t="shared" si="5"/>
        <v>-24.13</v>
      </c>
      <c r="J87" s="113">
        <f t="shared" si="6"/>
        <v>-0.8463543809</v>
      </c>
      <c r="K87" s="29">
        <f t="shared" si="7"/>
        <v>0.8597093023</v>
      </c>
      <c r="L87" s="65">
        <f t="shared" si="8"/>
        <v>152.1365</v>
      </c>
      <c r="M87" s="25">
        <f t="shared" si="9"/>
        <v>-0.02885304659</v>
      </c>
      <c r="N87" s="65">
        <f t="shared" si="10"/>
        <v>174.753</v>
      </c>
      <c r="O87" s="25">
        <f t="shared" si="11"/>
        <v>-0.01600581395</v>
      </c>
      <c r="P87" s="25">
        <f t="shared" si="12"/>
        <v>-0.01284723264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IFERROR(__xludf.DUMMYFUNCTION("""COMPUTED_VALUE"""),46258.64583333333)</f>
        <v>46258.64583</v>
      </c>
      <c r="C88" s="1">
        <f>IFERROR(__xludf.DUMMYFUNCTION("""COMPUTED_VALUE"""),147.72)</f>
        <v>147.72</v>
      </c>
      <c r="D88" s="1"/>
      <c r="E88" s="112">
        <f>IFERROR(__xludf.DUMMYFUNCTION("""COMPUTED_VALUE"""),46258.64583333333)</f>
        <v>46258.64583</v>
      </c>
      <c r="F88" s="1">
        <f>IFERROR(__xludf.DUMMYFUNCTION("""COMPUTED_VALUE"""),173.75)</f>
        <v>173.75</v>
      </c>
      <c r="G88" s="1"/>
      <c r="H88" s="29">
        <f t="shared" si="4"/>
        <v>0.8501870504</v>
      </c>
      <c r="I88" s="1">
        <f t="shared" si="5"/>
        <v>-26.03</v>
      </c>
      <c r="J88" s="113">
        <f t="shared" si="6"/>
        <v>-1.045391604</v>
      </c>
      <c r="K88" s="29">
        <f t="shared" si="7"/>
        <v>0.8501870504</v>
      </c>
      <c r="L88" s="65">
        <f t="shared" si="8"/>
        <v>152.009</v>
      </c>
      <c r="M88" s="25">
        <f t="shared" si="9"/>
        <v>-0.02903466017</v>
      </c>
      <c r="N88" s="65">
        <f t="shared" si="10"/>
        <v>174.729</v>
      </c>
      <c r="O88" s="25">
        <f t="shared" si="11"/>
        <v>-0.005634532374</v>
      </c>
      <c r="P88" s="25">
        <f t="shared" si="12"/>
        <v>-0.02340012779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IFERROR(__xludf.DUMMYFUNCTION("""COMPUTED_VALUE"""),46259.64583333333)</f>
        <v>46259.64583</v>
      </c>
      <c r="C89" s="1">
        <f>IFERROR(__xludf.DUMMYFUNCTION("""COMPUTED_VALUE"""),148.68)</f>
        <v>148.68</v>
      </c>
      <c r="D89" s="1"/>
      <c r="E89" s="112">
        <f>IFERROR(__xludf.DUMMYFUNCTION("""COMPUTED_VALUE"""),46259.64583333333)</f>
        <v>46259.64583</v>
      </c>
      <c r="F89" s="1">
        <f>IFERROR(__xludf.DUMMYFUNCTION("""COMPUTED_VALUE"""),175.5)</f>
        <v>175.5</v>
      </c>
      <c r="G89" s="1"/>
      <c r="H89" s="29">
        <f t="shared" si="4"/>
        <v>0.8471794872</v>
      </c>
      <c r="I89" s="1">
        <f t="shared" si="5"/>
        <v>-26.82</v>
      </c>
      <c r="J89" s="113">
        <f t="shared" si="6"/>
        <v>-1.128149186</v>
      </c>
      <c r="K89" s="29">
        <f t="shared" si="7"/>
        <v>0.8471794872</v>
      </c>
      <c r="L89" s="65">
        <f t="shared" si="8"/>
        <v>151.908</v>
      </c>
      <c r="M89" s="25">
        <f t="shared" si="9"/>
        <v>-0.0217110573</v>
      </c>
      <c r="N89" s="65">
        <f t="shared" si="10"/>
        <v>174.7465</v>
      </c>
      <c r="O89" s="25">
        <f t="shared" si="11"/>
        <v>0.004293447293</v>
      </c>
      <c r="P89" s="25">
        <f t="shared" si="12"/>
        <v>-0.0260045046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IFERROR(__xludf.DUMMYFUNCTION("""COMPUTED_VALUE"""),46260.64583333333)</f>
        <v>46260.64583</v>
      </c>
      <c r="C90" s="1">
        <f>IFERROR(__xludf.DUMMYFUNCTION("""COMPUTED_VALUE"""),148.72)</f>
        <v>148.72</v>
      </c>
      <c r="D90" s="25"/>
      <c r="E90" s="112">
        <f>IFERROR(__xludf.DUMMYFUNCTION("""COMPUTED_VALUE"""),46260.64583333333)</f>
        <v>46260.64583</v>
      </c>
      <c r="F90" s="1">
        <f>IFERROR(__xludf.DUMMYFUNCTION("""COMPUTED_VALUE"""),174.49)</f>
        <v>174.49</v>
      </c>
      <c r="G90" s="1"/>
      <c r="H90" s="29">
        <f t="shared" si="4"/>
        <v>0.8523124534</v>
      </c>
      <c r="I90" s="1">
        <f t="shared" si="5"/>
        <v>-25.77</v>
      </c>
      <c r="J90" s="113">
        <f t="shared" si="6"/>
        <v>-1.018154931</v>
      </c>
      <c r="K90" s="29">
        <f t="shared" si="7"/>
        <v>0.8523124534</v>
      </c>
      <c r="L90" s="65">
        <f t="shared" si="8"/>
        <v>151.6985</v>
      </c>
      <c r="M90" s="25">
        <f t="shared" si="9"/>
        <v>-0.02002756859</v>
      </c>
      <c r="N90" s="65">
        <f t="shared" si="10"/>
        <v>174.715</v>
      </c>
      <c r="O90" s="25">
        <f t="shared" si="11"/>
        <v>-0.001289472176</v>
      </c>
      <c r="P90" s="25">
        <f t="shared" si="12"/>
        <v>-0.01873809641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IFERROR(__xludf.DUMMYFUNCTION("""COMPUTED_VALUE"""),46261.64583333333)</f>
        <v>46261.64583</v>
      </c>
      <c r="C91" s="1">
        <f>IFERROR(__xludf.DUMMYFUNCTION("""COMPUTED_VALUE"""),147.17)</f>
        <v>147.17</v>
      </c>
      <c r="D91" s="1"/>
      <c r="E91" s="112">
        <f>IFERROR(__xludf.DUMMYFUNCTION("""COMPUTED_VALUE"""),46261.64583333333)</f>
        <v>46261.64583</v>
      </c>
      <c r="F91" s="1">
        <f>IFERROR(__xludf.DUMMYFUNCTION("""COMPUTED_VALUE"""),172.44)</f>
        <v>172.44</v>
      </c>
      <c r="G91" s="1"/>
      <c r="H91" s="29">
        <f t="shared" si="4"/>
        <v>0.8534562746</v>
      </c>
      <c r="I91" s="1">
        <f t="shared" si="5"/>
        <v>-25.27</v>
      </c>
      <c r="J91" s="113">
        <f t="shared" si="6"/>
        <v>-0.9657767145</v>
      </c>
      <c r="K91" s="29">
        <f t="shared" si="7"/>
        <v>0.8534562746</v>
      </c>
      <c r="L91" s="65">
        <f t="shared" si="8"/>
        <v>151.47</v>
      </c>
      <c r="M91" s="25">
        <f t="shared" si="9"/>
        <v>-0.02921791126</v>
      </c>
      <c r="N91" s="65">
        <f t="shared" si="10"/>
        <v>174.655</v>
      </c>
      <c r="O91" s="25">
        <f t="shared" si="11"/>
        <v>-0.01284504755</v>
      </c>
      <c r="P91" s="25">
        <f t="shared" si="12"/>
        <v>-0.01637286371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IFERROR(__xludf.DUMMYFUNCTION("""COMPUTED_VALUE"""),46262.64583333333)</f>
        <v>46262.64583</v>
      </c>
      <c r="C92" s="1">
        <f>IFERROR(__xludf.DUMMYFUNCTION("""COMPUTED_VALUE"""),147.61)</f>
        <v>147.61</v>
      </c>
      <c r="D92" s="1"/>
      <c r="E92" s="112">
        <f>IFERROR(__xludf.DUMMYFUNCTION("""COMPUTED_VALUE"""),46262.64583333333)</f>
        <v>46262.64583</v>
      </c>
      <c r="F92" s="1">
        <f>IFERROR(__xludf.DUMMYFUNCTION("""COMPUTED_VALUE"""),171.1)</f>
        <v>171.1</v>
      </c>
      <c r="G92" s="1"/>
      <c r="H92" s="29">
        <f t="shared" si="4"/>
        <v>0.8627118644</v>
      </c>
      <c r="I92" s="1">
        <f t="shared" si="5"/>
        <v>-23.49</v>
      </c>
      <c r="J92" s="113">
        <f t="shared" si="6"/>
        <v>-0.7793102638</v>
      </c>
      <c r="K92" s="29">
        <f t="shared" si="7"/>
        <v>0.8627118644</v>
      </c>
      <c r="L92" s="65">
        <f t="shared" si="8"/>
        <v>151.2515</v>
      </c>
      <c r="M92" s="25">
        <f t="shared" si="9"/>
        <v>-0.02466973782</v>
      </c>
      <c r="N92" s="65">
        <f t="shared" si="10"/>
        <v>174.138</v>
      </c>
      <c r="O92" s="25">
        <f t="shared" si="11"/>
        <v>-0.01775569842</v>
      </c>
      <c r="P92" s="25">
        <f t="shared" si="12"/>
        <v>-0.006914039401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IFERROR(__xludf.DUMMYFUNCTION("""COMPUTED_VALUE"""),46265.64583333333)</f>
        <v>46265.64583</v>
      </c>
      <c r="C93" s="1">
        <f>IFERROR(__xludf.DUMMYFUNCTION("""COMPUTED_VALUE"""),150.49)</f>
        <v>150.49</v>
      </c>
      <c r="D93" s="1"/>
      <c r="E93" s="112">
        <f>IFERROR(__xludf.DUMMYFUNCTION("""COMPUTED_VALUE"""),46265.64583333333)</f>
        <v>46265.64583</v>
      </c>
      <c r="F93" s="1">
        <f>IFERROR(__xludf.DUMMYFUNCTION("""COMPUTED_VALUE"""),177.5)</f>
        <v>177.5</v>
      </c>
      <c r="G93" s="1"/>
      <c r="H93" s="29">
        <f t="shared" si="4"/>
        <v>0.8478309859</v>
      </c>
      <c r="I93" s="1">
        <f t="shared" si="5"/>
        <v>-27.01</v>
      </c>
      <c r="J93" s="113">
        <f t="shared" si="6"/>
        <v>-1.148052908</v>
      </c>
      <c r="K93" s="29">
        <f t="shared" si="7"/>
        <v>0.8478309859</v>
      </c>
      <c r="L93" s="65">
        <f t="shared" si="8"/>
        <v>150.9675</v>
      </c>
      <c r="M93" s="25">
        <f t="shared" si="9"/>
        <v>-0.003172968304</v>
      </c>
      <c r="N93" s="65">
        <f t="shared" si="10"/>
        <v>174.298</v>
      </c>
      <c r="O93" s="25">
        <f t="shared" si="11"/>
        <v>0.01803943662</v>
      </c>
      <c r="P93" s="25">
        <f t="shared" si="12"/>
        <v>-0.02121240492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IFERROR(__xludf.DUMMYFUNCTION("""COMPUTED_VALUE"""),46266.64583333333)</f>
        <v>46266.64583</v>
      </c>
      <c r="C94" s="1">
        <f>IFERROR(__xludf.DUMMYFUNCTION("""COMPUTED_VALUE"""),149.85)</f>
        <v>149.85</v>
      </c>
      <c r="D94" s="1"/>
      <c r="E94" s="112">
        <f>IFERROR(__xludf.DUMMYFUNCTION("""COMPUTED_VALUE"""),46266.64583333333)</f>
        <v>46266.64583</v>
      </c>
      <c r="F94" s="1">
        <f>IFERROR(__xludf.DUMMYFUNCTION("""COMPUTED_VALUE"""),172.69)</f>
        <v>172.69</v>
      </c>
      <c r="G94" s="1"/>
      <c r="H94" s="29">
        <f t="shared" si="4"/>
        <v>0.8677398807</v>
      </c>
      <c r="I94" s="1">
        <f t="shared" si="5"/>
        <v>-22.84</v>
      </c>
      <c r="J94" s="113">
        <f t="shared" si="6"/>
        <v>-0.7112185824</v>
      </c>
      <c r="K94" s="29">
        <f t="shared" si="7"/>
        <v>0.8677398807</v>
      </c>
      <c r="L94" s="65">
        <f t="shared" si="8"/>
        <v>150.7635</v>
      </c>
      <c r="M94" s="25">
        <f t="shared" si="9"/>
        <v>-0.006096096096</v>
      </c>
      <c r="N94" s="65">
        <f t="shared" si="10"/>
        <v>174.1825</v>
      </c>
      <c r="O94" s="25">
        <f t="shared" si="11"/>
        <v>-0.008642654468</v>
      </c>
      <c r="P94" s="25">
        <f t="shared" si="12"/>
        <v>0.002546558371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IFERROR(__xludf.DUMMYFUNCTION("""COMPUTED_VALUE"""),46267.64583333333)</f>
        <v>46267.64583</v>
      </c>
      <c r="C95" s="1">
        <f>IFERROR(__xludf.DUMMYFUNCTION("""COMPUTED_VALUE"""),147.94)</f>
        <v>147.94</v>
      </c>
      <c r="D95" s="1"/>
      <c r="E95" s="112">
        <f>IFERROR(__xludf.DUMMYFUNCTION("""COMPUTED_VALUE"""),46267.64583333333)</f>
        <v>46267.64583</v>
      </c>
      <c r="F95" s="1">
        <f>IFERROR(__xludf.DUMMYFUNCTION("""COMPUTED_VALUE"""),173.0)</f>
        <v>173</v>
      </c>
      <c r="G95" s="1"/>
      <c r="H95" s="29">
        <f t="shared" si="4"/>
        <v>0.8551445087</v>
      </c>
      <c r="I95" s="1">
        <f t="shared" si="5"/>
        <v>-25.06</v>
      </c>
      <c r="J95" s="113">
        <f t="shared" si="6"/>
        <v>-0.9437778636</v>
      </c>
      <c r="K95" s="29">
        <f t="shared" si="7"/>
        <v>0.8551445087</v>
      </c>
      <c r="L95" s="65">
        <f t="shared" si="8"/>
        <v>150.4565</v>
      </c>
      <c r="M95" s="25">
        <f t="shared" si="9"/>
        <v>-0.01701027444</v>
      </c>
      <c r="N95" s="65">
        <f t="shared" si="10"/>
        <v>173.9845</v>
      </c>
      <c r="O95" s="25">
        <f t="shared" si="11"/>
        <v>-0.005690751445</v>
      </c>
      <c r="P95" s="25">
        <f t="shared" si="12"/>
        <v>-0.01131952299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IFERROR(__xludf.DUMMYFUNCTION("""COMPUTED_VALUE"""),46268.64583333333)</f>
        <v>46268.64583</v>
      </c>
      <c r="C96" s="1">
        <f>IFERROR(__xludf.DUMMYFUNCTION("""COMPUTED_VALUE"""),149.42)</f>
        <v>149.42</v>
      </c>
      <c r="D96" s="1"/>
      <c r="E96" s="112">
        <f>IFERROR(__xludf.DUMMYFUNCTION("""COMPUTED_VALUE"""),46268.64583333333)</f>
        <v>46268.64583</v>
      </c>
      <c r="F96" s="1">
        <f>IFERROR(__xludf.DUMMYFUNCTION("""COMPUTED_VALUE"""),174.67)</f>
        <v>174.67</v>
      </c>
      <c r="G96" s="1"/>
      <c r="H96" s="29">
        <f t="shared" si="4"/>
        <v>0.85544169</v>
      </c>
      <c r="I96" s="1">
        <f t="shared" si="5"/>
        <v>-25.25</v>
      </c>
      <c r="J96" s="113">
        <f t="shared" si="6"/>
        <v>-0.9636815858</v>
      </c>
      <c r="K96" s="29">
        <f t="shared" si="7"/>
        <v>0.85544169</v>
      </c>
      <c r="L96" s="65">
        <f t="shared" si="8"/>
        <v>150.211</v>
      </c>
      <c r="M96" s="25">
        <f t="shared" si="9"/>
        <v>-0.005293802704</v>
      </c>
      <c r="N96" s="65">
        <f t="shared" si="10"/>
        <v>173.898</v>
      </c>
      <c r="O96" s="25">
        <f t="shared" si="11"/>
        <v>0.004419762982</v>
      </c>
      <c r="P96" s="25">
        <f t="shared" si="12"/>
        <v>-0.009713565685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IFERROR(__xludf.DUMMYFUNCTION("""COMPUTED_VALUE"""),46269.64583333333)</f>
        <v>46269.64583</v>
      </c>
      <c r="C97" s="1">
        <f>IFERROR(__xludf.DUMMYFUNCTION("""COMPUTED_VALUE"""),158.04)</f>
        <v>158.04</v>
      </c>
      <c r="D97" s="1"/>
      <c r="E97" s="112">
        <f>IFERROR(__xludf.DUMMYFUNCTION("""COMPUTED_VALUE"""),46269.64583333333)</f>
        <v>46269.64583</v>
      </c>
      <c r="F97" s="1">
        <f>IFERROR(__xludf.DUMMYFUNCTION("""COMPUTED_VALUE"""),173.4)</f>
        <v>173.4</v>
      </c>
      <c r="G97" s="1"/>
      <c r="H97" s="29">
        <f t="shared" si="4"/>
        <v>0.9114186851</v>
      </c>
      <c r="I97" s="1">
        <f t="shared" si="5"/>
        <v>-15.36</v>
      </c>
      <c r="J97" s="113">
        <f t="shared" si="6"/>
        <v>0.0723595361</v>
      </c>
      <c r="K97" s="29">
        <f t="shared" si="7"/>
        <v>0.9114186851</v>
      </c>
      <c r="L97" s="65">
        <f t="shared" si="8"/>
        <v>150.516</v>
      </c>
      <c r="M97" s="25">
        <f t="shared" si="9"/>
        <v>0.04760820046</v>
      </c>
      <c r="N97" s="65">
        <f t="shared" si="10"/>
        <v>173.8865</v>
      </c>
      <c r="O97" s="25">
        <f t="shared" si="11"/>
        <v>-0.002805651672</v>
      </c>
      <c r="P97" s="25">
        <f t="shared" si="12"/>
        <v>0.05041385213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IFERROR(__xludf.DUMMYFUNCTION("""COMPUTED_VALUE"""),46272.64583333333)</f>
        <v>46272.64583</v>
      </c>
      <c r="C98" s="1">
        <f>IFERROR(__xludf.DUMMYFUNCTION("""COMPUTED_VALUE"""),154.8)</f>
        <v>154.8</v>
      </c>
      <c r="D98" s="1"/>
      <c r="E98" s="112">
        <f>IFERROR(__xludf.DUMMYFUNCTION("""COMPUTED_VALUE"""),46272.64583333333)</f>
        <v>46272.64583</v>
      </c>
      <c r="F98" s="1">
        <f>IFERROR(__xludf.DUMMYFUNCTION("""COMPUTED_VALUE"""),176.0)</f>
        <v>176</v>
      </c>
      <c r="G98" s="1"/>
      <c r="H98" s="29">
        <f t="shared" si="4"/>
        <v>0.8795454545</v>
      </c>
      <c r="I98" s="1">
        <f t="shared" si="5"/>
        <v>-21.2</v>
      </c>
      <c r="J98" s="113">
        <f t="shared" si="6"/>
        <v>-0.5394180324</v>
      </c>
      <c r="K98" s="29">
        <f t="shared" si="7"/>
        <v>0.8795454545</v>
      </c>
      <c r="L98" s="65">
        <f t="shared" si="8"/>
        <v>150.6485</v>
      </c>
      <c r="M98" s="25">
        <f t="shared" si="9"/>
        <v>0.02681847545</v>
      </c>
      <c r="N98" s="65">
        <f t="shared" si="10"/>
        <v>174.0615</v>
      </c>
      <c r="O98" s="25">
        <f t="shared" si="11"/>
        <v>0.01101420455</v>
      </c>
      <c r="P98" s="25">
        <f t="shared" si="12"/>
        <v>0.01580427091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IFERROR(__xludf.DUMMYFUNCTION("""COMPUTED_VALUE"""),46273.64583333333)</f>
        <v>46273.64583</v>
      </c>
      <c r="C99" s="1">
        <f>IFERROR(__xludf.DUMMYFUNCTION("""COMPUTED_VALUE"""),154.02)</f>
        <v>154.02</v>
      </c>
      <c r="D99" s="1"/>
      <c r="E99" s="112">
        <f>IFERROR(__xludf.DUMMYFUNCTION("""COMPUTED_VALUE"""),46273.64583333333)</f>
        <v>46273.64583</v>
      </c>
      <c r="F99" s="1">
        <f>IFERROR(__xludf.DUMMYFUNCTION("""COMPUTED_VALUE"""),175.09)</f>
        <v>175.09</v>
      </c>
      <c r="G99" s="1"/>
      <c r="H99" s="29">
        <f t="shared" si="4"/>
        <v>0.8796618882</v>
      </c>
      <c r="I99" s="1">
        <f t="shared" si="5"/>
        <v>-21.07</v>
      </c>
      <c r="J99" s="113">
        <f t="shared" si="6"/>
        <v>-0.5257996961</v>
      </c>
      <c r="K99" s="29">
        <f t="shared" si="7"/>
        <v>0.8796618882</v>
      </c>
      <c r="L99" s="65">
        <f t="shared" si="8"/>
        <v>150.696</v>
      </c>
      <c r="M99" s="25">
        <f t="shared" si="9"/>
        <v>0.02158161278</v>
      </c>
      <c r="N99" s="65">
        <f t="shared" si="10"/>
        <v>174.049</v>
      </c>
      <c r="O99" s="25">
        <f t="shared" si="11"/>
        <v>0.005945513736</v>
      </c>
      <c r="P99" s="25">
        <f t="shared" si="12"/>
        <v>0.01563609904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IFERROR(__xludf.DUMMYFUNCTION("""COMPUTED_VALUE"""),46274.64583333333)</f>
        <v>46274.64583</v>
      </c>
      <c r="C100" s="1">
        <f>IFERROR(__xludf.DUMMYFUNCTION("""COMPUTED_VALUE"""),152.92)</f>
        <v>152.92</v>
      </c>
      <c r="D100" s="1"/>
      <c r="E100" s="112">
        <f>IFERROR(__xludf.DUMMYFUNCTION("""COMPUTED_VALUE"""),46274.64583333333)</f>
        <v>46274.64583</v>
      </c>
      <c r="F100" s="1">
        <f>IFERROR(__xludf.DUMMYFUNCTION("""COMPUTED_VALUE"""),174.9)</f>
        <v>174.9</v>
      </c>
      <c r="G100" s="1"/>
      <c r="H100" s="29">
        <f t="shared" si="4"/>
        <v>0.8743281875</v>
      </c>
      <c r="I100" s="1">
        <f t="shared" si="5"/>
        <v>-21.98</v>
      </c>
      <c r="J100" s="113">
        <f t="shared" si="6"/>
        <v>-0.6211280501</v>
      </c>
      <c r="K100" s="29">
        <f t="shared" si="7"/>
        <v>0.8743281875</v>
      </c>
      <c r="L100" s="65">
        <f t="shared" si="8"/>
        <v>150.615</v>
      </c>
      <c r="M100" s="25">
        <f t="shared" si="9"/>
        <v>0.01507324091</v>
      </c>
      <c r="N100" s="65">
        <f t="shared" si="10"/>
        <v>173.8965</v>
      </c>
      <c r="O100" s="25">
        <f t="shared" si="11"/>
        <v>0.005737564322</v>
      </c>
      <c r="P100" s="25">
        <f t="shared" si="12"/>
        <v>0.009335676588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IFERROR(__xludf.DUMMYFUNCTION("""COMPUTED_VALUE"""),46275.64583333333)</f>
        <v>46275.64583</v>
      </c>
      <c r="C101" s="1">
        <f>IFERROR(__xludf.DUMMYFUNCTION("""COMPUTED_VALUE"""),153.46)</f>
        <v>153.46</v>
      </c>
      <c r="D101" s="1"/>
      <c r="E101" s="112">
        <f>IFERROR(__xludf.DUMMYFUNCTION("""COMPUTED_VALUE"""),46275.64583333333)</f>
        <v>46275.64583</v>
      </c>
      <c r="F101" s="1">
        <f>IFERROR(__xludf.DUMMYFUNCTION("""COMPUTED_VALUE"""),174.49)</f>
        <v>174.49</v>
      </c>
      <c r="G101" s="1"/>
      <c r="H101" s="29">
        <f t="shared" si="4"/>
        <v>0.8794773339</v>
      </c>
      <c r="I101" s="1">
        <f t="shared" si="5"/>
        <v>-21.03</v>
      </c>
      <c r="J101" s="113">
        <f t="shared" si="6"/>
        <v>-0.5216094388</v>
      </c>
      <c r="K101" s="29">
        <f t="shared" si="7"/>
        <v>0.8794773339</v>
      </c>
      <c r="L101" s="65">
        <f t="shared" si="8"/>
        <v>150.6995</v>
      </c>
      <c r="M101" s="25">
        <f t="shared" si="9"/>
        <v>0.01798840089</v>
      </c>
      <c r="N101" s="65">
        <f t="shared" si="10"/>
        <v>173.826</v>
      </c>
      <c r="O101" s="25">
        <f t="shared" si="11"/>
        <v>0.003805375666</v>
      </c>
      <c r="P101" s="25">
        <f t="shared" si="12"/>
        <v>0.01418302522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IFERROR(__xludf.DUMMYFUNCTION("""COMPUTED_VALUE"""),46276.64583333333)</f>
        <v>46276.64583</v>
      </c>
      <c r="C102" s="1">
        <f>IFERROR(__xludf.DUMMYFUNCTION("""COMPUTED_VALUE"""),151.98)</f>
        <v>151.98</v>
      </c>
      <c r="D102" s="1"/>
      <c r="E102" s="112">
        <f>IFERROR(__xludf.DUMMYFUNCTION("""COMPUTED_VALUE"""),46276.64583333333)</f>
        <v>46276.64583</v>
      </c>
      <c r="F102" s="1">
        <f>IFERROR(__xludf.DUMMYFUNCTION("""COMPUTED_VALUE"""),173.62)</f>
        <v>173.62</v>
      </c>
      <c r="G102" s="1"/>
      <c r="H102" s="29">
        <f t="shared" si="4"/>
        <v>0.8753599816</v>
      </c>
      <c r="I102" s="1">
        <f t="shared" si="5"/>
        <v>-21.64</v>
      </c>
      <c r="J102" s="113">
        <f t="shared" si="6"/>
        <v>-0.5855108629</v>
      </c>
      <c r="K102" s="29">
        <f t="shared" si="7"/>
        <v>0.8753599816</v>
      </c>
      <c r="L102" s="65">
        <f t="shared" si="8"/>
        <v>150.7135</v>
      </c>
      <c r="M102" s="25">
        <f t="shared" si="9"/>
        <v>0.008333333333</v>
      </c>
      <c r="N102" s="65">
        <f t="shared" si="10"/>
        <v>173.762</v>
      </c>
      <c r="O102" s="25">
        <f t="shared" si="11"/>
        <v>-0.0008178781246</v>
      </c>
      <c r="P102" s="25">
        <f t="shared" si="12"/>
        <v>0.009151211458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IFERROR(__xludf.DUMMYFUNCTION("""COMPUTED_VALUE"""),46280.64583333333)</f>
        <v>46280.64583</v>
      </c>
      <c r="C103" s="1">
        <f>IFERROR(__xludf.DUMMYFUNCTION("""COMPUTED_VALUE"""),150.03)</f>
        <v>150.03</v>
      </c>
      <c r="D103" s="1"/>
      <c r="E103" s="112">
        <f>IFERROR(__xludf.DUMMYFUNCTION("""COMPUTED_VALUE"""),46280.64583333333)</f>
        <v>46280.64583</v>
      </c>
      <c r="F103" s="1">
        <f>IFERROR(__xludf.DUMMYFUNCTION("""COMPUTED_VALUE"""),170.88)</f>
        <v>170.88</v>
      </c>
      <c r="G103" s="1"/>
      <c r="H103" s="29">
        <f t="shared" si="4"/>
        <v>0.8779845506</v>
      </c>
      <c r="I103" s="1">
        <f t="shared" si="5"/>
        <v>-20.85</v>
      </c>
      <c r="J103" s="113">
        <f t="shared" si="6"/>
        <v>-0.5027532808</v>
      </c>
      <c r="K103" s="29">
        <f t="shared" si="7"/>
        <v>0.8779845506</v>
      </c>
      <c r="L103" s="65">
        <f t="shared" si="8"/>
        <v>150.665</v>
      </c>
      <c r="M103" s="25">
        <f t="shared" si="9"/>
        <v>-0.004232486836</v>
      </c>
      <c r="N103" s="65">
        <f t="shared" si="10"/>
        <v>173.701</v>
      </c>
      <c r="O103" s="25">
        <f t="shared" si="11"/>
        <v>-0.01650866105</v>
      </c>
      <c r="P103" s="25">
        <f t="shared" si="12"/>
        <v>0.01227617421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IFERROR(__xludf.DUMMYFUNCTION("""COMPUTED_VALUE"""),46281.64583333333)</f>
        <v>46281.64583</v>
      </c>
      <c r="C104" s="1">
        <f>IFERROR(__xludf.DUMMYFUNCTION("""COMPUTED_VALUE"""),148.77)</f>
        <v>148.77</v>
      </c>
      <c r="D104" s="1"/>
      <c r="E104" s="112">
        <f>IFERROR(__xludf.DUMMYFUNCTION("""COMPUTED_VALUE"""),46281.64583333333)</f>
        <v>46281.64583</v>
      </c>
      <c r="F104" s="1">
        <f>IFERROR(__xludf.DUMMYFUNCTION("""COMPUTED_VALUE"""),170.65)</f>
        <v>170.65</v>
      </c>
      <c r="G104" s="1"/>
      <c r="H104" s="29">
        <f t="shared" si="4"/>
        <v>0.8717843539</v>
      </c>
      <c r="I104" s="1">
        <f t="shared" si="5"/>
        <v>-21.88</v>
      </c>
      <c r="J104" s="113">
        <f t="shared" si="6"/>
        <v>-0.6106524068</v>
      </c>
      <c r="K104" s="29">
        <f t="shared" si="7"/>
        <v>0.8717843539</v>
      </c>
      <c r="L104" s="65">
        <f t="shared" si="8"/>
        <v>150.634</v>
      </c>
      <c r="M104" s="25">
        <f t="shared" si="9"/>
        <v>-0.01252940781</v>
      </c>
      <c r="N104" s="65">
        <f t="shared" si="10"/>
        <v>173.5585</v>
      </c>
      <c r="O104" s="25">
        <f t="shared" si="11"/>
        <v>-0.01704365661</v>
      </c>
      <c r="P104" s="25">
        <f t="shared" si="12"/>
        <v>0.004514248796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IFERROR(__xludf.DUMMYFUNCTION("""COMPUTED_VALUE"""),46282.64583333333)</f>
        <v>46282.64583</v>
      </c>
      <c r="C105" s="1">
        <f>IFERROR(__xludf.DUMMYFUNCTION("""COMPUTED_VALUE"""),148.67)</f>
        <v>148.67</v>
      </c>
      <c r="D105" s="1"/>
      <c r="E105" s="112">
        <f>IFERROR(__xludf.DUMMYFUNCTION("""COMPUTED_VALUE"""),46282.64583333333)</f>
        <v>46282.64583</v>
      </c>
      <c r="F105" s="1">
        <f>IFERROR(__xludf.DUMMYFUNCTION("""COMPUTED_VALUE"""),172.0)</f>
        <v>172</v>
      </c>
      <c r="G105" s="1"/>
      <c r="H105" s="29">
        <f t="shared" si="4"/>
        <v>0.8643604651</v>
      </c>
      <c r="I105" s="1">
        <f t="shared" si="5"/>
        <v>-23.33</v>
      </c>
      <c r="J105" s="113">
        <f t="shared" si="6"/>
        <v>-0.7625492346</v>
      </c>
      <c r="K105" s="29">
        <f t="shared" si="7"/>
        <v>0.8643604651</v>
      </c>
      <c r="L105" s="65">
        <f t="shared" si="8"/>
        <v>150.4355</v>
      </c>
      <c r="M105" s="25">
        <f t="shared" si="9"/>
        <v>-0.01187529428</v>
      </c>
      <c r="N105" s="65">
        <f t="shared" si="10"/>
        <v>173.5335</v>
      </c>
      <c r="O105" s="25">
        <f t="shared" si="11"/>
        <v>-0.008915697674</v>
      </c>
      <c r="P105" s="25">
        <f t="shared" si="12"/>
        <v>-0.002959596601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IFERROR(__xludf.DUMMYFUNCTION("""COMPUTED_VALUE"""),46283.64583333333)</f>
        <v>46283.64583</v>
      </c>
      <c r="C106" s="1">
        <f>IFERROR(__xludf.DUMMYFUNCTION("""COMPUTED_VALUE"""),148.56)</f>
        <v>148.56</v>
      </c>
      <c r="D106" s="1"/>
      <c r="E106" s="112">
        <f>IFERROR(__xludf.DUMMYFUNCTION("""COMPUTED_VALUE"""),46283.64583333333)</f>
        <v>46283.64583</v>
      </c>
      <c r="F106" s="1">
        <f>IFERROR(__xludf.DUMMYFUNCTION("""COMPUTED_VALUE"""),173.9)</f>
        <v>173.9</v>
      </c>
      <c r="G106" s="1"/>
      <c r="H106" s="29">
        <f t="shared" si="4"/>
        <v>0.8542840713</v>
      </c>
      <c r="I106" s="1">
        <f t="shared" si="5"/>
        <v>-25.34</v>
      </c>
      <c r="J106" s="113">
        <f t="shared" si="6"/>
        <v>-0.9731096648</v>
      </c>
      <c r="K106" s="29">
        <f t="shared" si="7"/>
        <v>0.8542840713</v>
      </c>
      <c r="L106" s="65">
        <f t="shared" si="8"/>
        <v>150.336</v>
      </c>
      <c r="M106" s="25">
        <f t="shared" si="9"/>
        <v>-0.01195476575</v>
      </c>
      <c r="N106" s="65">
        <f t="shared" si="10"/>
        <v>173.6035</v>
      </c>
      <c r="O106" s="25">
        <f t="shared" si="11"/>
        <v>0.001705002875</v>
      </c>
      <c r="P106" s="25">
        <f t="shared" si="12"/>
        <v>-0.01365976863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IFERROR(__xludf.DUMMYFUNCTION("""COMPUTED_VALUE"""),46286.64583333333)</f>
        <v>46286.64583</v>
      </c>
      <c r="C107" s="1">
        <f>IFERROR(__xludf.DUMMYFUNCTION("""COMPUTED_VALUE"""),148.85)</f>
        <v>148.85</v>
      </c>
      <c r="D107" s="1"/>
      <c r="E107" s="112">
        <f>IFERROR(__xludf.DUMMYFUNCTION("""COMPUTED_VALUE"""),46286.64583333333)</f>
        <v>46286.64583</v>
      </c>
      <c r="F107" s="1">
        <f>IFERROR(__xludf.DUMMYFUNCTION("""COMPUTED_VALUE"""),172.61)</f>
        <v>172.61</v>
      </c>
      <c r="G107" s="1"/>
      <c r="H107" s="29">
        <f t="shared" si="4"/>
        <v>0.8623486472</v>
      </c>
      <c r="I107" s="1">
        <f t="shared" si="5"/>
        <v>-23.76</v>
      </c>
      <c r="J107" s="113">
        <f t="shared" si="6"/>
        <v>-0.8075945007</v>
      </c>
      <c r="K107" s="29">
        <f t="shared" si="7"/>
        <v>0.8623486472</v>
      </c>
      <c r="L107" s="65">
        <f t="shared" si="8"/>
        <v>150.385</v>
      </c>
      <c r="M107" s="25">
        <f t="shared" si="9"/>
        <v>-0.01031239503</v>
      </c>
      <c r="N107" s="65">
        <f t="shared" si="10"/>
        <v>173.634</v>
      </c>
      <c r="O107" s="25">
        <f t="shared" si="11"/>
        <v>-0.005932448873</v>
      </c>
      <c r="P107" s="25">
        <f t="shared" si="12"/>
        <v>-0.004379946155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IFERROR(__xludf.DUMMYFUNCTION("""COMPUTED_VALUE"""),46287.64583333333)</f>
        <v>46287.64583</v>
      </c>
      <c r="C108" s="1">
        <f>IFERROR(__xludf.DUMMYFUNCTION("""COMPUTED_VALUE"""),146.68)</f>
        <v>146.68</v>
      </c>
      <c r="D108" s="1"/>
      <c r="E108" s="112">
        <f>IFERROR(__xludf.DUMMYFUNCTION("""COMPUTED_VALUE"""),46287.64583333333)</f>
        <v>46287.64583</v>
      </c>
      <c r="F108" s="1">
        <f>IFERROR(__xludf.DUMMYFUNCTION("""COMPUTED_VALUE"""),171.84)</f>
        <v>171.84</v>
      </c>
      <c r="G108" s="1"/>
      <c r="H108" s="29">
        <f t="shared" si="4"/>
        <v>0.85358473</v>
      </c>
      <c r="I108" s="1">
        <f t="shared" si="5"/>
        <v>-25.16</v>
      </c>
      <c r="J108" s="113">
        <f t="shared" si="6"/>
        <v>-0.9542535069</v>
      </c>
      <c r="K108" s="29">
        <f t="shared" si="7"/>
        <v>0.85358473</v>
      </c>
      <c r="L108" s="65">
        <f t="shared" si="8"/>
        <v>150.333</v>
      </c>
      <c r="M108" s="25">
        <f t="shared" si="9"/>
        <v>-0.02490455413</v>
      </c>
      <c r="N108" s="65">
        <f t="shared" si="10"/>
        <v>173.5385</v>
      </c>
      <c r="O108" s="25">
        <f t="shared" si="11"/>
        <v>-0.0098841946</v>
      </c>
      <c r="P108" s="25">
        <f t="shared" si="12"/>
        <v>-0.01502035953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IFERROR(__xludf.DUMMYFUNCTION("""COMPUTED_VALUE"""),46288.64583333333)</f>
        <v>46288.64583</v>
      </c>
      <c r="C109" s="1">
        <f>IFERROR(__xludf.DUMMYFUNCTION("""COMPUTED_VALUE"""),147.09)</f>
        <v>147.09</v>
      </c>
      <c r="D109" s="1"/>
      <c r="E109" s="112">
        <f>IFERROR(__xludf.DUMMYFUNCTION("""COMPUTED_VALUE"""),46288.64583333333)</f>
        <v>46288.64583</v>
      </c>
      <c r="F109" s="1">
        <f>IFERROR(__xludf.DUMMYFUNCTION("""COMPUTED_VALUE"""),172.95)</f>
        <v>172.95</v>
      </c>
      <c r="G109" s="1"/>
      <c r="H109" s="29">
        <f t="shared" si="4"/>
        <v>0.8504770165</v>
      </c>
      <c r="I109" s="1">
        <f t="shared" si="5"/>
        <v>-25.86</v>
      </c>
      <c r="J109" s="113">
        <f t="shared" si="6"/>
        <v>-1.02758301</v>
      </c>
      <c r="K109" s="29">
        <f t="shared" si="7"/>
        <v>0.8504770165</v>
      </c>
      <c r="L109" s="65">
        <f t="shared" si="8"/>
        <v>150.2535</v>
      </c>
      <c r="M109" s="25">
        <f t="shared" si="9"/>
        <v>-0.02150724047</v>
      </c>
      <c r="N109" s="65">
        <f t="shared" si="10"/>
        <v>173.411</v>
      </c>
      <c r="O109" s="25">
        <f t="shared" si="11"/>
        <v>-0.002665510263</v>
      </c>
      <c r="P109" s="25">
        <f t="shared" si="12"/>
        <v>-0.0188417302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IFERROR(__xludf.DUMMYFUNCTION("""COMPUTED_VALUE"""),46289.64583333333)</f>
        <v>46289.64583</v>
      </c>
      <c r="C110" s="1">
        <f>IFERROR(__xludf.DUMMYFUNCTION("""COMPUTED_VALUE"""),145.74)</f>
        <v>145.74</v>
      </c>
      <c r="D110" s="1"/>
      <c r="E110" s="112">
        <f>IFERROR(__xludf.DUMMYFUNCTION("""COMPUTED_VALUE"""),46289.64583333333)</f>
        <v>46289.64583</v>
      </c>
      <c r="F110" s="1">
        <f>IFERROR(__xludf.DUMMYFUNCTION("""COMPUTED_VALUE"""),173.85)</f>
        <v>173.85</v>
      </c>
      <c r="G110" s="1"/>
      <c r="H110" s="29">
        <f t="shared" si="4"/>
        <v>0.838308887</v>
      </c>
      <c r="I110" s="1">
        <f t="shared" si="5"/>
        <v>-28.11</v>
      </c>
      <c r="J110" s="113">
        <f t="shared" si="6"/>
        <v>-1.263284984</v>
      </c>
      <c r="K110" s="29">
        <f t="shared" si="7"/>
        <v>0.838308887</v>
      </c>
      <c r="L110" s="65">
        <f t="shared" si="8"/>
        <v>150.1045</v>
      </c>
      <c r="M110" s="25">
        <f t="shared" si="9"/>
        <v>-0.02994716619</v>
      </c>
      <c r="N110" s="65">
        <f t="shared" si="10"/>
        <v>173.379</v>
      </c>
      <c r="O110" s="25">
        <f t="shared" si="11"/>
        <v>0.002709232097</v>
      </c>
      <c r="P110" s="25">
        <f t="shared" si="12"/>
        <v>-0.03265639828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IFERROR(__xludf.DUMMYFUNCTION("""COMPUTED_VALUE"""),46290.64583333333)</f>
        <v>46290.64583</v>
      </c>
      <c r="C111" s="1">
        <f>IFERROR(__xludf.DUMMYFUNCTION("""COMPUTED_VALUE"""),144.95)</f>
        <v>144.95</v>
      </c>
      <c r="D111" s="1"/>
      <c r="E111" s="112">
        <f>IFERROR(__xludf.DUMMYFUNCTION("""COMPUTED_VALUE"""),46290.64583333333)</f>
        <v>46290.64583</v>
      </c>
      <c r="F111" s="1">
        <f>IFERROR(__xludf.DUMMYFUNCTION("""COMPUTED_VALUE"""),172.7)</f>
        <v>172.7</v>
      </c>
      <c r="G111" s="1"/>
      <c r="H111" s="29">
        <f t="shared" si="4"/>
        <v>0.8393167342</v>
      </c>
      <c r="I111" s="1">
        <f t="shared" si="5"/>
        <v>-27.75</v>
      </c>
      <c r="J111" s="113">
        <f t="shared" si="6"/>
        <v>-1.225572668</v>
      </c>
      <c r="K111" s="29">
        <f t="shared" si="7"/>
        <v>0.8393167342</v>
      </c>
      <c r="L111" s="65">
        <f t="shared" si="8"/>
        <v>149.9935</v>
      </c>
      <c r="M111" s="25">
        <f t="shared" si="9"/>
        <v>-0.03479475681</v>
      </c>
      <c r="N111" s="65">
        <f t="shared" si="10"/>
        <v>173.392</v>
      </c>
      <c r="O111" s="25">
        <f t="shared" si="11"/>
        <v>-0.004006948466</v>
      </c>
      <c r="P111" s="25">
        <f t="shared" si="12"/>
        <v>-0.03078780835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IFERROR(__xludf.DUMMYFUNCTION("""COMPUTED_VALUE"""),46293.64583333333)</f>
        <v>46293.64583</v>
      </c>
      <c r="C112" s="1">
        <f>IFERROR(__xludf.DUMMYFUNCTION("""COMPUTED_VALUE"""),143.44)</f>
        <v>143.44</v>
      </c>
      <c r="D112" s="1"/>
      <c r="E112" s="112">
        <f>IFERROR(__xludf.DUMMYFUNCTION("""COMPUTED_VALUE"""),46293.64583333333)</f>
        <v>46293.64583</v>
      </c>
      <c r="F112" s="1">
        <f>IFERROR(__xludf.DUMMYFUNCTION("""COMPUTED_VALUE"""),172.45)</f>
        <v>172.45</v>
      </c>
      <c r="G112" s="1"/>
      <c r="H112" s="29">
        <f t="shared" si="4"/>
        <v>0.8317773268</v>
      </c>
      <c r="I112" s="1">
        <f t="shared" si="5"/>
        <v>-29.01</v>
      </c>
      <c r="J112" s="113">
        <f t="shared" si="6"/>
        <v>-1.357565774</v>
      </c>
      <c r="K112" s="29">
        <f t="shared" si="7"/>
        <v>0.8317773268</v>
      </c>
      <c r="L112" s="65">
        <f t="shared" si="8"/>
        <v>149.785</v>
      </c>
      <c r="M112" s="25">
        <f t="shared" si="9"/>
        <v>-0.04423452315</v>
      </c>
      <c r="N112" s="65">
        <f t="shared" si="10"/>
        <v>173.4595</v>
      </c>
      <c r="O112" s="25">
        <f t="shared" si="11"/>
        <v>-0.005853870687</v>
      </c>
      <c r="P112" s="25">
        <f t="shared" si="12"/>
        <v>-0.03838065246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IFERROR(__xludf.DUMMYFUNCTION("""COMPUTED_VALUE"""),46294.64583333333)</f>
        <v>46294.64583</v>
      </c>
      <c r="C113" s="1">
        <f>IFERROR(__xludf.DUMMYFUNCTION("""COMPUTED_VALUE"""),142.02)</f>
        <v>142.02</v>
      </c>
      <c r="D113" s="1"/>
      <c r="E113" s="112">
        <f>IFERROR(__xludf.DUMMYFUNCTION("""COMPUTED_VALUE"""),46294.64583333333)</f>
        <v>46294.64583</v>
      </c>
      <c r="F113" s="1">
        <f>IFERROR(__xludf.DUMMYFUNCTION("""COMPUTED_VALUE"""),170.04)</f>
        <v>170.04</v>
      </c>
      <c r="G113" s="1"/>
      <c r="H113" s="29">
        <f t="shared" si="4"/>
        <v>0.8352152435</v>
      </c>
      <c r="I113" s="1">
        <f t="shared" si="5"/>
        <v>-28.02</v>
      </c>
      <c r="J113" s="113">
        <f t="shared" si="6"/>
        <v>-1.253856905</v>
      </c>
      <c r="K113" s="29">
        <f t="shared" si="7"/>
        <v>0.8352152435</v>
      </c>
      <c r="L113" s="65">
        <f t="shared" si="8"/>
        <v>149.3615</v>
      </c>
      <c r="M113" s="25">
        <f t="shared" si="9"/>
        <v>-0.05169342346</v>
      </c>
      <c r="N113" s="65">
        <f t="shared" si="10"/>
        <v>173.0865</v>
      </c>
      <c r="O113" s="25">
        <f t="shared" si="11"/>
        <v>-0.01791637262</v>
      </c>
      <c r="P113" s="25">
        <f t="shared" si="12"/>
        <v>-0.03377705084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IFERROR(__xludf.DUMMYFUNCTION("""COMPUTED_VALUE"""),46295.64583333333)</f>
        <v>46295.64583</v>
      </c>
      <c r="C114" s="1">
        <f>IFERROR(__xludf.DUMMYFUNCTION("""COMPUTED_VALUE"""),145.61)</f>
        <v>145.61</v>
      </c>
      <c r="D114" s="1"/>
      <c r="E114" s="112">
        <f>IFERROR(__xludf.DUMMYFUNCTION("""COMPUTED_VALUE"""),46295.64583333333)</f>
        <v>46295.64583</v>
      </c>
      <c r="F114" s="1">
        <f>IFERROR(__xludf.DUMMYFUNCTION("""COMPUTED_VALUE"""),170.55)</f>
        <v>170.55</v>
      </c>
      <c r="G114" s="1"/>
      <c r="H114" s="29">
        <f t="shared" si="4"/>
        <v>0.8537672237</v>
      </c>
      <c r="I114" s="1">
        <f t="shared" si="5"/>
        <v>-24.94</v>
      </c>
      <c r="J114" s="113">
        <f t="shared" si="6"/>
        <v>-0.9312070916</v>
      </c>
      <c r="K114" s="29">
        <f t="shared" si="7"/>
        <v>0.8537672237</v>
      </c>
      <c r="L114" s="65">
        <f t="shared" si="8"/>
        <v>149.1495</v>
      </c>
      <c r="M114" s="25">
        <f t="shared" si="9"/>
        <v>-0.02430808324</v>
      </c>
      <c r="N114" s="65">
        <f t="shared" si="10"/>
        <v>172.9795</v>
      </c>
      <c r="O114" s="25">
        <f t="shared" si="11"/>
        <v>-0.01424508942</v>
      </c>
      <c r="P114" s="25">
        <f t="shared" si="12"/>
        <v>-0.01006299382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IFERROR(__xludf.DUMMYFUNCTION("""COMPUTED_VALUE"""),46296.64583333333)</f>
        <v>46296.64583</v>
      </c>
      <c r="C115" s="1">
        <f>IFERROR(__xludf.DUMMYFUNCTION("""COMPUTED_VALUE"""),142.79)</f>
        <v>142.79</v>
      </c>
      <c r="D115" s="1"/>
      <c r="E115" s="112">
        <f>IFERROR(__xludf.DUMMYFUNCTION("""COMPUTED_VALUE"""),46296.64583333333)</f>
        <v>46296.64583</v>
      </c>
      <c r="F115" s="1">
        <f>IFERROR(__xludf.DUMMYFUNCTION("""COMPUTED_VALUE"""),171.22)</f>
        <v>171.22</v>
      </c>
      <c r="G115" s="1"/>
      <c r="H115" s="29">
        <f t="shared" si="4"/>
        <v>0.8339563135</v>
      </c>
      <c r="I115" s="1">
        <f t="shared" si="5"/>
        <v>-28.43</v>
      </c>
      <c r="J115" s="113">
        <f t="shared" si="6"/>
        <v>-1.296807043</v>
      </c>
      <c r="K115" s="29">
        <f t="shared" si="7"/>
        <v>0.8339563135</v>
      </c>
      <c r="L115" s="65">
        <f t="shared" si="8"/>
        <v>148.892</v>
      </c>
      <c r="M115" s="25">
        <f t="shared" si="9"/>
        <v>-0.04273408502</v>
      </c>
      <c r="N115" s="65">
        <f t="shared" si="10"/>
        <v>172.8905</v>
      </c>
      <c r="O115" s="25">
        <f t="shared" si="11"/>
        <v>-0.009756453685</v>
      </c>
      <c r="P115" s="25">
        <f t="shared" si="12"/>
        <v>-0.03297763133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IFERROR(__xludf.DUMMYFUNCTION("""COMPUTED_VALUE"""),46300.64583333333)</f>
        <v>46300.64583</v>
      </c>
      <c r="C116" s="1">
        <f>IFERROR(__xludf.DUMMYFUNCTION("""COMPUTED_VALUE"""),142.1)</f>
        <v>142.1</v>
      </c>
      <c r="D116" s="1"/>
      <c r="E116" s="112">
        <f>IFERROR(__xludf.DUMMYFUNCTION("""COMPUTED_VALUE"""),46300.64583333333)</f>
        <v>46300.64583</v>
      </c>
      <c r="F116" s="1">
        <f>IFERROR(__xludf.DUMMYFUNCTION("""COMPUTED_VALUE"""),167.5)</f>
        <v>167.5</v>
      </c>
      <c r="G116" s="1"/>
      <c r="H116" s="29">
        <f t="shared" si="4"/>
        <v>0.848358209</v>
      </c>
      <c r="I116" s="1">
        <f t="shared" si="5"/>
        <v>-25.4</v>
      </c>
      <c r="J116" s="113">
        <f t="shared" si="6"/>
        <v>-0.9793950508</v>
      </c>
      <c r="K116" s="29">
        <f t="shared" si="7"/>
        <v>0.848358209</v>
      </c>
      <c r="L116" s="65">
        <f t="shared" si="8"/>
        <v>148.526</v>
      </c>
      <c r="M116" s="25">
        <f t="shared" si="9"/>
        <v>-0.04522167488</v>
      </c>
      <c r="N116" s="65">
        <f t="shared" si="10"/>
        <v>172.532</v>
      </c>
      <c r="O116" s="25">
        <f t="shared" si="11"/>
        <v>-0.03004179104</v>
      </c>
      <c r="P116" s="25">
        <f t="shared" si="12"/>
        <v>-0.01517988383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IFERROR(__xludf.DUMMYFUNCTION("""COMPUTED_VALUE"""),46301.64583333333)</f>
        <v>46301.64583</v>
      </c>
      <c r="C117" s="1">
        <f>IFERROR(__xludf.DUMMYFUNCTION("""COMPUTED_VALUE"""),141.38)</f>
        <v>141.38</v>
      </c>
      <c r="D117" s="1"/>
      <c r="E117" s="112">
        <f>IFERROR(__xludf.DUMMYFUNCTION("""COMPUTED_VALUE"""),46301.64583333333)</f>
        <v>46301.64583</v>
      </c>
      <c r="F117" s="1">
        <f>IFERROR(__xludf.DUMMYFUNCTION("""COMPUTED_VALUE"""),172.08)</f>
        <v>172.08</v>
      </c>
      <c r="G117" s="1"/>
      <c r="H117" s="29">
        <f t="shared" si="4"/>
        <v>0.8215946072</v>
      </c>
      <c r="I117" s="1">
        <f t="shared" si="5"/>
        <v>-30.7</v>
      </c>
      <c r="J117" s="113">
        <f t="shared" si="6"/>
        <v>-1.534604145</v>
      </c>
      <c r="K117" s="29">
        <f t="shared" si="7"/>
        <v>0.8215946072</v>
      </c>
      <c r="L117" s="65">
        <f t="shared" si="8"/>
        <v>147.693</v>
      </c>
      <c r="M117" s="25">
        <f t="shared" si="9"/>
        <v>-0.04465270901</v>
      </c>
      <c r="N117" s="65">
        <f t="shared" si="10"/>
        <v>172.466</v>
      </c>
      <c r="O117" s="25">
        <f t="shared" si="11"/>
        <v>-0.002243142724</v>
      </c>
      <c r="P117" s="25">
        <f t="shared" si="12"/>
        <v>-0.04240956629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IFERROR(__xludf.DUMMYFUNCTION("""COMPUTED_VALUE"""),46302.64583333333)</f>
        <v>46302.64583</v>
      </c>
      <c r="C118" s="1">
        <f>IFERROR(__xludf.DUMMYFUNCTION("""COMPUTED_VALUE"""),146.35)</f>
        <v>146.35</v>
      </c>
      <c r="D118" s="1"/>
      <c r="E118" s="112">
        <f>IFERROR(__xludf.DUMMYFUNCTION("""COMPUTED_VALUE"""),46302.64583333333)</f>
        <v>46302.64583</v>
      </c>
      <c r="F118" s="1">
        <f>IFERROR(__xludf.DUMMYFUNCTION("""COMPUTED_VALUE"""),170.71)</f>
        <v>170.71</v>
      </c>
      <c r="G118" s="1"/>
      <c r="H118" s="29">
        <f t="shared" si="4"/>
        <v>0.857301857</v>
      </c>
      <c r="I118" s="1">
        <f t="shared" si="5"/>
        <v>-24.36</v>
      </c>
      <c r="J118" s="113">
        <f t="shared" si="6"/>
        <v>-0.8704483605</v>
      </c>
      <c r="K118" s="29">
        <f t="shared" si="7"/>
        <v>0.857301857</v>
      </c>
      <c r="L118" s="65">
        <f t="shared" si="8"/>
        <v>147.2705</v>
      </c>
      <c r="M118" s="25">
        <f t="shared" si="9"/>
        <v>-0.006289716433</v>
      </c>
      <c r="N118" s="65">
        <f t="shared" si="10"/>
        <v>172.2015</v>
      </c>
      <c r="O118" s="25">
        <f t="shared" si="11"/>
        <v>-0.008737039424</v>
      </c>
      <c r="P118" s="25">
        <f t="shared" si="12"/>
        <v>0.00244732299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IFERROR(__xludf.DUMMYFUNCTION("""COMPUTED_VALUE"""),46303.64583333333)</f>
        <v>46303.64583</v>
      </c>
      <c r="C119" s="1">
        <f>IFERROR(__xludf.DUMMYFUNCTION("""COMPUTED_VALUE"""),142.03)</f>
        <v>142.03</v>
      </c>
      <c r="D119" s="1"/>
      <c r="E119" s="112">
        <f>IFERROR(__xludf.DUMMYFUNCTION("""COMPUTED_VALUE"""),46303.64583333333)</f>
        <v>46303.64583</v>
      </c>
      <c r="F119" s="1">
        <f>IFERROR(__xludf.DUMMYFUNCTION("""COMPUTED_VALUE"""),167.7)</f>
        <v>167.7</v>
      </c>
      <c r="G119" s="1"/>
      <c r="H119" s="29">
        <f t="shared" si="4"/>
        <v>0.84692904</v>
      </c>
      <c r="I119" s="1"/>
      <c r="J119" s="1"/>
      <c r="K119" s="29">
        <f t="shared" si="7"/>
        <v>0.84692904</v>
      </c>
      <c r="L119" s="65">
        <f t="shared" si="8"/>
        <v>146.671</v>
      </c>
      <c r="M119" s="25">
        <f t="shared" si="9"/>
        <v>-0.03267619517</v>
      </c>
      <c r="N119" s="65">
        <f t="shared" si="10"/>
        <v>171.832</v>
      </c>
      <c r="O119" s="25">
        <f t="shared" si="11"/>
        <v>-0.02463923673</v>
      </c>
      <c r="P119" s="25">
        <f t="shared" si="12"/>
        <v>-0.008036958438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12">
        <f>IFERROR(__xludf.DUMMYFUNCTION("""COMPUTED_VALUE"""),46304.64583333333)</f>
        <v>46304.64583</v>
      </c>
      <c r="C120" s="1">
        <f>IFERROR(__xludf.DUMMYFUNCTION("""COMPUTED_VALUE"""),146.15)</f>
        <v>146.15</v>
      </c>
      <c r="D120" s="1"/>
      <c r="E120" s="112">
        <f>IFERROR(__xludf.DUMMYFUNCTION("""COMPUTED_VALUE"""),46304.64583333333)</f>
        <v>46304.64583</v>
      </c>
      <c r="F120" s="1">
        <f>IFERROR(__xludf.DUMMYFUNCTION("""COMPUTED_VALUE"""),166.64)</f>
        <v>166.64</v>
      </c>
      <c r="G120" s="1"/>
      <c r="H120" s="29">
        <f t="shared" si="4"/>
        <v>0.8770403265</v>
      </c>
      <c r="J120" s="1"/>
      <c r="K120" s="269"/>
      <c r="L120" s="65">
        <f>AVERAGE(C100:C120)</f>
        <v>146.6461905</v>
      </c>
      <c r="M120" s="25">
        <f t="shared" si="9"/>
        <v>-0.003395076813</v>
      </c>
      <c r="N120" s="65">
        <f>AVERAGE(F100:F120)</f>
        <v>171.5847619</v>
      </c>
      <c r="O120" s="25">
        <f t="shared" si="11"/>
        <v>-0.02967331916</v>
      </c>
      <c r="P120" s="25">
        <f t="shared" si="12"/>
        <v>0.02627824235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73"/>
      <c r="B121" s="174">
        <f>IFERROR(__xludf.DUMMYFUNCTION("""COMPUTED_VALUE"""),46307.64583333333)</f>
        <v>46307.64583</v>
      </c>
      <c r="C121" s="175">
        <f>IFERROR(__xludf.DUMMYFUNCTION("""COMPUTED_VALUE"""),143.67)</f>
        <v>143.67</v>
      </c>
      <c r="D121" s="175"/>
      <c r="E121" s="174">
        <f>IFERROR(__xludf.DUMMYFUNCTION("""COMPUTED_VALUE"""),46307.64583333333)</f>
        <v>46307.64583</v>
      </c>
      <c r="F121" s="175">
        <f>IFERROR(__xludf.DUMMYFUNCTION("""COMPUTED_VALUE"""),166.91)</f>
        <v>166.91</v>
      </c>
      <c r="G121" s="175"/>
      <c r="H121" s="29">
        <f t="shared" si="4"/>
        <v>0.8607632856</v>
      </c>
      <c r="I121" s="175"/>
      <c r="J121" s="176"/>
      <c r="K121" s="179"/>
      <c r="L121" s="177"/>
      <c r="M121" s="178"/>
      <c r="N121" s="177"/>
      <c r="O121" s="178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</row>
    <row r="122">
      <c r="A122" s="173"/>
      <c r="B122" s="174">
        <f>IFERROR(__xludf.DUMMYFUNCTION("""COMPUTED_VALUE"""),46308.64583333333)</f>
        <v>46308.64583</v>
      </c>
      <c r="C122" s="175">
        <f>IFERROR(__xludf.DUMMYFUNCTION("""COMPUTED_VALUE"""),142.85)</f>
        <v>142.85</v>
      </c>
      <c r="D122" s="175"/>
      <c r="E122" s="174">
        <f>IFERROR(__xludf.DUMMYFUNCTION("""COMPUTED_VALUE"""),46308.64583333333)</f>
        <v>46308.64583</v>
      </c>
      <c r="F122" s="175">
        <f>IFERROR(__xludf.DUMMYFUNCTION("""COMPUTED_VALUE"""),168.3)</f>
        <v>168.3</v>
      </c>
      <c r="G122" s="175"/>
      <c r="H122" s="179"/>
      <c r="I122" s="175"/>
      <c r="J122" s="176"/>
      <c r="K122" s="179"/>
      <c r="L122" s="177"/>
      <c r="M122" s="178"/>
      <c r="N122" s="177"/>
      <c r="O122" s="178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</row>
    <row r="123">
      <c r="A123" s="173"/>
      <c r="B123" s="174">
        <f>IFERROR(__xludf.DUMMYFUNCTION("""COMPUTED_VALUE"""),46309.64583333333)</f>
        <v>46309.64583</v>
      </c>
      <c r="C123" s="175">
        <f>IFERROR(__xludf.DUMMYFUNCTION("""COMPUTED_VALUE"""),145.09)</f>
        <v>145.09</v>
      </c>
      <c r="D123" s="175"/>
      <c r="E123" s="174">
        <f>IFERROR(__xludf.DUMMYFUNCTION("""COMPUTED_VALUE"""),46309.64583333333)</f>
        <v>46309.64583</v>
      </c>
      <c r="F123" s="175">
        <f>IFERROR(__xludf.DUMMYFUNCTION("""COMPUTED_VALUE"""),166.96)</f>
        <v>166.96</v>
      </c>
      <c r="G123" s="175"/>
      <c r="H123" s="179"/>
      <c r="I123" s="175"/>
      <c r="J123" s="176"/>
      <c r="K123" s="179"/>
      <c r="L123" s="177"/>
      <c r="M123" s="178"/>
      <c r="N123" s="177"/>
      <c r="O123" s="178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</row>
    <row r="124">
      <c r="A124" s="173"/>
      <c r="B124" s="174">
        <f>IFERROR(__xludf.DUMMYFUNCTION("""COMPUTED_VALUE"""),46310.64583333333)</f>
        <v>46310.64583</v>
      </c>
      <c r="C124" s="175">
        <f>IFERROR(__xludf.DUMMYFUNCTION("""COMPUTED_VALUE"""),145.14)</f>
        <v>145.14</v>
      </c>
      <c r="D124" s="175"/>
      <c r="E124" s="174">
        <f>IFERROR(__xludf.DUMMYFUNCTION("""COMPUTED_VALUE"""),46310.64583333333)</f>
        <v>46310.64583</v>
      </c>
      <c r="F124" s="175">
        <f>IFERROR(__xludf.DUMMYFUNCTION("""COMPUTED_VALUE"""),169.35)</f>
        <v>169.35</v>
      </c>
      <c r="G124" s="175"/>
      <c r="H124" s="179"/>
      <c r="I124" s="175"/>
      <c r="J124" s="176"/>
      <c r="K124" s="179"/>
      <c r="L124" s="177"/>
      <c r="M124" s="178"/>
      <c r="N124" s="177"/>
      <c r="O124" s="178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</row>
    <row r="125">
      <c r="B125" s="166">
        <f>IFERROR(__xludf.DUMMYFUNCTION("""COMPUTED_VALUE"""),46311.64583333333)</f>
        <v>46311.64583</v>
      </c>
      <c r="C125" s="230">
        <f>IFERROR(__xludf.DUMMYFUNCTION("""COMPUTED_VALUE"""),143.06)</f>
        <v>143.06</v>
      </c>
      <c r="E125" s="166">
        <f>IFERROR(__xludf.DUMMYFUNCTION("""COMPUTED_VALUE"""),46311.64583333333)</f>
        <v>46311.64583</v>
      </c>
      <c r="F125" s="230">
        <f>IFERROR(__xludf.DUMMYFUNCTION("""COMPUTED_VALUE"""),168.1)</f>
        <v>168.1</v>
      </c>
    </row>
    <row r="128">
      <c r="A128" s="173" t="s">
        <v>9</v>
      </c>
      <c r="B128" s="174">
        <f>IFERROR(__xludf.DUMMYFUNCTION("GOOGLEFINANCE(B9,""TRADETIME"")"),46311.64584490741)</f>
        <v>46311.64584</v>
      </c>
      <c r="C128" s="175">
        <f>IFERROR(__xludf.DUMMYFUNCTION("GOOGLEFINANCE(B9,""PRICE"")"),143.03)</f>
        <v>143.03</v>
      </c>
      <c r="D128" s="175"/>
      <c r="E128" s="174">
        <f>IFERROR(__xludf.DUMMYFUNCTION("GOOGLEFINANCE(E9,""TRADETIME"")"),46311.64583333333)</f>
        <v>46311.64583</v>
      </c>
      <c r="F128" s="175">
        <f>IFERROR(__xludf.DUMMYFUNCTION("GOOGLEFINANCE(E9,""PRICE"")"),168.1)</f>
        <v>168.1</v>
      </c>
      <c r="G128" s="175"/>
      <c r="H128" s="179">
        <f>C128/F128</f>
        <v>0.8508625818</v>
      </c>
      <c r="I128" s="175">
        <f>C128-F128</f>
        <v>-25.07</v>
      </c>
      <c r="J128" s="176">
        <f>((I128-$I$129)/$I$130)</f>
        <v>-0.9448254279</v>
      </c>
      <c r="K128" s="179">
        <f>C128/F128</f>
        <v>0.8508625818</v>
      </c>
      <c r="L128" s="177">
        <f>AVERAGE(C73:C109)</f>
        <v>150.9891892</v>
      </c>
      <c r="M128" s="178">
        <f>(C128-L128)/C128</f>
        <v>-0.05564699146</v>
      </c>
      <c r="N128" s="177">
        <f>AVERAGE(F73:F109)</f>
        <v>173.8635135</v>
      </c>
      <c r="O128" s="178">
        <f>(F128-N128)/F128</f>
        <v>-0.03428621959</v>
      </c>
      <c r="P128" s="178">
        <f>M128-O128</f>
        <v>-0.02136077187</v>
      </c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</row>
    <row r="129">
      <c r="A129" s="1"/>
      <c r="B129" s="1"/>
      <c r="C129" s="1"/>
      <c r="D129" s="1"/>
      <c r="E129" s="1"/>
      <c r="F129" s="1"/>
      <c r="G129" s="1"/>
      <c r="H129" s="96" t="s">
        <v>138</v>
      </c>
      <c r="I129" s="177">
        <f>AVERAGE(I11:I118)</f>
        <v>-16.05074074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96" t="s">
        <v>139</v>
      </c>
      <c r="I130" s="189">
        <f>_xlfn.STDEV.P(I11:I117)</f>
        <v>9.545953139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93"/>
      <c r="D131" s="193"/>
      <c r="E131" s="193"/>
      <c r="F131" s="193"/>
      <c r="G131" s="19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5" max="5" width="20.63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18.88"/>
    <col customWidth="1" min="20" max="20" width="26.0"/>
    <col customWidth="1" min="21" max="21" width="18.5"/>
    <col customWidth="1" min="24" max="24" width="13.38"/>
  </cols>
  <sheetData>
    <row r="1">
      <c r="A1" s="1"/>
      <c r="B1" s="2" t="s">
        <v>0</v>
      </c>
      <c r="C1" s="4">
        <f>AVERAGE(C98:C118)</f>
        <v>458.7404762</v>
      </c>
      <c r="D1" s="1"/>
      <c r="E1" s="2" t="s">
        <v>0</v>
      </c>
      <c r="F1" s="4">
        <f>AVERAGE(F98:F118)</f>
        <v>2435.914286</v>
      </c>
      <c r="G1" s="1">
        <f>STDEV(F74:F93)</f>
        <v>58.44637758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202</v>
      </c>
      <c r="V1" s="7" t="s">
        <v>203</v>
      </c>
      <c r="W1" s="7" t="s">
        <v>11</v>
      </c>
      <c r="X1" s="13" t="s">
        <v>12</v>
      </c>
      <c r="Y1" s="1"/>
      <c r="Z1" s="1"/>
      <c r="AA1" s="1"/>
      <c r="AB1" s="1"/>
      <c r="AC1" s="1"/>
    </row>
    <row r="2">
      <c r="A2" s="1"/>
      <c r="B2" s="17" t="s">
        <v>20</v>
      </c>
      <c r="C2" s="19">
        <f>AVERAGE(C18:C88)</f>
        <v>516.6267606</v>
      </c>
      <c r="D2" s="1"/>
      <c r="E2" s="17" t="s">
        <v>20</v>
      </c>
      <c r="F2" s="19">
        <f>AVERAGE(F88:F118)</f>
        <v>2487.951613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0.9138362862</v>
      </c>
      <c r="O2" s="7" t="s">
        <v>25</v>
      </c>
      <c r="P2" s="29">
        <f>AVERAGE(K88:K117)</f>
        <v>0.1893681511</v>
      </c>
      <c r="Q2" s="29">
        <f>MAX(K88:K117)</f>
        <v>0.1997252747</v>
      </c>
      <c r="R2" s="29">
        <f>MIN(K88:K117)</f>
        <v>0.182803586</v>
      </c>
      <c r="S2" s="40">
        <f t="shared" ref="S2:S5" si="1">Q2-R2</f>
        <v>0.01692168874</v>
      </c>
      <c r="T2" s="1">
        <f>MATCH(MAX(K11:K116), K11:K116, 0)</f>
        <v>74</v>
      </c>
      <c r="U2" s="1">
        <f t="array" ref="U2">INDEX(C11:C116, MATCH(MAX(K11:K116), K11:K116, 0))</f>
        <v>541.2</v>
      </c>
      <c r="V2" s="1">
        <f t="array" ref="V2">INDEX(F11:F116, MATCH(MAX(K11:K116), K11:K116, 0))</f>
        <v>2628.4</v>
      </c>
      <c r="W2" s="54">
        <f t="shared" ref="W2:W3" si="2">U2/V2</f>
        <v>0.2059047329</v>
      </c>
      <c r="X2" s="7" t="s">
        <v>2</v>
      </c>
      <c r="Y2" s="1"/>
      <c r="Z2" s="1"/>
      <c r="AA2" s="1"/>
      <c r="AB2" s="1"/>
      <c r="AC2" s="1"/>
    </row>
    <row r="3">
      <c r="A3" s="1">
        <f>STDEV(C75:C93)</f>
        <v>19.48456354</v>
      </c>
      <c r="B3" s="58" t="s">
        <v>61</v>
      </c>
      <c r="C3" s="61">
        <f>max(C98:C118)</f>
        <v>484.5</v>
      </c>
      <c r="D3" s="65">
        <f>C1+A3*2</f>
        <v>497.7096033</v>
      </c>
      <c r="E3" s="58" t="s">
        <v>61</v>
      </c>
      <c r="F3" s="61">
        <f>max(F98:F118)</f>
        <v>2500.9</v>
      </c>
      <c r="G3" s="65">
        <f>F1+G1*2</f>
        <v>2552.807041</v>
      </c>
      <c r="H3" s="1"/>
      <c r="I3" s="1"/>
      <c r="J3" s="1"/>
      <c r="K3" s="1"/>
      <c r="L3" s="1"/>
      <c r="M3" s="7" t="s">
        <v>64</v>
      </c>
      <c r="N3" s="25">
        <f>CORREL(C58:C118,F58:F118)</f>
        <v>0.880136834</v>
      </c>
      <c r="O3" s="7" t="s">
        <v>67</v>
      </c>
      <c r="P3" s="29">
        <f>AVERAGE((K58:K117))</f>
        <v>0.1908127294</v>
      </c>
      <c r="Q3" s="29">
        <f>MAX(K58:K117)</f>
        <v>0.2059047329</v>
      </c>
      <c r="R3" s="29">
        <f>MIN(K58:K117)</f>
        <v>0.1823214684</v>
      </c>
      <c r="S3" s="40">
        <f t="shared" si="1"/>
        <v>0.02358326454</v>
      </c>
      <c r="T3" s="1">
        <f>MATCH(Min(K11:K116), K11:K116, 0)</f>
        <v>53</v>
      </c>
      <c r="U3" s="1">
        <f t="array" ref="U3">INDEX(C11:C116, MATCH(Min(K11:K116), K11:K116, 0))</f>
        <v>490.7</v>
      </c>
      <c r="V3" s="1">
        <f t="array" ref="V3">INDEX(F11:F116, MATCH(MIN(K11:K116), K11:K116, 0))</f>
        <v>2691.4</v>
      </c>
      <c r="W3" s="54">
        <f t="shared" si="2"/>
        <v>0.1823214684</v>
      </c>
      <c r="X3" s="7" t="s">
        <v>3</v>
      </c>
      <c r="Y3" s="1"/>
      <c r="Z3" s="1"/>
      <c r="AA3" s="1"/>
      <c r="AB3" s="1"/>
      <c r="AC3" s="1"/>
    </row>
    <row r="4">
      <c r="A4" s="1"/>
      <c r="B4" s="58" t="s">
        <v>73</v>
      </c>
      <c r="C4" s="61">
        <f>MIN(C98:C118)</f>
        <v>447.1</v>
      </c>
      <c r="D4" s="65">
        <f>C1-A3*2</f>
        <v>419.7713491</v>
      </c>
      <c r="E4" s="58" t="s">
        <v>73</v>
      </c>
      <c r="F4" s="61">
        <f>MIN(F98:F118)</f>
        <v>2366</v>
      </c>
      <c r="G4" s="65">
        <f>F1-G1*2</f>
        <v>2319.021531</v>
      </c>
      <c r="H4" s="1"/>
      <c r="I4" s="1"/>
      <c r="J4" s="1"/>
      <c r="K4" s="1"/>
      <c r="L4" s="1"/>
      <c r="M4" s="7" t="s">
        <v>77</v>
      </c>
      <c r="N4" s="25">
        <f>CORREL(C28:C118,F28:F118)</f>
        <v>0.8362774075</v>
      </c>
      <c r="O4" s="7" t="s">
        <v>79</v>
      </c>
      <c r="P4" s="29">
        <f>AVERAGE(K28:K117)</f>
        <v>0.190756478</v>
      </c>
      <c r="Q4" s="29">
        <f>MAX(K28:K117)</f>
        <v>0.2059047329</v>
      </c>
      <c r="R4" s="29">
        <f>MIN(K28:K117)</f>
        <v>0.1823214684</v>
      </c>
      <c r="S4" s="40">
        <f t="shared" si="1"/>
        <v>0.02358326454</v>
      </c>
      <c r="T4" s="1"/>
      <c r="U4" s="1"/>
      <c r="V4" s="1"/>
      <c r="W4" s="54"/>
      <c r="X4" s="1"/>
      <c r="Y4" s="1"/>
      <c r="Z4" s="1"/>
      <c r="AA4" s="1"/>
      <c r="AB4" s="1"/>
      <c r="AC4" s="1"/>
    </row>
    <row r="5">
      <c r="A5" s="1"/>
      <c r="B5" s="58" t="s">
        <v>81</v>
      </c>
      <c r="C5" s="61">
        <f>max(C108:C118)</f>
        <v>472.55</v>
      </c>
      <c r="D5" s="65">
        <f>C1+A3</f>
        <v>478.2250397</v>
      </c>
      <c r="E5" s="58" t="s">
        <v>81</v>
      </c>
      <c r="F5" s="61">
        <f>max(F108:F118)</f>
        <v>2455</v>
      </c>
      <c r="G5" s="65">
        <f>F1+G1</f>
        <v>2494.360663</v>
      </c>
      <c r="H5" s="1"/>
      <c r="I5" s="1"/>
      <c r="J5" s="1"/>
      <c r="K5" s="1"/>
      <c r="L5" s="1"/>
      <c r="M5" s="7" t="s">
        <v>82</v>
      </c>
      <c r="N5" s="25">
        <f>CORREL(C11:C118,F11:F118)</f>
        <v>0.8177427405</v>
      </c>
      <c r="O5" s="7" t="s">
        <v>83</v>
      </c>
      <c r="P5" s="29">
        <f>AVERAGE(K11:K117)</f>
        <v>0.1914770878</v>
      </c>
      <c r="Q5" s="29">
        <f>MAX(K11:K117)</f>
        <v>0.2059047329</v>
      </c>
      <c r="R5" s="29">
        <f>MIN(K11:K117)</f>
        <v>0.1823214684</v>
      </c>
      <c r="S5" s="40">
        <f t="shared" si="1"/>
        <v>0.02358326454</v>
      </c>
      <c r="T5" s="96" t="s">
        <v>202</v>
      </c>
      <c r="U5" s="96" t="str">
        <f t="shared" ref="U5:U8" si="3">#REF!</f>
        <v>#REF!</v>
      </c>
      <c r="V5" s="99" t="str">
        <f>U2*U7*U5</f>
        <v>#REF!</v>
      </c>
      <c r="W5" s="109" t="str">
        <f>V2*U6*U8</f>
        <v>#REF!</v>
      </c>
      <c r="X5" s="99"/>
      <c r="Y5" s="1"/>
      <c r="Z5" s="1"/>
      <c r="AA5" s="1"/>
      <c r="AB5" s="1"/>
      <c r="AC5" s="1"/>
    </row>
    <row r="6">
      <c r="A6" s="1"/>
      <c r="B6" s="58" t="s">
        <v>87</v>
      </c>
      <c r="C6" s="61">
        <f>MIN(C108:C118)</f>
        <v>448.2</v>
      </c>
      <c r="D6" s="65">
        <f>C1-A3</f>
        <v>439.2559126</v>
      </c>
      <c r="E6" s="58" t="s">
        <v>87</v>
      </c>
      <c r="F6" s="61">
        <f>MIN(F108:F118)</f>
        <v>2366</v>
      </c>
      <c r="G6" s="65">
        <f>F1-G1</f>
        <v>2377.467908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203</v>
      </c>
      <c r="U6" s="96" t="str">
        <f t="shared" si="3"/>
        <v>#REF!</v>
      </c>
      <c r="V6" s="99" t="str">
        <f>U3*U5*U7</f>
        <v>#REF!</v>
      </c>
      <c r="W6" s="99" t="str">
        <f>V3*U6*U8</f>
        <v>#REF!</v>
      </c>
      <c r="X6" s="99"/>
      <c r="Y6" s="109"/>
      <c r="Z6" s="1"/>
      <c r="AA6" s="1"/>
      <c r="AB6" s="1"/>
      <c r="AC6" s="1"/>
    </row>
    <row r="7">
      <c r="A7" s="1"/>
      <c r="B7" s="7" t="s">
        <v>88</v>
      </c>
      <c r="C7" s="1">
        <f>max(C88:C118)</f>
        <v>515.5</v>
      </c>
      <c r="D7" s="1"/>
      <c r="E7" s="7" t="s">
        <v>88</v>
      </c>
      <c r="F7" s="1">
        <f>max(F88:F118)</f>
        <v>2653.6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96" t="s">
        <v>202</v>
      </c>
      <c r="U7" s="7" t="str">
        <f t="shared" si="3"/>
        <v>#REF!</v>
      </c>
      <c r="V7" s="1"/>
      <c r="W7" s="1"/>
      <c r="X7" s="1"/>
      <c r="Y7" s="1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458.7404762</v>
      </c>
      <c r="D8" s="1"/>
      <c r="E8" s="58" t="s">
        <v>90</v>
      </c>
      <c r="F8" s="107">
        <f>AVERAGE(F98:F118)</f>
        <v>2435.914286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96" t="s">
        <v>203</v>
      </c>
      <c r="U8" s="7" t="str">
        <f t="shared" si="3"/>
        <v>#REF!</v>
      </c>
      <c r="V8" s="1"/>
      <c r="W8" s="1"/>
      <c r="X8" s="1"/>
      <c r="Y8" s="1"/>
      <c r="Z8" s="1"/>
      <c r="AA8" s="1"/>
      <c r="AB8" s="1"/>
      <c r="AC8" s="1"/>
    </row>
    <row r="9">
      <c r="A9" s="1"/>
      <c r="B9" s="13" t="s">
        <v>137</v>
      </c>
      <c r="C9" s="1"/>
      <c r="D9" s="1"/>
      <c r="E9" s="13" t="s">
        <v>140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" t="str">
        <f>IFERROR(__xludf.DUMMYFUNCTION("GOOGLEFINANCE(B9,""price"",TODAY()-165,TODAY())"),"Date")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IFERROR(__xludf.DUMMYFUNCTION("GOOGLEFINANCE(E9,""price"",TODAY()-165,TODAY())"),"Date")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106</v>
      </c>
      <c r="M10" s="7" t="s">
        <v>107</v>
      </c>
      <c r="N10" s="7" t="s">
        <v>108</v>
      </c>
      <c r="O10" s="7" t="s">
        <v>109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">
        <v>29</v>
      </c>
      <c r="AA10" s="111" t="s">
        <v>110</v>
      </c>
      <c r="AB10" s="1"/>
      <c r="AC10" s="1"/>
    </row>
    <row r="11">
      <c r="A11" s="1"/>
      <c r="B11" s="112">
        <f>IFERROR(__xludf.DUMMYFUNCTION("""COMPUTED_VALUE"""),46147.64583333333)</f>
        <v>46147.64583</v>
      </c>
      <c r="C11" s="1">
        <f>IFERROR(__xludf.DUMMYFUNCTION("""COMPUTED_VALUE"""),470.6)</f>
        <v>470.6</v>
      </c>
      <c r="D11" s="1"/>
      <c r="E11" s="112">
        <f>IFERROR(__xludf.DUMMYFUNCTION("""COMPUTED_VALUE"""),46147.64583333333)</f>
        <v>46147.64583</v>
      </c>
      <c r="F11" s="1">
        <f>IFERROR(__xludf.DUMMYFUNCTION("""COMPUTED_VALUE"""),2430.0)</f>
        <v>2430</v>
      </c>
      <c r="G11" s="1"/>
      <c r="H11" s="29">
        <f t="shared" ref="H11:H121" si="4">C11/F11</f>
        <v>0.1936625514</v>
      </c>
      <c r="I11" s="1">
        <f t="shared" ref="I11:I120" si="5">C11-F11</f>
        <v>-1959.4</v>
      </c>
      <c r="J11" s="113">
        <f t="shared" ref="J11:J120" si="6">((I11-$I$131)/$I$132)</f>
        <v>1.809323687</v>
      </c>
      <c r="K11" s="29">
        <f t="shared" ref="K11:K114" si="7">C11/F11</f>
        <v>0.1936625514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 t="str">
        <f>V5-V6</f>
        <v>#REF!</v>
      </c>
      <c r="W11" s="120" t="str">
        <f>W6-W5</f>
        <v>#REF!</v>
      </c>
      <c r="X11" s="99" t="str">
        <f>V11+W11</f>
        <v>#REF!</v>
      </c>
      <c r="Y11" s="110" t="s">
        <v>101</v>
      </c>
      <c r="Z11" s="115">
        <f>AVERAGE(C88,C118)</f>
        <v>489.7</v>
      </c>
      <c r="AA11" s="115">
        <f>AVERAGE(F88,F118)</f>
        <v>2506.45</v>
      </c>
      <c r="AB11" s="1"/>
      <c r="AC11" s="1"/>
    </row>
    <row r="12">
      <c r="A12" s="1"/>
      <c r="B12" s="112">
        <f>IFERROR(__xludf.DUMMYFUNCTION("""COMPUTED_VALUE"""),46148.64583333333)</f>
        <v>46148.64583</v>
      </c>
      <c r="C12" s="1">
        <f>IFERROR(__xludf.DUMMYFUNCTION("""COMPUTED_VALUE"""),478.45)</f>
        <v>478.45</v>
      </c>
      <c r="D12" s="1"/>
      <c r="E12" s="112">
        <f>IFERROR(__xludf.DUMMYFUNCTION("""COMPUTED_VALUE"""),46148.64583333333)</f>
        <v>46148.64583</v>
      </c>
      <c r="F12" s="1">
        <f>IFERROR(__xludf.DUMMYFUNCTION("""COMPUTED_VALUE"""),2519.0)</f>
        <v>2519</v>
      </c>
      <c r="G12" s="1"/>
      <c r="H12" s="29">
        <f t="shared" si="4"/>
        <v>0.1899364827</v>
      </c>
      <c r="I12" s="1">
        <f t="shared" si="5"/>
        <v>-2040.55</v>
      </c>
      <c r="J12" s="113">
        <f t="shared" si="6"/>
        <v>0.8928453571</v>
      </c>
      <c r="K12" s="29">
        <f t="shared" si="7"/>
        <v>0.1899364827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S2/3</f>
        <v>0.005640562914</v>
      </c>
      <c r="V12" s="1"/>
      <c r="W12" s="1"/>
      <c r="X12" s="1"/>
      <c r="Y12" s="110" t="s">
        <v>104</v>
      </c>
      <c r="Z12" s="115">
        <f>AVERAGE(C58,C118)</f>
        <v>478.425</v>
      </c>
      <c r="AA12" s="115">
        <f>AVERAGE(F58,F118)</f>
        <v>2512.1</v>
      </c>
      <c r="AB12" s="1"/>
      <c r="AC12" s="1"/>
    </row>
    <row r="13">
      <c r="A13" s="1"/>
      <c r="B13" s="112">
        <f>IFERROR(__xludf.DUMMYFUNCTION("""COMPUTED_VALUE"""),46149.64583333333)</f>
        <v>46149.64583</v>
      </c>
      <c r="C13" s="1">
        <f>IFERROR(__xludf.DUMMYFUNCTION("""COMPUTED_VALUE"""),488.25)</f>
        <v>488.25</v>
      </c>
      <c r="D13" s="1"/>
      <c r="E13" s="112">
        <f>IFERROR(__xludf.DUMMYFUNCTION("""COMPUTED_VALUE"""),46149.64583333333)</f>
        <v>46149.64583</v>
      </c>
      <c r="F13" s="1">
        <f>IFERROR(__xludf.DUMMYFUNCTION("""COMPUTED_VALUE"""),2530.6)</f>
        <v>2530.6</v>
      </c>
      <c r="G13" s="1"/>
      <c r="H13" s="29">
        <f t="shared" si="4"/>
        <v>0.1929384336</v>
      </c>
      <c r="I13" s="1">
        <f t="shared" si="5"/>
        <v>-2042.35</v>
      </c>
      <c r="J13" s="113">
        <f t="shared" si="6"/>
        <v>0.8725168174</v>
      </c>
      <c r="K13" s="29">
        <f t="shared" si="7"/>
        <v>0.1929384336</v>
      </c>
      <c r="L13" s="1"/>
      <c r="M13" s="1"/>
      <c r="N13" s="1"/>
      <c r="O13" s="25"/>
      <c r="P13" s="1"/>
      <c r="Q13" s="1"/>
      <c r="R13" s="1"/>
      <c r="S13" s="9"/>
      <c r="T13" s="117"/>
      <c r="U13" s="118" t="str">
        <f>(X11*U12)/S2</f>
        <v>#REF!</v>
      </c>
      <c r="V13" s="117"/>
      <c r="W13" s="117"/>
      <c r="X13" s="119" t="str">
        <f>X11/(R2/U12)</f>
        <v>#REF!</v>
      </c>
      <c r="Y13" s="110" t="s">
        <v>105</v>
      </c>
      <c r="Z13" s="115">
        <f>AVERAGE(C28,C118)</f>
        <v>482.25</v>
      </c>
      <c r="AA13" s="115">
        <f>AVERAGE(F28,F118)</f>
        <v>2521.85</v>
      </c>
      <c r="AB13" s="1"/>
      <c r="AC13" s="1"/>
    </row>
    <row r="14">
      <c r="A14" s="1"/>
      <c r="B14" s="112">
        <f>IFERROR(__xludf.DUMMYFUNCTION("""COMPUTED_VALUE"""),46150.64583333333)</f>
        <v>46150.64583</v>
      </c>
      <c r="C14" s="1">
        <f>IFERROR(__xludf.DUMMYFUNCTION("""COMPUTED_VALUE"""),515.75)</f>
        <v>515.75</v>
      </c>
      <c r="D14" s="1"/>
      <c r="E14" s="112">
        <f>IFERROR(__xludf.DUMMYFUNCTION("""COMPUTED_VALUE"""),46150.64583333333)</f>
        <v>46150.64583</v>
      </c>
      <c r="F14" s="1">
        <f>IFERROR(__xludf.DUMMYFUNCTION("""COMPUTED_VALUE"""),2599.9)</f>
        <v>2599.9</v>
      </c>
      <c r="G14" s="1"/>
      <c r="H14" s="29">
        <f t="shared" si="4"/>
        <v>0.1983730143</v>
      </c>
      <c r="I14" s="1">
        <f t="shared" si="5"/>
        <v>-2084.15</v>
      </c>
      <c r="J14" s="113">
        <f t="shared" si="6"/>
        <v>0.4004429517</v>
      </c>
      <c r="K14" s="29">
        <f t="shared" si="7"/>
        <v>0.1983730143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3"/>
      <c r="Z14" s="1"/>
      <c r="AA14" s="1"/>
      <c r="AB14" s="1"/>
      <c r="AC14" s="1"/>
    </row>
    <row r="15">
      <c r="A15" s="1"/>
      <c r="B15" s="112">
        <f>IFERROR(__xludf.DUMMYFUNCTION("""COMPUTED_VALUE"""),46153.64583333333)</f>
        <v>46153.64583</v>
      </c>
      <c r="C15" s="1">
        <f>IFERROR(__xludf.DUMMYFUNCTION("""COMPUTED_VALUE"""),493.85)</f>
        <v>493.85</v>
      </c>
      <c r="D15" s="1"/>
      <c r="E15" s="112">
        <f>IFERROR(__xludf.DUMMYFUNCTION("""COMPUTED_VALUE"""),46153.64583333333)</f>
        <v>46153.64583</v>
      </c>
      <c r="F15" s="1">
        <f>IFERROR(__xludf.DUMMYFUNCTION("""COMPUTED_VALUE"""),2566.1)</f>
        <v>2566.1</v>
      </c>
      <c r="G15" s="1"/>
      <c r="H15" s="29">
        <f t="shared" si="4"/>
        <v>0.1924515802</v>
      </c>
      <c r="I15" s="1">
        <f t="shared" si="5"/>
        <v>-2072.25</v>
      </c>
      <c r="J15" s="113">
        <f t="shared" si="6"/>
        <v>0.5348371862</v>
      </c>
      <c r="K15" s="29">
        <f t="shared" si="7"/>
        <v>0.1924515802</v>
      </c>
      <c r="L15" s="1"/>
      <c r="M15" s="1"/>
      <c r="N15" s="1"/>
      <c r="O15" s="1"/>
      <c r="P15" s="1"/>
      <c r="Q15" s="1"/>
      <c r="R15" s="1"/>
      <c r="S15" s="123"/>
      <c r="T15" s="123"/>
      <c r="U15" s="123"/>
      <c r="V15" s="123"/>
      <c r="W15" s="123"/>
      <c r="X15" s="123"/>
      <c r="Y15" s="123"/>
      <c r="Z15" s="1"/>
      <c r="AA15" s="1"/>
      <c r="AB15" s="1"/>
      <c r="AC15" s="1"/>
    </row>
    <row r="16">
      <c r="A16" s="1"/>
      <c r="B16" s="112">
        <f>IFERROR(__xludf.DUMMYFUNCTION("""COMPUTED_VALUE"""),46154.64583333333)</f>
        <v>46154.64583</v>
      </c>
      <c r="C16" s="1">
        <f>IFERROR(__xludf.DUMMYFUNCTION("""COMPUTED_VALUE"""),488.1)</f>
        <v>488.1</v>
      </c>
      <c r="D16" s="1"/>
      <c r="E16" s="112">
        <f>IFERROR(__xludf.DUMMYFUNCTION("""COMPUTED_VALUE"""),46154.64583333333)</f>
        <v>46154.64583</v>
      </c>
      <c r="F16" s="1">
        <f>IFERROR(__xludf.DUMMYFUNCTION("""COMPUTED_VALUE"""),2505.5)</f>
        <v>2505.5</v>
      </c>
      <c r="G16" s="1"/>
      <c r="H16" s="29">
        <f t="shared" si="4"/>
        <v>0.1948114149</v>
      </c>
      <c r="I16" s="1">
        <f t="shared" si="5"/>
        <v>-2017.4</v>
      </c>
      <c r="J16" s="113">
        <f t="shared" si="6"/>
        <v>1.154292965</v>
      </c>
      <c r="K16" s="29">
        <f t="shared" si="7"/>
        <v>0.1948114149</v>
      </c>
      <c r="L16" s="1"/>
      <c r="M16" s="1"/>
      <c r="N16" s="1"/>
      <c r="O16" s="1"/>
      <c r="P16" s="1"/>
      <c r="Q16" s="1"/>
      <c r="R16" s="1"/>
      <c r="S16" s="117"/>
      <c r="T16" s="125"/>
      <c r="U16" s="126"/>
      <c r="V16" s="123"/>
      <c r="W16" s="123"/>
      <c r="X16" s="123"/>
      <c r="Y16" s="123"/>
      <c r="Z16" s="1"/>
      <c r="AA16" s="1"/>
      <c r="AB16" s="1"/>
      <c r="AC16" s="1"/>
    </row>
    <row r="17">
      <c r="A17" s="1"/>
      <c r="B17" s="112">
        <f>IFERROR(__xludf.DUMMYFUNCTION("""COMPUTED_VALUE"""),46155.64583333333)</f>
        <v>46155.64583</v>
      </c>
      <c r="C17" s="1">
        <f>IFERROR(__xludf.DUMMYFUNCTION("""COMPUTED_VALUE"""),507.7)</f>
        <v>507.7</v>
      </c>
      <c r="D17" s="1"/>
      <c r="E17" s="112">
        <f>IFERROR(__xludf.DUMMYFUNCTION("""COMPUTED_VALUE"""),46155.64583333333)</f>
        <v>46155.64583</v>
      </c>
      <c r="F17" s="1">
        <f>IFERROR(__xludf.DUMMYFUNCTION("""COMPUTED_VALUE"""),2617.6)</f>
        <v>2617.6</v>
      </c>
      <c r="G17" s="1"/>
      <c r="H17" s="29">
        <f t="shared" si="4"/>
        <v>0.1939562958</v>
      </c>
      <c r="I17" s="1">
        <f t="shared" si="5"/>
        <v>-2109.9</v>
      </c>
      <c r="J17" s="113">
        <f t="shared" si="6"/>
        <v>0.1096318981</v>
      </c>
      <c r="K17" s="29">
        <f t="shared" si="7"/>
        <v>0.1939562958</v>
      </c>
      <c r="L17" s="1"/>
      <c r="M17" s="1"/>
      <c r="N17" s="1"/>
      <c r="O17" s="1"/>
      <c r="P17" s="1"/>
      <c r="Q17" s="1"/>
      <c r="R17" s="1"/>
      <c r="S17" s="123"/>
      <c r="T17" s="123"/>
      <c r="U17" s="123"/>
      <c r="V17" s="123"/>
      <c r="W17" s="123"/>
      <c r="X17" s="123"/>
      <c r="Y17" s="123"/>
      <c r="Z17" s="1"/>
      <c r="AA17" s="1"/>
      <c r="AB17" s="1"/>
      <c r="AC17" s="1"/>
    </row>
    <row r="18">
      <c r="A18" s="1"/>
      <c r="B18" s="112">
        <f>IFERROR(__xludf.DUMMYFUNCTION("""COMPUTED_VALUE"""),46156.64583333333)</f>
        <v>46156.64583</v>
      </c>
      <c r="C18" s="1">
        <f>IFERROR(__xludf.DUMMYFUNCTION("""COMPUTED_VALUE"""),533.9)</f>
        <v>533.9</v>
      </c>
      <c r="D18" s="1"/>
      <c r="E18" s="112">
        <f>IFERROR(__xludf.DUMMYFUNCTION("""COMPUTED_VALUE"""),46156.64583333333)</f>
        <v>46156.64583</v>
      </c>
      <c r="F18" s="1">
        <f>IFERROR(__xludf.DUMMYFUNCTION("""COMPUTED_VALUE"""),2622.2)</f>
        <v>2622.2</v>
      </c>
      <c r="G18" s="1"/>
      <c r="H18" s="29">
        <f t="shared" si="4"/>
        <v>0.2036076577</v>
      </c>
      <c r="I18" s="1">
        <f t="shared" si="5"/>
        <v>-2088.3</v>
      </c>
      <c r="J18" s="113">
        <f t="shared" si="6"/>
        <v>0.3535743742</v>
      </c>
      <c r="K18" s="29">
        <f t="shared" si="7"/>
        <v>0.2036076577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IFERROR(__xludf.DUMMYFUNCTION("""COMPUTED_VALUE"""),46157.64583333333)</f>
        <v>46157.64583</v>
      </c>
      <c r="C19" s="1">
        <f>IFERROR(__xludf.DUMMYFUNCTION("""COMPUTED_VALUE"""),533.45)</f>
        <v>533.45</v>
      </c>
      <c r="D19" s="1"/>
      <c r="E19" s="112">
        <f>IFERROR(__xludf.DUMMYFUNCTION("""COMPUTED_VALUE"""),46157.64583333333)</f>
        <v>46157.64583</v>
      </c>
      <c r="F19" s="1">
        <f>IFERROR(__xludf.DUMMYFUNCTION("""COMPUTED_VALUE"""),2605.6)</f>
        <v>2605.6</v>
      </c>
      <c r="G19" s="1"/>
      <c r="H19" s="29">
        <f t="shared" si="4"/>
        <v>0.2047321154</v>
      </c>
      <c r="I19" s="1">
        <f t="shared" si="5"/>
        <v>-2072.15</v>
      </c>
      <c r="J19" s="113">
        <f t="shared" si="6"/>
        <v>0.5359665495</v>
      </c>
      <c r="K19" s="29">
        <f t="shared" si="7"/>
        <v>0.2047321154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IFERROR(__xludf.DUMMYFUNCTION("""COMPUTED_VALUE"""),46160.64583333333)</f>
        <v>46160.64583</v>
      </c>
      <c r="C20" s="1">
        <f>IFERROR(__xludf.DUMMYFUNCTION("""COMPUTED_VALUE"""),524.6)</f>
        <v>524.6</v>
      </c>
      <c r="D20" s="1"/>
      <c r="E20" s="112">
        <f>IFERROR(__xludf.DUMMYFUNCTION("""COMPUTED_VALUE"""),46160.64583333333)</f>
        <v>46160.64583</v>
      </c>
      <c r="F20" s="1">
        <f>IFERROR(__xludf.DUMMYFUNCTION("""COMPUTED_VALUE"""),2614.0)</f>
        <v>2614</v>
      </c>
      <c r="G20" s="1"/>
      <c r="H20" s="29">
        <f t="shared" si="4"/>
        <v>0.2006885998</v>
      </c>
      <c r="I20" s="1">
        <f t="shared" si="5"/>
        <v>-2089.4</v>
      </c>
      <c r="J20" s="113">
        <f t="shared" si="6"/>
        <v>0.3411513777</v>
      </c>
      <c r="K20" s="29">
        <f t="shared" si="7"/>
        <v>0.2006885998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IFERROR(__xludf.DUMMYFUNCTION("""COMPUTED_VALUE"""),46161.64583333333)</f>
        <v>46161.64583</v>
      </c>
      <c r="C21" s="1">
        <f>IFERROR(__xludf.DUMMYFUNCTION("""COMPUTED_VALUE"""),507.7)</f>
        <v>507.7</v>
      </c>
      <c r="D21" s="1"/>
      <c r="E21" s="112">
        <f>IFERROR(__xludf.DUMMYFUNCTION("""COMPUTED_VALUE"""),46161.64583333333)</f>
        <v>46161.64583</v>
      </c>
      <c r="F21" s="1">
        <f>IFERROR(__xludf.DUMMYFUNCTION("""COMPUTED_VALUE"""),2600.7)</f>
        <v>2600.7</v>
      </c>
      <c r="G21" s="1"/>
      <c r="H21" s="29">
        <f t="shared" si="4"/>
        <v>0.1952166724</v>
      </c>
      <c r="I21" s="1">
        <f t="shared" si="5"/>
        <v>-2093</v>
      </c>
      <c r="J21" s="113">
        <f t="shared" si="6"/>
        <v>0.3004942983</v>
      </c>
      <c r="K21" s="29">
        <f t="shared" si="7"/>
        <v>0.1952166724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IFERROR(__xludf.DUMMYFUNCTION("""COMPUTED_VALUE"""),46162.64583333333)</f>
        <v>46162.64583</v>
      </c>
      <c r="C22" s="1">
        <f>IFERROR(__xludf.DUMMYFUNCTION("""COMPUTED_VALUE"""),508.45)</f>
        <v>508.45</v>
      </c>
      <c r="D22" s="1"/>
      <c r="E22" s="112">
        <f>IFERROR(__xludf.DUMMYFUNCTION("""COMPUTED_VALUE"""),46162.64583333333)</f>
        <v>46162.64583</v>
      </c>
      <c r="F22" s="1">
        <f>IFERROR(__xludf.DUMMYFUNCTION("""COMPUTED_VALUE"""),2598.6)</f>
        <v>2598.6</v>
      </c>
      <c r="G22" s="1"/>
      <c r="H22" s="29">
        <f t="shared" si="4"/>
        <v>0.1956630493</v>
      </c>
      <c r="I22" s="1">
        <f t="shared" si="5"/>
        <v>-2090.15</v>
      </c>
      <c r="J22" s="113">
        <f t="shared" si="6"/>
        <v>0.3326811528</v>
      </c>
      <c r="K22" s="29">
        <f t="shared" si="7"/>
        <v>0.1956630493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IFERROR(__xludf.DUMMYFUNCTION("""COMPUTED_VALUE"""),46163.64583333333)</f>
        <v>46163.64583</v>
      </c>
      <c r="C23" s="1">
        <f>IFERROR(__xludf.DUMMYFUNCTION("""COMPUTED_VALUE"""),499.35)</f>
        <v>499.35</v>
      </c>
      <c r="D23" s="1"/>
      <c r="E23" s="112">
        <f>IFERROR(__xludf.DUMMYFUNCTION("""COMPUTED_VALUE"""),46163.64583333333)</f>
        <v>46163.64583</v>
      </c>
      <c r="F23" s="1">
        <f>IFERROR(__xludf.DUMMYFUNCTION("""COMPUTED_VALUE"""),2598.8)</f>
        <v>2598.8</v>
      </c>
      <c r="G23" s="1"/>
      <c r="H23" s="29">
        <f t="shared" si="4"/>
        <v>0.1921463753</v>
      </c>
      <c r="I23" s="1">
        <f t="shared" si="5"/>
        <v>-2099.45</v>
      </c>
      <c r="J23" s="113">
        <f t="shared" si="6"/>
        <v>0.2276503645</v>
      </c>
      <c r="K23" s="29">
        <f t="shared" si="7"/>
        <v>0.1921463753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IFERROR(__xludf.DUMMYFUNCTION("""COMPUTED_VALUE"""),46164.64583333333)</f>
        <v>46164.64583</v>
      </c>
      <c r="C24" s="1">
        <f>IFERROR(__xludf.DUMMYFUNCTION("""COMPUTED_VALUE"""),501.15)</f>
        <v>501.15</v>
      </c>
      <c r="D24" s="1"/>
      <c r="E24" s="112">
        <f>IFERROR(__xludf.DUMMYFUNCTION("""COMPUTED_VALUE"""),46164.64583333333)</f>
        <v>46164.64583</v>
      </c>
      <c r="F24" s="1">
        <f>IFERROR(__xludf.DUMMYFUNCTION("""COMPUTED_VALUE"""),2639.8)</f>
        <v>2639.8</v>
      </c>
      <c r="G24" s="1"/>
      <c r="H24" s="29">
        <f t="shared" si="4"/>
        <v>0.1898439276</v>
      </c>
      <c r="I24" s="1">
        <f t="shared" si="5"/>
        <v>-2138.65</v>
      </c>
      <c r="J24" s="113">
        <f t="shared" si="6"/>
        <v>-0.215060055</v>
      </c>
      <c r="K24" s="29">
        <f t="shared" si="7"/>
        <v>0.1898439276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IFERROR(__xludf.DUMMYFUNCTION("""COMPUTED_VALUE"""),46167.64583333333)</f>
        <v>46167.64583</v>
      </c>
      <c r="C25" s="1">
        <f>IFERROR(__xludf.DUMMYFUNCTION("""COMPUTED_VALUE"""),504.85)</f>
        <v>504.85</v>
      </c>
      <c r="D25" s="1"/>
      <c r="E25" s="112">
        <f>IFERROR(__xludf.DUMMYFUNCTION("""COMPUTED_VALUE"""),46167.64583333333)</f>
        <v>46167.64583</v>
      </c>
      <c r="F25" s="1">
        <f>IFERROR(__xludf.DUMMYFUNCTION("""COMPUTED_VALUE"""),2657.8)</f>
        <v>2657.8</v>
      </c>
      <c r="G25" s="1"/>
      <c r="H25" s="29">
        <f t="shared" si="4"/>
        <v>0.1899503349</v>
      </c>
      <c r="I25" s="1">
        <f t="shared" si="5"/>
        <v>-2152.95</v>
      </c>
      <c r="J25" s="113">
        <f t="shared" si="6"/>
        <v>-0.376559009</v>
      </c>
      <c r="K25" s="29">
        <f t="shared" si="7"/>
        <v>0.1899503349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IFERROR(__xludf.DUMMYFUNCTION("""COMPUTED_VALUE"""),46168.64583333333)</f>
        <v>46168.64583</v>
      </c>
      <c r="C26" s="1">
        <f>IFERROR(__xludf.DUMMYFUNCTION("""COMPUTED_VALUE"""),515.55)</f>
        <v>515.55</v>
      </c>
      <c r="D26" s="1"/>
      <c r="E26" s="112">
        <f>IFERROR(__xludf.DUMMYFUNCTION("""COMPUTED_VALUE"""),46168.64583333333)</f>
        <v>46168.64583</v>
      </c>
      <c r="F26" s="1">
        <f>IFERROR(__xludf.DUMMYFUNCTION("""COMPUTED_VALUE"""),2647.0)</f>
        <v>2647</v>
      </c>
      <c r="G26" s="1"/>
      <c r="H26" s="29">
        <f t="shared" si="4"/>
        <v>0.1947676615</v>
      </c>
      <c r="I26" s="1">
        <f t="shared" si="5"/>
        <v>-2131.45</v>
      </c>
      <c r="J26" s="113">
        <f t="shared" si="6"/>
        <v>-0.1337458963</v>
      </c>
      <c r="K26" s="29">
        <f t="shared" si="7"/>
        <v>0.1947676615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IFERROR(__xludf.DUMMYFUNCTION("""COMPUTED_VALUE"""),46169.64583333333)</f>
        <v>46169.64583</v>
      </c>
      <c r="C27" s="1">
        <f>IFERROR(__xludf.DUMMYFUNCTION("""COMPUTED_VALUE"""),526.95)</f>
        <v>526.95</v>
      </c>
      <c r="D27" s="1"/>
      <c r="E27" s="112">
        <f>IFERROR(__xludf.DUMMYFUNCTION("""COMPUTED_VALUE"""),46169.64583333333)</f>
        <v>46169.64583</v>
      </c>
      <c r="F27" s="1">
        <f>IFERROR(__xludf.DUMMYFUNCTION("""COMPUTED_VALUE"""),2671.9)</f>
        <v>2671.9</v>
      </c>
      <c r="G27" s="1"/>
      <c r="H27" s="29">
        <f t="shared" si="4"/>
        <v>0.1972192073</v>
      </c>
      <c r="I27" s="1">
        <f t="shared" si="5"/>
        <v>-2144.95</v>
      </c>
      <c r="J27" s="113">
        <f t="shared" si="6"/>
        <v>-0.2862099438</v>
      </c>
      <c r="K27" s="29">
        <f t="shared" si="7"/>
        <v>0.1972192073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0.1896231287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IFERROR(__xludf.DUMMYFUNCTION("""COMPUTED_VALUE"""),46171.64583333333)</f>
        <v>46171.64583</v>
      </c>
      <c r="C28" s="1">
        <f>IFERROR(__xludf.DUMMYFUNCTION("""COMPUTED_VALUE"""),500.6)</f>
        <v>500.6</v>
      </c>
      <c r="D28" s="1"/>
      <c r="E28" s="112">
        <f>IFERROR(__xludf.DUMMYFUNCTION("""COMPUTED_VALUE"""),46171.64583333333)</f>
        <v>46171.64583</v>
      </c>
      <c r="F28" s="1">
        <f>IFERROR(__xludf.DUMMYFUNCTION("""COMPUTED_VALUE"""),2671.6)</f>
        <v>2671.6</v>
      </c>
      <c r="G28" s="1"/>
      <c r="H28" s="29">
        <f t="shared" si="4"/>
        <v>0.1873783501</v>
      </c>
      <c r="I28" s="1">
        <f t="shared" si="5"/>
        <v>-2171</v>
      </c>
      <c r="J28" s="113">
        <f t="shared" si="6"/>
        <v>-0.5804090874</v>
      </c>
      <c r="K28" s="29">
        <f t="shared" si="7"/>
        <v>0.1873783501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0.1997252747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IFERROR(__xludf.DUMMYFUNCTION("""COMPUTED_VALUE"""),46174.64583333333)</f>
        <v>46174.64583</v>
      </c>
      <c r="C29" s="1">
        <f>IFERROR(__xludf.DUMMYFUNCTION("""COMPUTED_VALUE"""),512.9)</f>
        <v>512.9</v>
      </c>
      <c r="D29" s="1"/>
      <c r="E29" s="112">
        <f>IFERROR(__xludf.DUMMYFUNCTION("""COMPUTED_VALUE"""),46174.64583333333)</f>
        <v>46174.64583</v>
      </c>
      <c r="F29" s="1">
        <f>IFERROR(__xludf.DUMMYFUNCTION("""COMPUTED_VALUE"""),2632.4)</f>
        <v>2632.4</v>
      </c>
      <c r="G29" s="1"/>
      <c r="H29" s="29">
        <f t="shared" si="4"/>
        <v>0.1948412095</v>
      </c>
      <c r="I29" s="1">
        <f t="shared" si="5"/>
        <v>-2119.5</v>
      </c>
      <c r="J29" s="113">
        <f t="shared" si="6"/>
        <v>0.001213019857</v>
      </c>
      <c r="K29" s="29">
        <f t="shared" si="7"/>
        <v>0.1948412095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IFERROR(__xludf.DUMMYFUNCTION("""COMPUTED_VALUE"""),46175.64583333333)</f>
        <v>46175.64583</v>
      </c>
      <c r="C30" s="1">
        <f>IFERROR(__xludf.DUMMYFUNCTION("""COMPUTED_VALUE"""),508.25)</f>
        <v>508.25</v>
      </c>
      <c r="D30" s="1"/>
      <c r="E30" s="112">
        <f>IFERROR(__xludf.DUMMYFUNCTION("""COMPUTED_VALUE"""),46175.64583333333)</f>
        <v>46175.64583</v>
      </c>
      <c r="F30" s="1">
        <f>IFERROR(__xludf.DUMMYFUNCTION("""COMPUTED_VALUE"""),2660.7)</f>
        <v>2660.7</v>
      </c>
      <c r="G30" s="1"/>
      <c r="H30" s="29">
        <f t="shared" si="4"/>
        <v>0.1910211598</v>
      </c>
      <c r="I30" s="1">
        <f t="shared" si="5"/>
        <v>-2152.45</v>
      </c>
      <c r="J30" s="113">
        <f t="shared" si="6"/>
        <v>-0.3709121925</v>
      </c>
      <c r="K30" s="29">
        <f t="shared" si="7"/>
        <v>0.1910211598</v>
      </c>
      <c r="L30" s="1">
        <f t="shared" ref="L30:L120" si="8">AVERAGE(C11:C30)</f>
        <v>506.02</v>
      </c>
      <c r="M30" s="25">
        <f t="shared" ref="M30:M120" si="9">(C30-L30)/C30</f>
        <v>0.004387604525</v>
      </c>
      <c r="N30" s="65">
        <f t="shared" ref="N30:N120" si="10">AVERAGE(F11:F30)</f>
        <v>2599.49</v>
      </c>
      <c r="O30" s="25">
        <f t="shared" ref="O30:O120" si="11">(F30-N30)/F30</f>
        <v>0.02300522419</v>
      </c>
      <c r="P30" s="25">
        <f t="shared" ref="P30:P120" si="12">M30-O30</f>
        <v>-0.01861761966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IFERROR(__xludf.DUMMYFUNCTION("""COMPUTED_VALUE"""),46176.64583333333)</f>
        <v>46176.64583</v>
      </c>
      <c r="C31" s="1">
        <f>IFERROR(__xludf.DUMMYFUNCTION("""COMPUTED_VALUE"""),496.05)</f>
        <v>496.05</v>
      </c>
      <c r="D31" s="1"/>
      <c r="E31" s="112">
        <f>IFERROR(__xludf.DUMMYFUNCTION("""COMPUTED_VALUE"""),46176.64583333333)</f>
        <v>46176.64583</v>
      </c>
      <c r="F31" s="1">
        <f>IFERROR(__xludf.DUMMYFUNCTION("""COMPUTED_VALUE"""),2662.4)</f>
        <v>2662.4</v>
      </c>
      <c r="G31" s="1"/>
      <c r="H31" s="29">
        <f t="shared" si="4"/>
        <v>0.186316857</v>
      </c>
      <c r="I31" s="1">
        <f t="shared" si="5"/>
        <v>-2166.35</v>
      </c>
      <c r="J31" s="113">
        <f t="shared" si="6"/>
        <v>-0.5278936933</v>
      </c>
      <c r="K31" s="29">
        <f t="shared" si="7"/>
        <v>0.186316857</v>
      </c>
      <c r="L31" s="65">
        <f t="shared" si="8"/>
        <v>507.2925</v>
      </c>
      <c r="M31" s="25">
        <f t="shared" si="9"/>
        <v>-0.02266404596</v>
      </c>
      <c r="N31" s="65">
        <f t="shared" si="10"/>
        <v>2611.11</v>
      </c>
      <c r="O31" s="25">
        <f t="shared" si="11"/>
        <v>0.01926457332</v>
      </c>
      <c r="P31" s="25">
        <f t="shared" si="12"/>
        <v>-0.04192861928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IFERROR(__xludf.DUMMYFUNCTION("""COMPUTED_VALUE"""),46177.64583333333)</f>
        <v>46177.64583</v>
      </c>
      <c r="C32" s="1">
        <f>IFERROR(__xludf.DUMMYFUNCTION("""COMPUTED_VALUE"""),494.25)</f>
        <v>494.25</v>
      </c>
      <c r="D32" s="1"/>
      <c r="E32" s="112">
        <f>IFERROR(__xludf.DUMMYFUNCTION("""COMPUTED_VALUE"""),46177.64583333333)</f>
        <v>46177.64583</v>
      </c>
      <c r="F32" s="1">
        <f>IFERROR(__xludf.DUMMYFUNCTION("""COMPUTED_VALUE"""),2661.6)</f>
        <v>2661.6</v>
      </c>
      <c r="G32" s="1"/>
      <c r="H32" s="29">
        <f t="shared" si="4"/>
        <v>0.1856965735</v>
      </c>
      <c r="I32" s="1">
        <f t="shared" si="5"/>
        <v>-2167.35</v>
      </c>
      <c r="J32" s="113">
        <f t="shared" si="6"/>
        <v>-0.5391873264</v>
      </c>
      <c r="K32" s="29">
        <f t="shared" si="7"/>
        <v>0.1856965735</v>
      </c>
      <c r="L32" s="65">
        <f t="shared" si="8"/>
        <v>508.0825</v>
      </c>
      <c r="M32" s="25">
        <f t="shared" si="9"/>
        <v>-0.02798684876</v>
      </c>
      <c r="N32" s="65">
        <f t="shared" si="10"/>
        <v>2618.24</v>
      </c>
      <c r="O32" s="25">
        <f t="shared" si="11"/>
        <v>0.01629095281</v>
      </c>
      <c r="P32" s="25">
        <f t="shared" si="12"/>
        <v>-0.04427780157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IFERROR(__xludf.DUMMYFUNCTION("""COMPUTED_VALUE"""),46178.64583333333)</f>
        <v>46178.64583</v>
      </c>
      <c r="C33" s="1">
        <f>IFERROR(__xludf.DUMMYFUNCTION("""COMPUTED_VALUE"""),490.25)</f>
        <v>490.25</v>
      </c>
      <c r="D33" s="1"/>
      <c r="E33" s="112">
        <f>IFERROR(__xludf.DUMMYFUNCTION("""COMPUTED_VALUE"""),46178.64583333333)</f>
        <v>46178.64583</v>
      </c>
      <c r="F33" s="1">
        <f>IFERROR(__xludf.DUMMYFUNCTION("""COMPUTED_VALUE"""),2686.7)</f>
        <v>2686.7</v>
      </c>
      <c r="G33" s="1"/>
      <c r="H33" s="29">
        <f t="shared" si="4"/>
        <v>0.1824729222</v>
      </c>
      <c r="I33" s="1">
        <f t="shared" si="5"/>
        <v>-2196.45</v>
      </c>
      <c r="J33" s="113">
        <f t="shared" si="6"/>
        <v>-0.8678320511</v>
      </c>
      <c r="K33" s="29">
        <f t="shared" si="7"/>
        <v>0.1824729222</v>
      </c>
      <c r="L33" s="65">
        <f t="shared" si="8"/>
        <v>508.1825</v>
      </c>
      <c r="M33" s="25">
        <f t="shared" si="9"/>
        <v>-0.03657827639</v>
      </c>
      <c r="N33" s="65">
        <f t="shared" si="10"/>
        <v>2626.045</v>
      </c>
      <c r="O33" s="25">
        <f t="shared" si="11"/>
        <v>0.02257602263</v>
      </c>
      <c r="P33" s="25">
        <f t="shared" si="12"/>
        <v>-0.05915429902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IFERROR(__xludf.DUMMYFUNCTION("""COMPUTED_VALUE"""),46181.64583333333)</f>
        <v>46181.64583</v>
      </c>
      <c r="C34" s="1">
        <f>IFERROR(__xludf.DUMMYFUNCTION("""COMPUTED_VALUE"""),491.9)</f>
        <v>491.9</v>
      </c>
      <c r="D34" s="1"/>
      <c r="E34" s="112">
        <f>IFERROR(__xludf.DUMMYFUNCTION("""COMPUTED_VALUE"""),46181.64583333333)</f>
        <v>46181.64583</v>
      </c>
      <c r="F34" s="1">
        <f>IFERROR(__xludf.DUMMYFUNCTION("""COMPUTED_VALUE"""),2659.2)</f>
        <v>2659.2</v>
      </c>
      <c r="G34" s="1"/>
      <c r="H34" s="29">
        <f t="shared" si="4"/>
        <v>0.1849804452</v>
      </c>
      <c r="I34" s="1">
        <f t="shared" si="5"/>
        <v>-2167.3</v>
      </c>
      <c r="J34" s="113">
        <f t="shared" si="6"/>
        <v>-0.5386226447</v>
      </c>
      <c r="K34" s="29">
        <f t="shared" si="7"/>
        <v>0.1849804452</v>
      </c>
      <c r="L34" s="65">
        <f t="shared" si="8"/>
        <v>506.99</v>
      </c>
      <c r="M34" s="25">
        <f t="shared" si="9"/>
        <v>-0.03067696686</v>
      </c>
      <c r="N34" s="65">
        <f t="shared" si="10"/>
        <v>2629.01</v>
      </c>
      <c r="O34" s="25">
        <f t="shared" si="11"/>
        <v>0.01135303851</v>
      </c>
      <c r="P34" s="25">
        <f t="shared" si="12"/>
        <v>-0.04203000537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IFERROR(__xludf.DUMMYFUNCTION("""COMPUTED_VALUE"""),46182.64583333333)</f>
        <v>46182.64583</v>
      </c>
      <c r="C35" s="1">
        <f>IFERROR(__xludf.DUMMYFUNCTION("""COMPUTED_VALUE"""),501.9)</f>
        <v>501.9</v>
      </c>
      <c r="D35" s="1"/>
      <c r="E35" s="112">
        <f>IFERROR(__xludf.DUMMYFUNCTION("""COMPUTED_VALUE"""),46182.64583333333)</f>
        <v>46182.64583</v>
      </c>
      <c r="F35" s="1">
        <f>IFERROR(__xludf.DUMMYFUNCTION("""COMPUTED_VALUE"""),2708.1)</f>
        <v>2708.1</v>
      </c>
      <c r="G35" s="1"/>
      <c r="H35" s="29">
        <f t="shared" si="4"/>
        <v>0.1853328902</v>
      </c>
      <c r="I35" s="1">
        <f t="shared" si="5"/>
        <v>-2206.2</v>
      </c>
      <c r="J35" s="113">
        <f t="shared" si="6"/>
        <v>-0.9779449743</v>
      </c>
      <c r="K35" s="29">
        <f t="shared" si="7"/>
        <v>0.1853328902</v>
      </c>
      <c r="L35" s="65">
        <f t="shared" si="8"/>
        <v>507.3925</v>
      </c>
      <c r="M35" s="25">
        <f t="shared" si="9"/>
        <v>-0.01094341502</v>
      </c>
      <c r="N35" s="65">
        <f t="shared" si="10"/>
        <v>2636.11</v>
      </c>
      <c r="O35" s="25">
        <f t="shared" si="11"/>
        <v>0.02658321332</v>
      </c>
      <c r="P35" s="25">
        <f t="shared" si="12"/>
        <v>-0.03752662835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IFERROR(__xludf.DUMMYFUNCTION("""COMPUTED_VALUE"""),46183.64583333333)</f>
        <v>46183.64583</v>
      </c>
      <c r="C36" s="1">
        <f>IFERROR(__xludf.DUMMYFUNCTION("""COMPUTED_VALUE"""),516.7)</f>
        <v>516.7</v>
      </c>
      <c r="D36" s="1"/>
      <c r="E36" s="112">
        <f>IFERROR(__xludf.DUMMYFUNCTION("""COMPUTED_VALUE"""),46183.64583333333)</f>
        <v>46183.64583</v>
      </c>
      <c r="F36" s="1">
        <f>IFERROR(__xludf.DUMMYFUNCTION("""COMPUTED_VALUE"""),2715.1)</f>
        <v>2715.1</v>
      </c>
      <c r="G36" s="1"/>
      <c r="H36" s="29">
        <f t="shared" si="4"/>
        <v>0.1903060661</v>
      </c>
      <c r="I36" s="1">
        <f t="shared" si="5"/>
        <v>-2198.4</v>
      </c>
      <c r="J36" s="113">
        <f t="shared" si="6"/>
        <v>-0.8898546357</v>
      </c>
      <c r="K36" s="29">
        <f t="shared" si="7"/>
        <v>0.1903060661</v>
      </c>
      <c r="L36" s="65">
        <f t="shared" si="8"/>
        <v>508.8225</v>
      </c>
      <c r="M36" s="25">
        <f t="shared" si="9"/>
        <v>0.01524579059</v>
      </c>
      <c r="N36" s="65">
        <f t="shared" si="10"/>
        <v>2646.59</v>
      </c>
      <c r="O36" s="25">
        <f t="shared" si="11"/>
        <v>0.02523295643</v>
      </c>
      <c r="P36" s="25">
        <f t="shared" si="12"/>
        <v>-0.009987165835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IFERROR(__xludf.DUMMYFUNCTION("""COMPUTED_VALUE"""),46184.64583333333)</f>
        <v>46184.64583</v>
      </c>
      <c r="C37" s="1">
        <f>IFERROR(__xludf.DUMMYFUNCTION("""COMPUTED_VALUE"""),513.95)</f>
        <v>513.95</v>
      </c>
      <c r="D37" s="1"/>
      <c r="E37" s="112">
        <f>IFERROR(__xludf.DUMMYFUNCTION("""COMPUTED_VALUE"""),46184.64583333333)</f>
        <v>46184.64583</v>
      </c>
      <c r="F37" s="1">
        <f>IFERROR(__xludf.DUMMYFUNCTION("""COMPUTED_VALUE"""),2690.9)</f>
        <v>2690.9</v>
      </c>
      <c r="G37" s="1"/>
      <c r="H37" s="29">
        <f t="shared" si="4"/>
        <v>0.1909955777</v>
      </c>
      <c r="I37" s="1">
        <f t="shared" si="5"/>
        <v>-2176.95</v>
      </c>
      <c r="J37" s="113">
        <f t="shared" si="6"/>
        <v>-0.6476062046</v>
      </c>
      <c r="K37" s="29">
        <f t="shared" si="7"/>
        <v>0.1909955777</v>
      </c>
      <c r="L37" s="65">
        <f t="shared" si="8"/>
        <v>509.135</v>
      </c>
      <c r="M37" s="25">
        <f t="shared" si="9"/>
        <v>0.009368615624</v>
      </c>
      <c r="N37" s="65">
        <f t="shared" si="10"/>
        <v>2650.255</v>
      </c>
      <c r="O37" s="25">
        <f t="shared" si="11"/>
        <v>0.01510461184</v>
      </c>
      <c r="P37" s="25">
        <f t="shared" si="12"/>
        <v>-0.005735996216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IFERROR(__xludf.DUMMYFUNCTION("""COMPUTED_VALUE"""),46185.64583333333)</f>
        <v>46185.64583</v>
      </c>
      <c r="C38" s="1">
        <f>IFERROR(__xludf.DUMMYFUNCTION("""COMPUTED_VALUE"""),515.15)</f>
        <v>515.15</v>
      </c>
      <c r="D38" s="1"/>
      <c r="E38" s="112">
        <f>IFERROR(__xludf.DUMMYFUNCTION("""COMPUTED_VALUE"""),46185.64583333333)</f>
        <v>46185.64583</v>
      </c>
      <c r="F38" s="1">
        <f>IFERROR(__xludf.DUMMYFUNCTION("""COMPUTED_VALUE"""),2747.4)</f>
        <v>2747.4</v>
      </c>
      <c r="G38" s="1"/>
      <c r="H38" s="29">
        <f t="shared" si="4"/>
        <v>0.1875045498</v>
      </c>
      <c r="I38" s="1">
        <f t="shared" si="5"/>
        <v>-2232.25</v>
      </c>
      <c r="J38" s="113">
        <f t="shared" si="6"/>
        <v>-1.272144118</v>
      </c>
      <c r="K38" s="29">
        <f t="shared" si="7"/>
        <v>0.1875045498</v>
      </c>
      <c r="L38" s="65">
        <f t="shared" si="8"/>
        <v>508.1975</v>
      </c>
      <c r="M38" s="25">
        <f t="shared" si="9"/>
        <v>0.01349606911</v>
      </c>
      <c r="N38" s="65">
        <f t="shared" si="10"/>
        <v>2656.515</v>
      </c>
      <c r="O38" s="25">
        <f t="shared" si="11"/>
        <v>0.03308036689</v>
      </c>
      <c r="P38" s="25">
        <f t="shared" si="12"/>
        <v>-0.01958429779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IFERROR(__xludf.DUMMYFUNCTION("""COMPUTED_VALUE"""),46188.64583333333)</f>
        <v>46188.64583</v>
      </c>
      <c r="C39" s="1">
        <f>IFERROR(__xludf.DUMMYFUNCTION("""COMPUTED_VALUE"""),519.4)</f>
        <v>519.4</v>
      </c>
      <c r="D39" s="1"/>
      <c r="E39" s="112">
        <f>IFERROR(__xludf.DUMMYFUNCTION("""COMPUTED_VALUE"""),46188.64583333333)</f>
        <v>46188.64583</v>
      </c>
      <c r="F39" s="1">
        <f>IFERROR(__xludf.DUMMYFUNCTION("""COMPUTED_VALUE"""),2739.3)</f>
        <v>2739.3</v>
      </c>
      <c r="G39" s="1"/>
      <c r="H39" s="29">
        <f t="shared" si="4"/>
        <v>0.1896104844</v>
      </c>
      <c r="I39" s="1">
        <f t="shared" si="5"/>
        <v>-2219.9</v>
      </c>
      <c r="J39" s="113">
        <f t="shared" si="6"/>
        <v>-1.132667748</v>
      </c>
      <c r="K39" s="29">
        <f t="shared" si="7"/>
        <v>0.1896104844</v>
      </c>
      <c r="L39" s="65">
        <f t="shared" si="8"/>
        <v>507.495</v>
      </c>
      <c r="M39" s="25">
        <f t="shared" si="9"/>
        <v>0.02292067771</v>
      </c>
      <c r="N39" s="65">
        <f t="shared" si="10"/>
        <v>2663.2</v>
      </c>
      <c r="O39" s="25">
        <f t="shared" si="11"/>
        <v>0.02778081992</v>
      </c>
      <c r="P39" s="25">
        <f t="shared" si="12"/>
        <v>-0.004860142212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IFERROR(__xludf.DUMMYFUNCTION("""COMPUTED_VALUE"""),46189.64583333333)</f>
        <v>46189.64583</v>
      </c>
      <c r="C40" s="1">
        <f>IFERROR(__xludf.DUMMYFUNCTION("""COMPUTED_VALUE"""),510.5)</f>
        <v>510.5</v>
      </c>
      <c r="D40" s="1"/>
      <c r="E40" s="112">
        <f>IFERROR(__xludf.DUMMYFUNCTION("""COMPUTED_VALUE"""),46189.64583333333)</f>
        <v>46189.64583</v>
      </c>
      <c r="F40" s="1">
        <f>IFERROR(__xludf.DUMMYFUNCTION("""COMPUTED_VALUE"""),2748.1)</f>
        <v>2748.1</v>
      </c>
      <c r="G40" s="1"/>
      <c r="H40" s="29">
        <f t="shared" si="4"/>
        <v>0.1857647102</v>
      </c>
      <c r="I40" s="1">
        <f t="shared" si="5"/>
        <v>-2237.6</v>
      </c>
      <c r="J40" s="113">
        <f t="shared" si="6"/>
        <v>-1.332565055</v>
      </c>
      <c r="K40" s="29">
        <f t="shared" si="7"/>
        <v>0.1857647102</v>
      </c>
      <c r="L40" s="65">
        <f t="shared" si="8"/>
        <v>506.79</v>
      </c>
      <c r="M40" s="25">
        <f t="shared" si="9"/>
        <v>0.007267384917</v>
      </c>
      <c r="N40" s="65">
        <f t="shared" si="10"/>
        <v>2669.905</v>
      </c>
      <c r="O40" s="25">
        <f t="shared" si="11"/>
        <v>0.02845420472</v>
      </c>
      <c r="P40" s="25">
        <f t="shared" si="12"/>
        <v>-0.02118681981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IFERROR(__xludf.DUMMYFUNCTION("""COMPUTED_VALUE"""),46190.64583333333)</f>
        <v>46190.64583</v>
      </c>
      <c r="C41" s="1">
        <f>IFERROR(__xludf.DUMMYFUNCTION("""COMPUTED_VALUE"""),511.7)</f>
        <v>511.7</v>
      </c>
      <c r="D41" s="1"/>
      <c r="E41" s="112">
        <f>IFERROR(__xludf.DUMMYFUNCTION("""COMPUTED_VALUE"""),46190.64583333333)</f>
        <v>46190.64583</v>
      </c>
      <c r="F41" s="1">
        <f>IFERROR(__xludf.DUMMYFUNCTION("""COMPUTED_VALUE"""),2738.0)</f>
        <v>2738</v>
      </c>
      <c r="G41" s="1"/>
      <c r="H41" s="29">
        <f t="shared" si="4"/>
        <v>0.1868882396</v>
      </c>
      <c r="I41" s="1">
        <f t="shared" si="5"/>
        <v>-2226.3</v>
      </c>
      <c r="J41" s="113">
        <f t="shared" si="6"/>
        <v>-1.204947001</v>
      </c>
      <c r="K41" s="29">
        <f t="shared" si="7"/>
        <v>0.1868882396</v>
      </c>
      <c r="L41" s="65">
        <f t="shared" si="8"/>
        <v>506.99</v>
      </c>
      <c r="M41" s="25">
        <f t="shared" si="9"/>
        <v>0.009204612077</v>
      </c>
      <c r="N41" s="65">
        <f t="shared" si="10"/>
        <v>2676.77</v>
      </c>
      <c r="O41" s="25">
        <f t="shared" si="11"/>
        <v>0.02236303871</v>
      </c>
      <c r="P41" s="25">
        <f t="shared" si="12"/>
        <v>-0.01315842664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IFERROR(__xludf.DUMMYFUNCTION("""COMPUTED_VALUE"""),46191.64583333333)</f>
        <v>46191.64583</v>
      </c>
      <c r="C42" s="1">
        <f>IFERROR(__xludf.DUMMYFUNCTION("""COMPUTED_VALUE"""),505.05)</f>
        <v>505.05</v>
      </c>
      <c r="D42" s="1"/>
      <c r="E42" s="112">
        <f>IFERROR(__xludf.DUMMYFUNCTION("""COMPUTED_VALUE"""),46191.64583333333)</f>
        <v>46191.64583</v>
      </c>
      <c r="F42" s="1">
        <f>IFERROR(__xludf.DUMMYFUNCTION("""COMPUTED_VALUE"""),2755.0)</f>
        <v>2755</v>
      </c>
      <c r="G42" s="1"/>
      <c r="H42" s="29">
        <f t="shared" si="4"/>
        <v>0.1833212341</v>
      </c>
      <c r="I42" s="1">
        <f t="shared" si="5"/>
        <v>-2249.95</v>
      </c>
      <c r="J42" s="113">
        <f t="shared" si="6"/>
        <v>-1.472041425</v>
      </c>
      <c r="K42" s="29">
        <f t="shared" si="7"/>
        <v>0.1833212341</v>
      </c>
      <c r="L42" s="65">
        <f t="shared" si="8"/>
        <v>506.82</v>
      </c>
      <c r="M42" s="25">
        <f t="shared" si="9"/>
        <v>-0.003504603505</v>
      </c>
      <c r="N42" s="65">
        <f t="shared" si="10"/>
        <v>2684.59</v>
      </c>
      <c r="O42" s="25">
        <f t="shared" si="11"/>
        <v>0.02555716878</v>
      </c>
      <c r="P42" s="25">
        <f t="shared" si="12"/>
        <v>-0.02906177229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IFERROR(__xludf.DUMMYFUNCTION("""COMPUTED_VALUE"""),46192.64583333333)</f>
        <v>46192.64583</v>
      </c>
      <c r="C43" s="1">
        <f>IFERROR(__xludf.DUMMYFUNCTION("""COMPUTED_VALUE"""),550.7)</f>
        <v>550.7</v>
      </c>
      <c r="D43" s="1"/>
      <c r="E43" s="112">
        <f>IFERROR(__xludf.DUMMYFUNCTION("""COMPUTED_VALUE"""),46192.64583333333)</f>
        <v>46192.64583</v>
      </c>
      <c r="F43" s="1">
        <f>IFERROR(__xludf.DUMMYFUNCTION("""COMPUTED_VALUE"""),2732.9)</f>
        <v>2732.9</v>
      </c>
      <c r="G43" s="1"/>
      <c r="H43" s="29">
        <f t="shared" si="4"/>
        <v>0.2015075561</v>
      </c>
      <c r="I43" s="1">
        <f t="shared" si="5"/>
        <v>-2182.2</v>
      </c>
      <c r="J43" s="113">
        <f t="shared" si="6"/>
        <v>-0.7068977787</v>
      </c>
      <c r="K43" s="29">
        <f t="shared" si="7"/>
        <v>0.2015075561</v>
      </c>
      <c r="L43" s="65">
        <f t="shared" si="8"/>
        <v>509.3875</v>
      </c>
      <c r="M43" s="25">
        <f t="shared" si="9"/>
        <v>0.07501815871</v>
      </c>
      <c r="N43" s="65">
        <f t="shared" si="10"/>
        <v>2691.295</v>
      </c>
      <c r="O43" s="25">
        <f t="shared" si="11"/>
        <v>0.01522375499</v>
      </c>
      <c r="P43" s="25">
        <f t="shared" si="12"/>
        <v>0.05979440372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IFERROR(__xludf.DUMMYFUNCTION("""COMPUTED_VALUE"""),46195.64583333333)</f>
        <v>46195.64583</v>
      </c>
      <c r="C44" s="1">
        <f>IFERROR(__xludf.DUMMYFUNCTION("""COMPUTED_VALUE"""),550.05)</f>
        <v>550.05</v>
      </c>
      <c r="D44" s="1"/>
      <c r="E44" s="112">
        <f>IFERROR(__xludf.DUMMYFUNCTION("""COMPUTED_VALUE"""),46195.64583333333)</f>
        <v>46195.64583</v>
      </c>
      <c r="F44" s="1">
        <f>IFERROR(__xludf.DUMMYFUNCTION("""COMPUTED_VALUE"""),2674.0)</f>
        <v>2674</v>
      </c>
      <c r="G44" s="1"/>
      <c r="H44" s="29">
        <f t="shared" si="4"/>
        <v>0.2057030666</v>
      </c>
      <c r="I44" s="1">
        <f t="shared" si="5"/>
        <v>-2123.95</v>
      </c>
      <c r="J44" s="113">
        <f t="shared" si="6"/>
        <v>-0.04904364766</v>
      </c>
      <c r="K44" s="29">
        <f t="shared" si="7"/>
        <v>0.2057030666</v>
      </c>
      <c r="L44" s="65">
        <f t="shared" si="8"/>
        <v>511.8325</v>
      </c>
      <c r="M44" s="25">
        <f t="shared" si="9"/>
        <v>0.06948004727</v>
      </c>
      <c r="N44" s="65">
        <f t="shared" si="10"/>
        <v>2693.005</v>
      </c>
      <c r="O44" s="25">
        <f t="shared" si="11"/>
        <v>-0.007107329843</v>
      </c>
      <c r="P44" s="25">
        <f t="shared" si="12"/>
        <v>0.07658737711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IFERROR(__xludf.DUMMYFUNCTION("""COMPUTED_VALUE"""),46196.64583333333)</f>
        <v>46196.64583</v>
      </c>
      <c r="C45" s="1">
        <f>IFERROR(__xludf.DUMMYFUNCTION("""COMPUTED_VALUE"""),546.25)</f>
        <v>546.25</v>
      </c>
      <c r="D45" s="1"/>
      <c r="E45" s="112">
        <f>IFERROR(__xludf.DUMMYFUNCTION("""COMPUTED_VALUE"""),46196.64583333333)</f>
        <v>46196.64583</v>
      </c>
      <c r="F45" s="1">
        <f>IFERROR(__xludf.DUMMYFUNCTION("""COMPUTED_VALUE"""),2661.2)</f>
        <v>2661.2</v>
      </c>
      <c r="G45" s="1"/>
      <c r="H45" s="29">
        <f t="shared" si="4"/>
        <v>0.2052645423</v>
      </c>
      <c r="I45" s="1">
        <f t="shared" si="5"/>
        <v>-2114.95</v>
      </c>
      <c r="J45" s="113">
        <f t="shared" si="6"/>
        <v>0.05259905069</v>
      </c>
      <c r="K45" s="29">
        <f t="shared" si="7"/>
        <v>0.2052645423</v>
      </c>
      <c r="L45" s="65">
        <f t="shared" si="8"/>
        <v>513.9025</v>
      </c>
      <c r="M45" s="25">
        <f t="shared" si="9"/>
        <v>0.0592173913</v>
      </c>
      <c r="N45" s="65">
        <f t="shared" si="10"/>
        <v>2693.175</v>
      </c>
      <c r="O45" s="25">
        <f t="shared" si="11"/>
        <v>-0.01201525628</v>
      </c>
      <c r="P45" s="25">
        <f t="shared" si="12"/>
        <v>0.07123264758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IFERROR(__xludf.DUMMYFUNCTION("""COMPUTED_VALUE"""),46197.64583333333)</f>
        <v>46197.64583</v>
      </c>
      <c r="C46" s="1">
        <f>IFERROR(__xludf.DUMMYFUNCTION("""COMPUTED_VALUE"""),530.55)</f>
        <v>530.55</v>
      </c>
      <c r="D46" s="1"/>
      <c r="E46" s="112">
        <f>IFERROR(__xludf.DUMMYFUNCTION("""COMPUTED_VALUE"""),46197.64583333333)</f>
        <v>46197.64583</v>
      </c>
      <c r="F46" s="1">
        <f>IFERROR(__xludf.DUMMYFUNCTION("""COMPUTED_VALUE"""),2667.5)</f>
        <v>2667.5</v>
      </c>
      <c r="G46" s="1"/>
      <c r="H46" s="29">
        <f t="shared" si="4"/>
        <v>0.1988940956</v>
      </c>
      <c r="I46" s="1">
        <f t="shared" si="5"/>
        <v>-2136.95</v>
      </c>
      <c r="J46" s="113">
        <f t="shared" si="6"/>
        <v>-0.1958608786</v>
      </c>
      <c r="K46" s="29">
        <f t="shared" si="7"/>
        <v>0.1988940956</v>
      </c>
      <c r="L46" s="65">
        <f t="shared" si="8"/>
        <v>514.6525</v>
      </c>
      <c r="M46" s="25">
        <f t="shared" si="9"/>
        <v>0.02996418811</v>
      </c>
      <c r="N46" s="65">
        <f t="shared" si="10"/>
        <v>2694.2</v>
      </c>
      <c r="O46" s="25">
        <f t="shared" si="11"/>
        <v>-0.01000937207</v>
      </c>
      <c r="P46" s="25">
        <f t="shared" si="12"/>
        <v>0.03997356018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IFERROR(__xludf.DUMMYFUNCTION("""COMPUTED_VALUE"""),46198.64583333333)</f>
        <v>46198.64583</v>
      </c>
      <c r="C47" s="1">
        <f>IFERROR(__xludf.DUMMYFUNCTION("""COMPUTED_VALUE"""),538.65)</f>
        <v>538.65</v>
      </c>
      <c r="D47" s="1"/>
      <c r="E47" s="112">
        <f>IFERROR(__xludf.DUMMYFUNCTION("""COMPUTED_VALUE"""),46198.64583333333)</f>
        <v>46198.64583</v>
      </c>
      <c r="F47" s="1">
        <f>IFERROR(__xludf.DUMMYFUNCTION("""COMPUTED_VALUE"""),2645.2)</f>
        <v>2645.2</v>
      </c>
      <c r="G47" s="1"/>
      <c r="H47" s="29">
        <f t="shared" si="4"/>
        <v>0.2036329956</v>
      </c>
      <c r="I47" s="1">
        <f t="shared" si="5"/>
        <v>-2106.55</v>
      </c>
      <c r="J47" s="113">
        <f t="shared" si="6"/>
        <v>0.1474655692</v>
      </c>
      <c r="K47" s="29">
        <f t="shared" si="7"/>
        <v>0.2036329956</v>
      </c>
      <c r="L47" s="65">
        <f t="shared" si="8"/>
        <v>515.2375</v>
      </c>
      <c r="M47" s="25">
        <f t="shared" si="9"/>
        <v>0.04346514434</v>
      </c>
      <c r="N47" s="65">
        <f t="shared" si="10"/>
        <v>2692.865</v>
      </c>
      <c r="O47" s="25">
        <f t="shared" si="11"/>
        <v>-0.01801943142</v>
      </c>
      <c r="P47" s="25">
        <f t="shared" si="12"/>
        <v>0.06148457577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IFERROR(__xludf.DUMMYFUNCTION("""COMPUTED_VALUE"""),46202.64583333333)</f>
        <v>46202.64583</v>
      </c>
      <c r="C48" s="1">
        <f>IFERROR(__xludf.DUMMYFUNCTION("""COMPUTED_VALUE"""),518.3)</f>
        <v>518.3</v>
      </c>
      <c r="D48" s="1"/>
      <c r="E48" s="112">
        <f>IFERROR(__xludf.DUMMYFUNCTION("""COMPUTED_VALUE"""),46202.64583333333)</f>
        <v>46202.64583</v>
      </c>
      <c r="F48" s="1">
        <f>IFERROR(__xludf.DUMMYFUNCTION("""COMPUTED_VALUE"""),2656.9)</f>
        <v>2656.9</v>
      </c>
      <c r="G48" s="1"/>
      <c r="H48" s="29">
        <f t="shared" si="4"/>
        <v>0.1950769694</v>
      </c>
      <c r="I48" s="1">
        <f t="shared" si="5"/>
        <v>-2138.6</v>
      </c>
      <c r="J48" s="113">
        <f t="shared" si="6"/>
        <v>-0.2144953733</v>
      </c>
      <c r="K48" s="29">
        <f t="shared" si="7"/>
        <v>0.1950769694</v>
      </c>
      <c r="L48" s="65">
        <f t="shared" si="8"/>
        <v>516.1225</v>
      </c>
      <c r="M48" s="25">
        <f t="shared" si="9"/>
        <v>0.004201234806</v>
      </c>
      <c r="N48" s="65">
        <f t="shared" si="10"/>
        <v>2692.13</v>
      </c>
      <c r="O48" s="25">
        <f t="shared" si="11"/>
        <v>-0.01325981407</v>
      </c>
      <c r="P48" s="25">
        <f t="shared" si="12"/>
        <v>0.01746104888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IFERROR(__xludf.DUMMYFUNCTION("""COMPUTED_VALUE"""),46203.64583333333)</f>
        <v>46203.64583</v>
      </c>
      <c r="C49" s="1">
        <f>IFERROR(__xludf.DUMMYFUNCTION("""COMPUTED_VALUE"""),510.1)</f>
        <v>510.1</v>
      </c>
      <c r="D49" s="1"/>
      <c r="E49" s="112">
        <f>IFERROR(__xludf.DUMMYFUNCTION("""COMPUTED_VALUE"""),46203.64583333333)</f>
        <v>46203.64583</v>
      </c>
      <c r="F49" s="1">
        <f>IFERROR(__xludf.DUMMYFUNCTION("""COMPUTED_VALUE"""),2635.7)</f>
        <v>2635.7</v>
      </c>
      <c r="G49" s="1"/>
      <c r="H49" s="29">
        <f t="shared" si="4"/>
        <v>0.1935349243</v>
      </c>
      <c r="I49" s="1">
        <f t="shared" si="5"/>
        <v>-2125.6</v>
      </c>
      <c r="J49" s="113">
        <f t="shared" si="6"/>
        <v>-0.06767814236</v>
      </c>
      <c r="K49" s="29">
        <f t="shared" si="7"/>
        <v>0.1935349243</v>
      </c>
      <c r="L49" s="65">
        <f t="shared" si="8"/>
        <v>515.9825</v>
      </c>
      <c r="M49" s="25">
        <f t="shared" si="9"/>
        <v>-0.01153205254</v>
      </c>
      <c r="N49" s="65">
        <f t="shared" si="10"/>
        <v>2692.295</v>
      </c>
      <c r="O49" s="25">
        <f t="shared" si="11"/>
        <v>-0.02147247411</v>
      </c>
      <c r="P49" s="25">
        <f t="shared" si="12"/>
        <v>0.009940421567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IFERROR(__xludf.DUMMYFUNCTION("""COMPUTED_VALUE"""),46204.64583333333)</f>
        <v>46204.64583</v>
      </c>
      <c r="C50" s="1">
        <f>IFERROR(__xludf.DUMMYFUNCTION("""COMPUTED_VALUE"""),515.35)</f>
        <v>515.35</v>
      </c>
      <c r="D50" s="1"/>
      <c r="E50" s="112">
        <f>IFERROR(__xludf.DUMMYFUNCTION("""COMPUTED_VALUE"""),46204.64583333333)</f>
        <v>46204.64583</v>
      </c>
      <c r="F50" s="1">
        <f>IFERROR(__xludf.DUMMYFUNCTION("""COMPUTED_VALUE"""),2716.4)</f>
        <v>2716.4</v>
      </c>
      <c r="G50" s="1"/>
      <c r="H50" s="29">
        <f t="shared" si="4"/>
        <v>0.1897180091</v>
      </c>
      <c r="I50" s="1">
        <f t="shared" si="5"/>
        <v>-2201.05</v>
      </c>
      <c r="J50" s="113">
        <f t="shared" si="6"/>
        <v>-0.9197827636</v>
      </c>
      <c r="K50" s="29">
        <f t="shared" si="7"/>
        <v>0.1897180091</v>
      </c>
      <c r="L50" s="65">
        <f t="shared" si="8"/>
        <v>516.3375</v>
      </c>
      <c r="M50" s="25">
        <f t="shared" si="9"/>
        <v>-0.001916173474</v>
      </c>
      <c r="N50" s="65">
        <f t="shared" si="10"/>
        <v>2695.08</v>
      </c>
      <c r="O50" s="25">
        <f t="shared" si="11"/>
        <v>0.007848623178</v>
      </c>
      <c r="P50" s="25">
        <f t="shared" si="12"/>
        <v>-0.009764796652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IFERROR(__xludf.DUMMYFUNCTION("""COMPUTED_VALUE"""),46205.64583333333)</f>
        <v>46205.64583</v>
      </c>
      <c r="C51" s="1">
        <f>IFERROR(__xludf.DUMMYFUNCTION("""COMPUTED_VALUE"""),520.75)</f>
        <v>520.75</v>
      </c>
      <c r="D51" s="1"/>
      <c r="E51" s="112">
        <f>IFERROR(__xludf.DUMMYFUNCTION("""COMPUTED_VALUE"""),46205.64583333333)</f>
        <v>46205.64583</v>
      </c>
      <c r="F51" s="1">
        <f>IFERROR(__xludf.DUMMYFUNCTION("""COMPUTED_VALUE"""),2744.5)</f>
        <v>2744.5</v>
      </c>
      <c r="G51" s="1"/>
      <c r="H51" s="29">
        <f t="shared" si="4"/>
        <v>0.1897431226</v>
      </c>
      <c r="I51" s="1">
        <f t="shared" si="5"/>
        <v>-2223.75</v>
      </c>
      <c r="J51" s="113">
        <f t="shared" si="6"/>
        <v>-1.176148236</v>
      </c>
      <c r="K51" s="29">
        <f t="shared" si="7"/>
        <v>0.1897431226</v>
      </c>
      <c r="L51" s="65">
        <f t="shared" si="8"/>
        <v>517.5725</v>
      </c>
      <c r="M51" s="25">
        <f t="shared" si="9"/>
        <v>0.006101776284</v>
      </c>
      <c r="N51" s="65">
        <f t="shared" si="10"/>
        <v>2699.185</v>
      </c>
      <c r="O51" s="25">
        <f t="shared" si="11"/>
        <v>0.01651120423</v>
      </c>
      <c r="P51" s="25">
        <f t="shared" si="12"/>
        <v>-0.01040942794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IFERROR(__xludf.DUMMYFUNCTION("""COMPUTED_VALUE"""),46206.64583333333)</f>
        <v>46206.64583</v>
      </c>
      <c r="C52" s="1">
        <f>IFERROR(__xludf.DUMMYFUNCTION("""COMPUTED_VALUE"""),519.45)</f>
        <v>519.45</v>
      </c>
      <c r="D52" s="1"/>
      <c r="E52" s="112">
        <f>IFERROR(__xludf.DUMMYFUNCTION("""COMPUTED_VALUE"""),46206.64583333333)</f>
        <v>46206.64583</v>
      </c>
      <c r="F52" s="1">
        <f>IFERROR(__xludf.DUMMYFUNCTION("""COMPUTED_VALUE"""),2737.8)</f>
        <v>2737.8</v>
      </c>
      <c r="G52" s="1"/>
      <c r="H52" s="29">
        <f t="shared" si="4"/>
        <v>0.189732632</v>
      </c>
      <c r="I52" s="1">
        <f t="shared" si="5"/>
        <v>-2218.35</v>
      </c>
      <c r="J52" s="113">
        <f t="shared" si="6"/>
        <v>-1.115162617</v>
      </c>
      <c r="K52" s="29">
        <f t="shared" si="7"/>
        <v>0.189732632</v>
      </c>
      <c r="L52" s="65">
        <f t="shared" si="8"/>
        <v>518.8325</v>
      </c>
      <c r="M52" s="25">
        <f t="shared" si="9"/>
        <v>0.001188757339</v>
      </c>
      <c r="N52" s="65">
        <f t="shared" si="10"/>
        <v>2702.995</v>
      </c>
      <c r="O52" s="25">
        <f t="shared" si="11"/>
        <v>0.01271276207</v>
      </c>
      <c r="P52" s="25">
        <f t="shared" si="12"/>
        <v>-0.01152400473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IFERROR(__xludf.DUMMYFUNCTION("""COMPUTED_VALUE"""),46209.64583333333)</f>
        <v>46209.64583</v>
      </c>
      <c r="C53" s="1">
        <f>IFERROR(__xludf.DUMMYFUNCTION("""COMPUTED_VALUE"""),521.85)</f>
        <v>521.85</v>
      </c>
      <c r="D53" s="1"/>
      <c r="E53" s="112">
        <f>IFERROR(__xludf.DUMMYFUNCTION("""COMPUTED_VALUE"""),46209.64583333333)</f>
        <v>46209.64583</v>
      </c>
      <c r="F53" s="1">
        <f>IFERROR(__xludf.DUMMYFUNCTION("""COMPUTED_VALUE"""),2754.9)</f>
        <v>2754.9</v>
      </c>
      <c r="G53" s="1"/>
      <c r="H53" s="29">
        <f t="shared" si="4"/>
        <v>0.1894261135</v>
      </c>
      <c r="I53" s="1">
        <f t="shared" si="5"/>
        <v>-2233.05</v>
      </c>
      <c r="J53" s="113">
        <f t="shared" si="6"/>
        <v>-1.281179024</v>
      </c>
      <c r="K53" s="29">
        <f t="shared" si="7"/>
        <v>0.1894261135</v>
      </c>
      <c r="L53" s="65">
        <f t="shared" si="8"/>
        <v>520.4125</v>
      </c>
      <c r="M53" s="25">
        <f t="shared" si="9"/>
        <v>0.002754622976</v>
      </c>
      <c r="N53" s="65">
        <f t="shared" si="10"/>
        <v>2706.405</v>
      </c>
      <c r="O53" s="25">
        <f t="shared" si="11"/>
        <v>0.01760317979</v>
      </c>
      <c r="P53" s="25">
        <f t="shared" si="12"/>
        <v>-0.01484855681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IFERROR(__xludf.DUMMYFUNCTION("""COMPUTED_VALUE"""),46210.64583333333)</f>
        <v>46210.64583</v>
      </c>
      <c r="C54" s="1">
        <f>IFERROR(__xludf.DUMMYFUNCTION("""COMPUTED_VALUE"""),508.7)</f>
        <v>508.7</v>
      </c>
      <c r="D54" s="1"/>
      <c r="E54" s="112">
        <f>IFERROR(__xludf.DUMMYFUNCTION("""COMPUTED_VALUE"""),46210.64583333333)</f>
        <v>46210.64583</v>
      </c>
      <c r="F54" s="1">
        <f>IFERROR(__xludf.DUMMYFUNCTION("""COMPUTED_VALUE"""),2731.4)</f>
        <v>2731.4</v>
      </c>
      <c r="G54" s="1"/>
      <c r="H54" s="29">
        <f t="shared" si="4"/>
        <v>0.1862414879</v>
      </c>
      <c r="I54" s="1">
        <f t="shared" si="5"/>
        <v>-2222.7</v>
      </c>
      <c r="J54" s="113">
        <f t="shared" si="6"/>
        <v>-1.164289921</v>
      </c>
      <c r="K54" s="29">
        <f t="shared" si="7"/>
        <v>0.1862414879</v>
      </c>
      <c r="L54" s="65">
        <f t="shared" si="8"/>
        <v>521.2525</v>
      </c>
      <c r="M54" s="25">
        <f t="shared" si="9"/>
        <v>-0.0246756438</v>
      </c>
      <c r="N54" s="65">
        <f t="shared" si="10"/>
        <v>2710.015</v>
      </c>
      <c r="O54" s="25">
        <f t="shared" si="11"/>
        <v>0.007829318298</v>
      </c>
      <c r="P54" s="25">
        <f t="shared" si="12"/>
        <v>-0.0325049621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IFERROR(__xludf.DUMMYFUNCTION("""COMPUTED_VALUE"""),46211.64583333333)</f>
        <v>46211.64583</v>
      </c>
      <c r="C55" s="1">
        <f>IFERROR(__xludf.DUMMYFUNCTION("""COMPUTED_VALUE"""),498.1)</f>
        <v>498.1</v>
      </c>
      <c r="D55" s="1"/>
      <c r="E55" s="112">
        <f>IFERROR(__xludf.DUMMYFUNCTION("""COMPUTED_VALUE"""),46211.64583333333)</f>
        <v>46211.64583</v>
      </c>
      <c r="F55" s="1">
        <f>IFERROR(__xludf.DUMMYFUNCTION("""COMPUTED_VALUE"""),2665.9)</f>
        <v>2665.9</v>
      </c>
      <c r="G55" s="1"/>
      <c r="H55" s="29">
        <f t="shared" si="4"/>
        <v>0.1868412168</v>
      </c>
      <c r="I55" s="1">
        <f t="shared" si="5"/>
        <v>-2167.8</v>
      </c>
      <c r="J55" s="113">
        <f t="shared" si="6"/>
        <v>-0.5442694613</v>
      </c>
      <c r="K55" s="29">
        <f t="shared" si="7"/>
        <v>0.1868412168</v>
      </c>
      <c r="L55" s="65">
        <f t="shared" si="8"/>
        <v>521.0625</v>
      </c>
      <c r="M55" s="25">
        <f t="shared" si="9"/>
        <v>-0.04610018069</v>
      </c>
      <c r="N55" s="65">
        <f t="shared" si="10"/>
        <v>2707.905</v>
      </c>
      <c r="O55" s="25">
        <f t="shared" si="11"/>
        <v>-0.01575640497</v>
      </c>
      <c r="P55" s="25">
        <f t="shared" si="12"/>
        <v>-0.03034377572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IFERROR(__xludf.DUMMYFUNCTION("""COMPUTED_VALUE"""),46212.64583333333)</f>
        <v>46212.64583</v>
      </c>
      <c r="C56" s="1">
        <f>IFERROR(__xludf.DUMMYFUNCTION("""COMPUTED_VALUE"""),497.0)</f>
        <v>497</v>
      </c>
      <c r="D56" s="1"/>
      <c r="E56" s="112">
        <f>IFERROR(__xludf.DUMMYFUNCTION("""COMPUTED_VALUE"""),46212.64583333333)</f>
        <v>46212.64583</v>
      </c>
      <c r="F56" s="1">
        <f>IFERROR(__xludf.DUMMYFUNCTION("""COMPUTED_VALUE"""),2673.8)</f>
        <v>2673.8</v>
      </c>
      <c r="G56" s="1"/>
      <c r="H56" s="29">
        <f t="shared" si="4"/>
        <v>0.1858777769</v>
      </c>
      <c r="I56" s="1">
        <f t="shared" si="5"/>
        <v>-2176.8</v>
      </c>
      <c r="J56" s="113">
        <f t="shared" si="6"/>
        <v>-0.6459121597</v>
      </c>
      <c r="K56" s="29">
        <f t="shared" si="7"/>
        <v>0.1858777769</v>
      </c>
      <c r="L56" s="65">
        <f t="shared" si="8"/>
        <v>520.0775</v>
      </c>
      <c r="M56" s="25">
        <f t="shared" si="9"/>
        <v>-0.04643360161</v>
      </c>
      <c r="N56" s="65">
        <f t="shared" si="10"/>
        <v>2705.84</v>
      </c>
      <c r="O56" s="25">
        <f t="shared" si="11"/>
        <v>-0.01198294562</v>
      </c>
      <c r="P56" s="25">
        <f t="shared" si="12"/>
        <v>-0.03445065599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IFERROR(__xludf.DUMMYFUNCTION("""COMPUTED_VALUE"""),46213.64583333333)</f>
        <v>46213.64583</v>
      </c>
      <c r="C57" s="1">
        <f>IFERROR(__xludf.DUMMYFUNCTION("""COMPUTED_VALUE"""),497.25)</f>
        <v>497.25</v>
      </c>
      <c r="D57" s="1"/>
      <c r="E57" s="112">
        <f>IFERROR(__xludf.DUMMYFUNCTION("""COMPUTED_VALUE"""),46213.64583333333)</f>
        <v>46213.64583</v>
      </c>
      <c r="F57" s="1">
        <f>IFERROR(__xludf.DUMMYFUNCTION("""COMPUTED_VALUE"""),2677.8)</f>
        <v>2677.8</v>
      </c>
      <c r="G57" s="1"/>
      <c r="H57" s="29">
        <f t="shared" si="4"/>
        <v>0.1856934797</v>
      </c>
      <c r="I57" s="1">
        <f t="shared" si="5"/>
        <v>-2180.55</v>
      </c>
      <c r="J57" s="113">
        <f t="shared" si="6"/>
        <v>-0.688263284</v>
      </c>
      <c r="K57" s="29">
        <f t="shared" si="7"/>
        <v>0.1856934797</v>
      </c>
      <c r="L57" s="65">
        <f t="shared" si="8"/>
        <v>519.2425</v>
      </c>
      <c r="M57" s="25">
        <f t="shared" si="9"/>
        <v>-0.0442282554</v>
      </c>
      <c r="N57" s="65">
        <f t="shared" si="10"/>
        <v>2705.185</v>
      </c>
      <c r="O57" s="25">
        <f t="shared" si="11"/>
        <v>-0.01022667862</v>
      </c>
      <c r="P57" s="25">
        <f t="shared" si="12"/>
        <v>-0.03400157679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IFERROR(__xludf.DUMMYFUNCTION("""COMPUTED_VALUE"""),46216.64583333333)</f>
        <v>46216.64583</v>
      </c>
      <c r="C58" s="1">
        <f>IFERROR(__xludf.DUMMYFUNCTION("""COMPUTED_VALUE"""),492.95)</f>
        <v>492.95</v>
      </c>
      <c r="D58" s="1"/>
      <c r="E58" s="112">
        <f>IFERROR(__xludf.DUMMYFUNCTION("""COMPUTED_VALUE"""),46216.64583333333)</f>
        <v>46216.64583</v>
      </c>
      <c r="F58" s="1">
        <f>IFERROR(__xludf.DUMMYFUNCTION("""COMPUTED_VALUE"""),2652.1)</f>
        <v>2652.1</v>
      </c>
      <c r="G58" s="1"/>
      <c r="H58" s="29">
        <f t="shared" si="4"/>
        <v>0.1858715735</v>
      </c>
      <c r="I58" s="1">
        <f t="shared" si="5"/>
        <v>-2159.15</v>
      </c>
      <c r="J58" s="113">
        <f t="shared" si="6"/>
        <v>-0.4465795346</v>
      </c>
      <c r="K58" s="29">
        <f t="shared" si="7"/>
        <v>0.1858715735</v>
      </c>
      <c r="L58" s="65">
        <f t="shared" si="8"/>
        <v>518.1325</v>
      </c>
      <c r="M58" s="25">
        <f t="shared" si="9"/>
        <v>-0.05108530277</v>
      </c>
      <c r="N58" s="65">
        <f t="shared" si="10"/>
        <v>2700.42</v>
      </c>
      <c r="O58" s="25">
        <f t="shared" si="11"/>
        <v>-0.01821952415</v>
      </c>
      <c r="P58" s="25">
        <f t="shared" si="12"/>
        <v>-0.03286577862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IFERROR(__xludf.DUMMYFUNCTION("""COMPUTED_VALUE"""),46217.64583333333)</f>
        <v>46217.64583</v>
      </c>
      <c r="C59" s="1">
        <f>IFERROR(__xludf.DUMMYFUNCTION("""COMPUTED_VALUE"""),489.1)</f>
        <v>489.1</v>
      </c>
      <c r="D59" s="1"/>
      <c r="E59" s="112">
        <f>IFERROR(__xludf.DUMMYFUNCTION("""COMPUTED_VALUE"""),46217.64583333333)</f>
        <v>46217.64583</v>
      </c>
      <c r="F59" s="1">
        <f>IFERROR(__xludf.DUMMYFUNCTION("""COMPUTED_VALUE"""),2641.0)</f>
        <v>2641</v>
      </c>
      <c r="G59" s="1"/>
      <c r="H59" s="29">
        <f t="shared" si="4"/>
        <v>0.1851950019</v>
      </c>
      <c r="I59" s="1">
        <f t="shared" si="5"/>
        <v>-2151.9</v>
      </c>
      <c r="J59" s="113">
        <f t="shared" si="6"/>
        <v>-0.3647006942</v>
      </c>
      <c r="K59" s="29">
        <f t="shared" si="7"/>
        <v>0.1851950019</v>
      </c>
      <c r="L59" s="65">
        <f t="shared" si="8"/>
        <v>516.6175</v>
      </c>
      <c r="M59" s="25">
        <f t="shared" si="9"/>
        <v>-0.05626150072</v>
      </c>
      <c r="N59" s="65">
        <f t="shared" si="10"/>
        <v>2695.505</v>
      </c>
      <c r="O59" s="25">
        <f t="shared" si="11"/>
        <v>-0.0206380159</v>
      </c>
      <c r="P59" s="25">
        <f t="shared" si="12"/>
        <v>-0.03562348481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IFERROR(__xludf.DUMMYFUNCTION("""COMPUTED_VALUE"""),46218.64583333333)</f>
        <v>46218.64583</v>
      </c>
      <c r="C60" s="1">
        <f>IFERROR(__xludf.DUMMYFUNCTION("""COMPUTED_VALUE"""),491.7)</f>
        <v>491.7</v>
      </c>
      <c r="D60" s="1"/>
      <c r="E60" s="112">
        <f>IFERROR(__xludf.DUMMYFUNCTION("""COMPUTED_VALUE"""),46218.64583333333)</f>
        <v>46218.64583</v>
      </c>
      <c r="F60" s="1">
        <f>IFERROR(__xludf.DUMMYFUNCTION("""COMPUTED_VALUE"""),2670.0)</f>
        <v>2670</v>
      </c>
      <c r="G60" s="1"/>
      <c r="H60" s="29">
        <f t="shared" si="4"/>
        <v>0.1841573034</v>
      </c>
      <c r="I60" s="1">
        <f t="shared" si="5"/>
        <v>-2178.3</v>
      </c>
      <c r="J60" s="113">
        <f t="shared" si="6"/>
        <v>-0.6628526094</v>
      </c>
      <c r="K60" s="29">
        <f t="shared" si="7"/>
        <v>0.1841573034</v>
      </c>
      <c r="L60" s="65">
        <f t="shared" si="8"/>
        <v>515.6775</v>
      </c>
      <c r="M60" s="25">
        <f t="shared" si="9"/>
        <v>-0.04876449054</v>
      </c>
      <c r="N60" s="65">
        <f t="shared" si="10"/>
        <v>2691.6</v>
      </c>
      <c r="O60" s="25">
        <f t="shared" si="11"/>
        <v>-0.00808988764</v>
      </c>
      <c r="P60" s="25">
        <f t="shared" si="12"/>
        <v>-0.0406746029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IFERROR(__xludf.DUMMYFUNCTION("""COMPUTED_VALUE"""),46219.64583333333)</f>
        <v>46219.64583</v>
      </c>
      <c r="C61" s="1">
        <f>IFERROR(__xludf.DUMMYFUNCTION("""COMPUTED_VALUE"""),498.3)</f>
        <v>498.3</v>
      </c>
      <c r="D61" s="1"/>
      <c r="E61" s="112">
        <f>IFERROR(__xludf.DUMMYFUNCTION("""COMPUTED_VALUE"""),46219.64583333333)</f>
        <v>46219.64583</v>
      </c>
      <c r="F61" s="1">
        <f>IFERROR(__xludf.DUMMYFUNCTION("""COMPUTED_VALUE"""),2674.7)</f>
        <v>2674.7</v>
      </c>
      <c r="G61" s="1"/>
      <c r="H61" s="29">
        <f t="shared" si="4"/>
        <v>0.1863012674</v>
      </c>
      <c r="I61" s="1">
        <f t="shared" si="5"/>
        <v>-2176.4</v>
      </c>
      <c r="J61" s="113">
        <f t="shared" si="6"/>
        <v>-0.6413947064</v>
      </c>
      <c r="K61" s="29">
        <f t="shared" si="7"/>
        <v>0.1863012674</v>
      </c>
      <c r="L61" s="65">
        <f t="shared" si="8"/>
        <v>515.0075</v>
      </c>
      <c r="M61" s="25">
        <f t="shared" si="9"/>
        <v>-0.0335289986</v>
      </c>
      <c r="N61" s="65">
        <f t="shared" si="10"/>
        <v>2688.435</v>
      </c>
      <c r="O61" s="25">
        <f t="shared" si="11"/>
        <v>-0.005135155345</v>
      </c>
      <c r="P61" s="25">
        <f t="shared" si="12"/>
        <v>-0.02839384325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IFERROR(__xludf.DUMMYFUNCTION("""COMPUTED_VALUE"""),46220.64583333333)</f>
        <v>46220.64583</v>
      </c>
      <c r="C62" s="1">
        <f>IFERROR(__xludf.DUMMYFUNCTION("""COMPUTED_VALUE"""),493.7)</f>
        <v>493.7</v>
      </c>
      <c r="D62" s="1"/>
      <c r="E62" s="112">
        <f>IFERROR(__xludf.DUMMYFUNCTION("""COMPUTED_VALUE"""),46220.64583333333)</f>
        <v>46220.64583</v>
      </c>
      <c r="F62" s="1">
        <f>IFERROR(__xludf.DUMMYFUNCTION("""COMPUTED_VALUE"""),2689.0)</f>
        <v>2689</v>
      </c>
      <c r="G62" s="1"/>
      <c r="H62" s="29">
        <f t="shared" si="4"/>
        <v>0.1835998512</v>
      </c>
      <c r="I62" s="1">
        <f t="shared" si="5"/>
        <v>-2195.3</v>
      </c>
      <c r="J62" s="113">
        <f t="shared" si="6"/>
        <v>-0.854844373</v>
      </c>
      <c r="K62" s="29">
        <f t="shared" si="7"/>
        <v>0.1835998512</v>
      </c>
      <c r="L62" s="65">
        <f t="shared" si="8"/>
        <v>514.44</v>
      </c>
      <c r="M62" s="25">
        <f t="shared" si="9"/>
        <v>-0.0420093174</v>
      </c>
      <c r="N62" s="65">
        <f t="shared" si="10"/>
        <v>2685.135</v>
      </c>
      <c r="O62" s="25">
        <f t="shared" si="11"/>
        <v>0.0014373373</v>
      </c>
      <c r="P62" s="25">
        <f t="shared" si="12"/>
        <v>-0.0434466547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IFERROR(__xludf.DUMMYFUNCTION("""COMPUTED_VALUE"""),46223.64583333333)</f>
        <v>46223.64583</v>
      </c>
      <c r="C63" s="1">
        <f>IFERROR(__xludf.DUMMYFUNCTION("""COMPUTED_VALUE"""),490.7)</f>
        <v>490.7</v>
      </c>
      <c r="D63" s="1"/>
      <c r="E63" s="112">
        <f>IFERROR(__xludf.DUMMYFUNCTION("""COMPUTED_VALUE"""),46223.64583333333)</f>
        <v>46223.64583</v>
      </c>
      <c r="F63" s="1">
        <f>IFERROR(__xludf.DUMMYFUNCTION("""COMPUTED_VALUE"""),2691.4)</f>
        <v>2691.4</v>
      </c>
      <c r="G63" s="1"/>
      <c r="H63" s="29">
        <f t="shared" si="4"/>
        <v>0.1823214684</v>
      </c>
      <c r="I63" s="1">
        <f t="shared" si="5"/>
        <v>-2200.7</v>
      </c>
      <c r="J63" s="113">
        <f t="shared" si="6"/>
        <v>-0.915829992</v>
      </c>
      <c r="K63" s="29">
        <f t="shared" si="7"/>
        <v>0.1823214684</v>
      </c>
      <c r="L63" s="65">
        <f t="shared" si="8"/>
        <v>511.44</v>
      </c>
      <c r="M63" s="25">
        <f t="shared" si="9"/>
        <v>-0.0422661504</v>
      </c>
      <c r="N63" s="65">
        <f t="shared" si="10"/>
        <v>2683.06</v>
      </c>
      <c r="O63" s="25">
        <f t="shared" si="11"/>
        <v>0.00309875901</v>
      </c>
      <c r="P63" s="25">
        <f t="shared" si="12"/>
        <v>-0.04536490941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IFERROR(__xludf.DUMMYFUNCTION("""COMPUTED_VALUE"""),46224.64583333333)</f>
        <v>46224.64583</v>
      </c>
      <c r="C64" s="1">
        <f>IFERROR(__xludf.DUMMYFUNCTION("""COMPUTED_VALUE"""),506.4)</f>
        <v>506.4</v>
      </c>
      <c r="D64" s="1"/>
      <c r="E64" s="112">
        <f>IFERROR(__xludf.DUMMYFUNCTION("""COMPUTED_VALUE"""),46224.64583333333)</f>
        <v>46224.64583</v>
      </c>
      <c r="F64" s="1">
        <f>IFERROR(__xludf.DUMMYFUNCTION("""COMPUTED_VALUE"""),2692.4)</f>
        <v>2692.4</v>
      </c>
      <c r="G64" s="1"/>
      <c r="H64" s="29">
        <f t="shared" si="4"/>
        <v>0.1880849799</v>
      </c>
      <c r="I64" s="1">
        <f t="shared" si="5"/>
        <v>-2186</v>
      </c>
      <c r="J64" s="113">
        <f t="shared" si="6"/>
        <v>-0.7498135847</v>
      </c>
      <c r="K64" s="29">
        <f t="shared" si="7"/>
        <v>0.1880849799</v>
      </c>
      <c r="L64" s="65">
        <f t="shared" si="8"/>
        <v>509.2575</v>
      </c>
      <c r="M64" s="25">
        <f t="shared" si="9"/>
        <v>-0.005642772512</v>
      </c>
      <c r="N64" s="65">
        <f t="shared" si="10"/>
        <v>2683.98</v>
      </c>
      <c r="O64" s="25">
        <f t="shared" si="11"/>
        <v>0.003127321349</v>
      </c>
      <c r="P64" s="25">
        <f t="shared" si="12"/>
        <v>-0.008770093861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IFERROR(__xludf.DUMMYFUNCTION("""COMPUTED_VALUE"""),46225.64583333333)</f>
        <v>46225.64583</v>
      </c>
      <c r="C65" s="1">
        <f>IFERROR(__xludf.DUMMYFUNCTION("""COMPUTED_VALUE"""),496.45)</f>
        <v>496.45</v>
      </c>
      <c r="D65" s="1"/>
      <c r="E65" s="112">
        <f>IFERROR(__xludf.DUMMYFUNCTION("""COMPUTED_VALUE"""),46225.64583333333)</f>
        <v>46225.64583</v>
      </c>
      <c r="F65" s="1">
        <f>IFERROR(__xludf.DUMMYFUNCTION("""COMPUTED_VALUE"""),2692.8)</f>
        <v>2692.8</v>
      </c>
      <c r="G65" s="1"/>
      <c r="H65" s="29">
        <f t="shared" si="4"/>
        <v>0.1843620024</v>
      </c>
      <c r="I65" s="1">
        <f t="shared" si="5"/>
        <v>-2196.35</v>
      </c>
      <c r="J65" s="113">
        <f t="shared" si="6"/>
        <v>-0.8667026878</v>
      </c>
      <c r="K65" s="29">
        <f t="shared" si="7"/>
        <v>0.1843620024</v>
      </c>
      <c r="L65" s="65">
        <f t="shared" si="8"/>
        <v>506.7675</v>
      </c>
      <c r="M65" s="25">
        <f t="shared" si="9"/>
        <v>-0.02078255615</v>
      </c>
      <c r="N65" s="65">
        <f t="shared" si="10"/>
        <v>2685.56</v>
      </c>
      <c r="O65" s="25">
        <f t="shared" si="11"/>
        <v>0.002688651218</v>
      </c>
      <c r="P65" s="25">
        <f t="shared" si="12"/>
        <v>-0.02347120737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IFERROR(__xludf.DUMMYFUNCTION("""COMPUTED_VALUE"""),46226.64583333333)</f>
        <v>46226.64583</v>
      </c>
      <c r="C66" s="1">
        <f>IFERROR(__xludf.DUMMYFUNCTION("""COMPUTED_VALUE"""),493.6)</f>
        <v>493.6</v>
      </c>
      <c r="D66" s="1"/>
      <c r="E66" s="112">
        <f>IFERROR(__xludf.DUMMYFUNCTION("""COMPUTED_VALUE"""),46226.64583333333)</f>
        <v>46226.64583</v>
      </c>
      <c r="F66" s="1">
        <f>IFERROR(__xludf.DUMMYFUNCTION("""COMPUTED_VALUE"""),2668.8)</f>
        <v>2668.8</v>
      </c>
      <c r="G66" s="1"/>
      <c r="H66" s="29">
        <f t="shared" si="4"/>
        <v>0.1849520384</v>
      </c>
      <c r="I66" s="1">
        <f t="shared" si="5"/>
        <v>-2175.2</v>
      </c>
      <c r="J66" s="113">
        <f t="shared" si="6"/>
        <v>-0.6278423466</v>
      </c>
      <c r="K66" s="29">
        <f t="shared" si="7"/>
        <v>0.1849520384</v>
      </c>
      <c r="L66" s="65">
        <f t="shared" si="8"/>
        <v>504.92</v>
      </c>
      <c r="M66" s="25">
        <f t="shared" si="9"/>
        <v>-0.02293354943</v>
      </c>
      <c r="N66" s="65">
        <f t="shared" si="10"/>
        <v>2685.625</v>
      </c>
      <c r="O66" s="25">
        <f t="shared" si="11"/>
        <v>-0.006304331535</v>
      </c>
      <c r="P66" s="25">
        <f t="shared" si="12"/>
        <v>-0.0166292179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IFERROR(__xludf.DUMMYFUNCTION("""COMPUTED_VALUE"""),46227.64583333333)</f>
        <v>46227.64583</v>
      </c>
      <c r="C67" s="1">
        <f>IFERROR(__xludf.DUMMYFUNCTION("""COMPUTED_VALUE"""),497.95)</f>
        <v>497.95</v>
      </c>
      <c r="D67" s="1"/>
      <c r="E67" s="112">
        <f>IFERROR(__xludf.DUMMYFUNCTION("""COMPUTED_VALUE"""),46227.64583333333)</f>
        <v>46227.64583</v>
      </c>
      <c r="F67" s="1">
        <f>IFERROR(__xludf.DUMMYFUNCTION("""COMPUTED_VALUE"""),2637.9)</f>
        <v>2637.9</v>
      </c>
      <c r="G67" s="1"/>
      <c r="H67" s="29">
        <f t="shared" si="4"/>
        <v>0.1887675803</v>
      </c>
      <c r="I67" s="1">
        <f t="shared" si="5"/>
        <v>-2139.95</v>
      </c>
      <c r="J67" s="113">
        <f t="shared" si="6"/>
        <v>-0.2297417781</v>
      </c>
      <c r="K67" s="29">
        <f t="shared" si="7"/>
        <v>0.1887675803</v>
      </c>
      <c r="L67" s="65">
        <f t="shared" si="8"/>
        <v>502.885</v>
      </c>
      <c r="M67" s="25">
        <f t="shared" si="9"/>
        <v>-0.009910633598</v>
      </c>
      <c r="N67" s="65">
        <f t="shared" si="10"/>
        <v>2685.26</v>
      </c>
      <c r="O67" s="25">
        <f t="shared" si="11"/>
        <v>-0.01795367527</v>
      </c>
      <c r="P67" s="25">
        <f t="shared" si="12"/>
        <v>0.008043041674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IFERROR(__xludf.DUMMYFUNCTION("""COMPUTED_VALUE"""),46230.64583333333)</f>
        <v>46230.64583</v>
      </c>
      <c r="C68" s="1">
        <f>IFERROR(__xludf.DUMMYFUNCTION("""COMPUTED_VALUE"""),504.0)</f>
        <v>504</v>
      </c>
      <c r="D68" s="1"/>
      <c r="E68" s="112">
        <f>IFERROR(__xludf.DUMMYFUNCTION("""COMPUTED_VALUE"""),46230.64583333333)</f>
        <v>46230.64583</v>
      </c>
      <c r="F68" s="1">
        <f>IFERROR(__xludf.DUMMYFUNCTION("""COMPUTED_VALUE"""),2710.2)</f>
        <v>2710.2</v>
      </c>
      <c r="G68" s="1"/>
      <c r="H68" s="29">
        <f t="shared" si="4"/>
        <v>0.1859641355</v>
      </c>
      <c r="I68" s="1">
        <f t="shared" si="5"/>
        <v>-2206.2</v>
      </c>
      <c r="J68" s="113">
        <f t="shared" si="6"/>
        <v>-0.9779449743</v>
      </c>
      <c r="K68" s="29">
        <f t="shared" si="7"/>
        <v>0.1859641355</v>
      </c>
      <c r="L68" s="65">
        <f t="shared" si="8"/>
        <v>502.17</v>
      </c>
      <c r="M68" s="25">
        <f t="shared" si="9"/>
        <v>0.003630952381</v>
      </c>
      <c r="N68" s="65">
        <f t="shared" si="10"/>
        <v>2687.925</v>
      </c>
      <c r="O68" s="25">
        <f t="shared" si="11"/>
        <v>0.008218950631</v>
      </c>
      <c r="P68" s="25">
        <f t="shared" si="12"/>
        <v>-0.00458799825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IFERROR(__xludf.DUMMYFUNCTION("""COMPUTED_VALUE"""),46231.64583333333)</f>
        <v>46231.64583</v>
      </c>
      <c r="C69" s="1">
        <f>IFERROR(__xludf.DUMMYFUNCTION("""COMPUTED_VALUE"""),499.35)</f>
        <v>499.35</v>
      </c>
      <c r="D69" s="1"/>
      <c r="E69" s="112">
        <f>IFERROR(__xludf.DUMMYFUNCTION("""COMPUTED_VALUE"""),46231.64583333333)</f>
        <v>46231.64583</v>
      </c>
      <c r="F69" s="1">
        <f>IFERROR(__xludf.DUMMYFUNCTION("""COMPUTED_VALUE"""),2736.2)</f>
        <v>2736.2</v>
      </c>
      <c r="G69" s="1"/>
      <c r="H69" s="29">
        <f t="shared" si="4"/>
        <v>0.1824976244</v>
      </c>
      <c r="I69" s="1">
        <f t="shared" si="5"/>
        <v>-2236.85</v>
      </c>
      <c r="J69" s="113">
        <f t="shared" si="6"/>
        <v>-1.32409483</v>
      </c>
      <c r="K69" s="29">
        <f t="shared" si="7"/>
        <v>0.1824976244</v>
      </c>
      <c r="L69" s="65">
        <f t="shared" si="8"/>
        <v>501.6325</v>
      </c>
      <c r="M69" s="25">
        <f t="shared" si="9"/>
        <v>-0.004570942225</v>
      </c>
      <c r="N69" s="65">
        <f t="shared" si="10"/>
        <v>2692.95</v>
      </c>
      <c r="O69" s="25">
        <f t="shared" si="11"/>
        <v>0.01580659309</v>
      </c>
      <c r="P69" s="25">
        <f t="shared" si="12"/>
        <v>-0.02037753531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IFERROR(__xludf.DUMMYFUNCTION("""COMPUTED_VALUE"""),46232.64583333333)</f>
        <v>46232.64583</v>
      </c>
      <c r="C70" s="1">
        <f>IFERROR(__xludf.DUMMYFUNCTION("""COMPUTED_VALUE"""),520.05)</f>
        <v>520.05</v>
      </c>
      <c r="D70" s="1"/>
      <c r="E70" s="112">
        <f>IFERROR(__xludf.DUMMYFUNCTION("""COMPUTED_VALUE"""),46232.64583333333)</f>
        <v>46232.64583</v>
      </c>
      <c r="F70" s="1">
        <f>IFERROR(__xludf.DUMMYFUNCTION("""COMPUTED_VALUE"""),2758.4)</f>
        <v>2758.4</v>
      </c>
      <c r="G70" s="1"/>
      <c r="H70" s="29">
        <f t="shared" si="4"/>
        <v>0.1885332077</v>
      </c>
      <c r="I70" s="1">
        <f t="shared" si="5"/>
        <v>-2238.35</v>
      </c>
      <c r="J70" s="113">
        <f t="shared" si="6"/>
        <v>-1.34103528</v>
      </c>
      <c r="K70" s="29">
        <f t="shared" si="7"/>
        <v>0.1885332077</v>
      </c>
      <c r="L70" s="65">
        <f t="shared" si="8"/>
        <v>501.8675</v>
      </c>
      <c r="M70" s="25">
        <f t="shared" si="9"/>
        <v>0.03496298433</v>
      </c>
      <c r="N70" s="65">
        <f t="shared" si="10"/>
        <v>2695.05</v>
      </c>
      <c r="O70" s="25">
        <f t="shared" si="11"/>
        <v>0.0229662123</v>
      </c>
      <c r="P70" s="25">
        <f t="shared" si="12"/>
        <v>0.01199677203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IFERROR(__xludf.DUMMYFUNCTION("""COMPUTED_VALUE"""),46233.64583333333)</f>
        <v>46233.64583</v>
      </c>
      <c r="C71" s="1">
        <f>IFERROR(__xludf.DUMMYFUNCTION("""COMPUTED_VALUE"""),521.35)</f>
        <v>521.35</v>
      </c>
      <c r="D71" s="1"/>
      <c r="E71" s="112">
        <f>IFERROR(__xludf.DUMMYFUNCTION("""COMPUTED_VALUE"""),46233.64583333333)</f>
        <v>46233.64583</v>
      </c>
      <c r="F71" s="1">
        <f>IFERROR(__xludf.DUMMYFUNCTION("""COMPUTED_VALUE"""),2746.2)</f>
        <v>2746.2</v>
      </c>
      <c r="G71" s="1"/>
      <c r="H71" s="29">
        <f t="shared" si="4"/>
        <v>0.1898441483</v>
      </c>
      <c r="I71" s="1">
        <f t="shared" si="5"/>
        <v>-2224.85</v>
      </c>
      <c r="J71" s="113">
        <f t="shared" si="6"/>
        <v>-1.188571233</v>
      </c>
      <c r="K71" s="29">
        <f t="shared" si="7"/>
        <v>0.1898441483</v>
      </c>
      <c r="L71" s="65">
        <f t="shared" si="8"/>
        <v>501.8975</v>
      </c>
      <c r="M71" s="25">
        <f t="shared" si="9"/>
        <v>0.03731178671</v>
      </c>
      <c r="N71" s="65">
        <f t="shared" si="10"/>
        <v>2695.135</v>
      </c>
      <c r="O71" s="25">
        <f t="shared" si="11"/>
        <v>0.01859478552</v>
      </c>
      <c r="P71" s="25">
        <f t="shared" si="12"/>
        <v>0.01871700119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IFERROR(__xludf.DUMMYFUNCTION("""COMPUTED_VALUE"""),46234.64583333333)</f>
        <v>46234.64583</v>
      </c>
      <c r="C72" s="1">
        <f>IFERROR(__xludf.DUMMYFUNCTION("""COMPUTED_VALUE"""),520.45)</f>
        <v>520.45</v>
      </c>
      <c r="D72" s="1"/>
      <c r="E72" s="112">
        <f>IFERROR(__xludf.DUMMYFUNCTION("""COMPUTED_VALUE"""),46234.64583333333)</f>
        <v>46234.64583</v>
      </c>
      <c r="F72" s="1">
        <f>IFERROR(__xludf.DUMMYFUNCTION("""COMPUTED_VALUE"""),2747.3)</f>
        <v>2747.3</v>
      </c>
      <c r="G72" s="1"/>
      <c r="H72" s="29">
        <f t="shared" si="4"/>
        <v>0.1894405416</v>
      </c>
      <c r="I72" s="1">
        <f t="shared" si="5"/>
        <v>-2226.85</v>
      </c>
      <c r="J72" s="113">
        <f t="shared" si="6"/>
        <v>-1.211158499</v>
      </c>
      <c r="K72" s="29">
        <f t="shared" si="7"/>
        <v>0.1894405416</v>
      </c>
      <c r="L72" s="65">
        <f t="shared" si="8"/>
        <v>501.9475</v>
      </c>
      <c r="M72" s="25">
        <f t="shared" si="9"/>
        <v>0.03555096551</v>
      </c>
      <c r="N72" s="65">
        <f t="shared" si="10"/>
        <v>2695.61</v>
      </c>
      <c r="O72" s="25">
        <f t="shared" si="11"/>
        <v>0.01881483638</v>
      </c>
      <c r="P72" s="25">
        <f t="shared" si="12"/>
        <v>0.01673612913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IFERROR(__xludf.DUMMYFUNCTION("""COMPUTED_VALUE"""),46237.64583333333)</f>
        <v>46237.64583</v>
      </c>
      <c r="C73" s="1">
        <f>IFERROR(__xludf.DUMMYFUNCTION("""COMPUTED_VALUE"""),526.55)</f>
        <v>526.55</v>
      </c>
      <c r="D73" s="1"/>
      <c r="E73" s="112">
        <f>IFERROR(__xludf.DUMMYFUNCTION("""COMPUTED_VALUE"""),46237.64583333333)</f>
        <v>46237.64583</v>
      </c>
      <c r="F73" s="1">
        <f>IFERROR(__xludf.DUMMYFUNCTION("""COMPUTED_VALUE"""),2810.0)</f>
        <v>2810</v>
      </c>
      <c r="G73" s="1"/>
      <c r="H73" s="29">
        <f t="shared" si="4"/>
        <v>0.1873843416</v>
      </c>
      <c r="I73" s="1">
        <f t="shared" si="5"/>
        <v>-2283.45</v>
      </c>
      <c r="J73" s="113">
        <f t="shared" si="6"/>
        <v>-1.850378135</v>
      </c>
      <c r="K73" s="29">
        <f t="shared" si="7"/>
        <v>0.1873843416</v>
      </c>
      <c r="L73" s="65">
        <f t="shared" si="8"/>
        <v>502.1825</v>
      </c>
      <c r="M73" s="25">
        <f t="shared" si="9"/>
        <v>0.04627765644</v>
      </c>
      <c r="N73" s="65">
        <f t="shared" si="10"/>
        <v>2698.365</v>
      </c>
      <c r="O73" s="25">
        <f t="shared" si="11"/>
        <v>0.03972775801</v>
      </c>
      <c r="P73" s="25">
        <f t="shared" si="12"/>
        <v>0.006549898436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IFERROR(__xludf.DUMMYFUNCTION("""COMPUTED_VALUE"""),46238.64583333333)</f>
        <v>46238.64583</v>
      </c>
      <c r="C74" s="1">
        <f>IFERROR(__xludf.DUMMYFUNCTION("""COMPUTED_VALUE"""),533.8)</f>
        <v>533.8</v>
      </c>
      <c r="D74" s="1"/>
      <c r="E74" s="112">
        <f>IFERROR(__xludf.DUMMYFUNCTION("""COMPUTED_VALUE"""),46238.64583333333)</f>
        <v>46238.64583</v>
      </c>
      <c r="F74" s="1">
        <f>IFERROR(__xludf.DUMMYFUNCTION("""COMPUTED_VALUE"""),2775.0)</f>
        <v>2775</v>
      </c>
      <c r="G74" s="1"/>
      <c r="H74" s="29">
        <f t="shared" si="4"/>
        <v>0.1923603604</v>
      </c>
      <c r="I74" s="1">
        <f t="shared" si="5"/>
        <v>-2241.2</v>
      </c>
      <c r="J74" s="113">
        <f t="shared" si="6"/>
        <v>-1.373222135</v>
      </c>
      <c r="K74" s="29">
        <f t="shared" si="7"/>
        <v>0.1923603604</v>
      </c>
      <c r="L74" s="65">
        <f t="shared" si="8"/>
        <v>503.4375</v>
      </c>
      <c r="M74" s="25">
        <f t="shared" si="9"/>
        <v>0.05687991757</v>
      </c>
      <c r="N74" s="65">
        <f t="shared" si="10"/>
        <v>2700.545</v>
      </c>
      <c r="O74" s="25">
        <f t="shared" si="11"/>
        <v>0.02683063063</v>
      </c>
      <c r="P74" s="25">
        <f t="shared" si="12"/>
        <v>0.03004928694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IFERROR(__xludf.DUMMYFUNCTION("""COMPUTED_VALUE"""),46239.64583333333)</f>
        <v>46239.64583</v>
      </c>
      <c r="C75" s="1">
        <f>IFERROR(__xludf.DUMMYFUNCTION("""COMPUTED_VALUE"""),545.2)</f>
        <v>545.2</v>
      </c>
      <c r="D75" s="1"/>
      <c r="E75" s="112">
        <f>IFERROR(__xludf.DUMMYFUNCTION("""COMPUTED_VALUE"""),46239.64583333333)</f>
        <v>46239.64583</v>
      </c>
      <c r="F75" s="1">
        <f>IFERROR(__xludf.DUMMYFUNCTION("""COMPUTED_VALUE"""),2760.0)</f>
        <v>2760</v>
      </c>
      <c r="G75" s="1"/>
      <c r="H75" s="29">
        <f t="shared" si="4"/>
        <v>0.1975362319</v>
      </c>
      <c r="I75" s="1">
        <f t="shared" si="5"/>
        <v>-2214.8</v>
      </c>
      <c r="J75" s="113">
        <f t="shared" si="6"/>
        <v>-1.075070219</v>
      </c>
      <c r="K75" s="29">
        <f t="shared" si="7"/>
        <v>0.1975362319</v>
      </c>
      <c r="L75" s="65">
        <f t="shared" si="8"/>
        <v>505.7925</v>
      </c>
      <c r="M75" s="25">
        <f t="shared" si="9"/>
        <v>0.07228081438</v>
      </c>
      <c r="N75" s="65">
        <f t="shared" si="10"/>
        <v>2705.25</v>
      </c>
      <c r="O75" s="25">
        <f t="shared" si="11"/>
        <v>0.01983695652</v>
      </c>
      <c r="P75" s="25">
        <f t="shared" si="12"/>
        <v>0.05244385786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IFERROR(__xludf.DUMMYFUNCTION("""COMPUTED_VALUE"""),46240.64583333333)</f>
        <v>46240.64583</v>
      </c>
      <c r="C76" s="1">
        <f>IFERROR(__xludf.DUMMYFUNCTION("""COMPUTED_VALUE"""),537.6)</f>
        <v>537.6</v>
      </c>
      <c r="D76" s="1"/>
      <c r="E76" s="112">
        <f>IFERROR(__xludf.DUMMYFUNCTION("""COMPUTED_VALUE"""),46240.64583333333)</f>
        <v>46240.64583</v>
      </c>
      <c r="F76" s="1">
        <f>IFERROR(__xludf.DUMMYFUNCTION("""COMPUTED_VALUE"""),2755.0)</f>
        <v>2755</v>
      </c>
      <c r="G76" s="1"/>
      <c r="H76" s="29">
        <f t="shared" si="4"/>
        <v>0.1951361162</v>
      </c>
      <c r="I76" s="1">
        <f t="shared" si="5"/>
        <v>-2217.4</v>
      </c>
      <c r="J76" s="113">
        <f t="shared" si="6"/>
        <v>-1.104433666</v>
      </c>
      <c r="K76" s="29">
        <f t="shared" si="7"/>
        <v>0.1951361162</v>
      </c>
      <c r="L76" s="65">
        <f t="shared" si="8"/>
        <v>507.8225</v>
      </c>
      <c r="M76" s="25">
        <f t="shared" si="9"/>
        <v>0.05538969494</v>
      </c>
      <c r="N76" s="65">
        <f t="shared" si="10"/>
        <v>2709.31</v>
      </c>
      <c r="O76" s="25">
        <f t="shared" si="11"/>
        <v>0.01658439201</v>
      </c>
      <c r="P76" s="25">
        <f t="shared" si="12"/>
        <v>0.03880530293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IFERROR(__xludf.DUMMYFUNCTION("""COMPUTED_VALUE"""),46241.64583333333)</f>
        <v>46241.64583</v>
      </c>
      <c r="C77" s="1">
        <f>IFERROR(__xludf.DUMMYFUNCTION("""COMPUTED_VALUE"""),530.55)</f>
        <v>530.55</v>
      </c>
      <c r="D77" s="1"/>
      <c r="E77" s="112">
        <f>IFERROR(__xludf.DUMMYFUNCTION("""COMPUTED_VALUE"""),46241.64583333333)</f>
        <v>46241.64583</v>
      </c>
      <c r="F77" s="1">
        <f>IFERROR(__xludf.DUMMYFUNCTION("""COMPUTED_VALUE"""),2735.0)</f>
        <v>2735</v>
      </c>
      <c r="G77" s="1"/>
      <c r="H77" s="29">
        <f t="shared" si="4"/>
        <v>0.1939853748</v>
      </c>
      <c r="I77" s="1">
        <f t="shared" si="5"/>
        <v>-2204.45</v>
      </c>
      <c r="J77" s="113">
        <f t="shared" si="6"/>
        <v>-0.9581811163</v>
      </c>
      <c r="K77" s="29">
        <f t="shared" si="7"/>
        <v>0.1939853748</v>
      </c>
      <c r="L77" s="65">
        <f t="shared" si="8"/>
        <v>509.4875</v>
      </c>
      <c r="M77" s="25">
        <f t="shared" si="9"/>
        <v>0.03969936858</v>
      </c>
      <c r="N77" s="65">
        <f t="shared" si="10"/>
        <v>2712.17</v>
      </c>
      <c r="O77" s="25">
        <f t="shared" si="11"/>
        <v>0.008347349177</v>
      </c>
      <c r="P77" s="25">
        <f t="shared" si="12"/>
        <v>0.0313520194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IFERROR(__xludf.DUMMYFUNCTION("""COMPUTED_VALUE"""),46244.64583333333)</f>
        <v>46244.64583</v>
      </c>
      <c r="C78" s="1">
        <f>IFERROR(__xludf.DUMMYFUNCTION("""COMPUTED_VALUE"""),542.1)</f>
        <v>542.1</v>
      </c>
      <c r="D78" s="1"/>
      <c r="E78" s="112">
        <f>IFERROR(__xludf.DUMMYFUNCTION("""COMPUTED_VALUE"""),46244.64583333333)</f>
        <v>46244.64583</v>
      </c>
      <c r="F78" s="1">
        <f>IFERROR(__xludf.DUMMYFUNCTION("""COMPUTED_VALUE"""),2750.0)</f>
        <v>2750</v>
      </c>
      <c r="G78" s="1"/>
      <c r="H78" s="29">
        <f t="shared" si="4"/>
        <v>0.1971272727</v>
      </c>
      <c r="I78" s="1">
        <f t="shared" si="5"/>
        <v>-2207.9</v>
      </c>
      <c r="J78" s="113">
        <f t="shared" si="6"/>
        <v>-0.9971441507</v>
      </c>
      <c r="K78" s="29">
        <f t="shared" si="7"/>
        <v>0.1971272727</v>
      </c>
      <c r="L78" s="65">
        <f t="shared" si="8"/>
        <v>511.945</v>
      </c>
      <c r="M78" s="25">
        <f t="shared" si="9"/>
        <v>0.05562626822</v>
      </c>
      <c r="N78" s="65">
        <f t="shared" si="10"/>
        <v>2717.065</v>
      </c>
      <c r="O78" s="25">
        <f t="shared" si="11"/>
        <v>0.01197636364</v>
      </c>
      <c r="P78" s="25">
        <f t="shared" si="12"/>
        <v>0.04364990458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IFERROR(__xludf.DUMMYFUNCTION("""COMPUTED_VALUE"""),46245.64583333333)</f>
        <v>46245.64583</v>
      </c>
      <c r="C79" s="1">
        <f>IFERROR(__xludf.DUMMYFUNCTION("""COMPUTED_VALUE"""),534.95)</f>
        <v>534.95</v>
      </c>
      <c r="D79" s="1"/>
      <c r="E79" s="112">
        <f>IFERROR(__xludf.DUMMYFUNCTION("""COMPUTED_VALUE"""),46245.64583333333)</f>
        <v>46245.64583</v>
      </c>
      <c r="F79" s="1">
        <f>IFERROR(__xludf.DUMMYFUNCTION("""COMPUTED_VALUE"""),2735.5)</f>
        <v>2735.5</v>
      </c>
      <c r="G79" s="1"/>
      <c r="H79" s="29">
        <f t="shared" si="4"/>
        <v>0.1955583988</v>
      </c>
      <c r="I79" s="1">
        <f t="shared" si="5"/>
        <v>-2200.55</v>
      </c>
      <c r="J79" s="113">
        <f t="shared" si="6"/>
        <v>-0.914135947</v>
      </c>
      <c r="K79" s="29">
        <f t="shared" si="7"/>
        <v>0.1955583988</v>
      </c>
      <c r="L79" s="65">
        <f t="shared" si="8"/>
        <v>514.2375</v>
      </c>
      <c r="M79" s="25">
        <f t="shared" si="9"/>
        <v>0.03871857183</v>
      </c>
      <c r="N79" s="65">
        <f t="shared" si="10"/>
        <v>2721.79</v>
      </c>
      <c r="O79" s="25">
        <f t="shared" si="11"/>
        <v>0.005011880826</v>
      </c>
      <c r="P79" s="25">
        <f t="shared" si="12"/>
        <v>0.033706691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IFERROR(__xludf.DUMMYFUNCTION("""COMPUTED_VALUE"""),46246.64583333333)</f>
        <v>46246.64583</v>
      </c>
      <c r="C80" s="1">
        <f>IFERROR(__xludf.DUMMYFUNCTION("""COMPUTED_VALUE"""),559.8)</f>
        <v>559.8</v>
      </c>
      <c r="D80" s="1"/>
      <c r="E80" s="112">
        <f>IFERROR(__xludf.DUMMYFUNCTION("""COMPUTED_VALUE"""),46246.64583333333)</f>
        <v>46246.64583</v>
      </c>
      <c r="F80" s="1">
        <f>IFERROR(__xludf.DUMMYFUNCTION("""COMPUTED_VALUE"""),2740.0)</f>
        <v>2740</v>
      </c>
      <c r="G80" s="1"/>
      <c r="H80" s="29">
        <f t="shared" si="4"/>
        <v>0.2043065693</v>
      </c>
      <c r="I80" s="1">
        <f t="shared" si="5"/>
        <v>-2180.2</v>
      </c>
      <c r="J80" s="113">
        <f t="shared" si="6"/>
        <v>-0.6843105124</v>
      </c>
      <c r="K80" s="29">
        <f t="shared" si="7"/>
        <v>0.2043065693</v>
      </c>
      <c r="L80" s="65">
        <f t="shared" si="8"/>
        <v>517.6425</v>
      </c>
      <c r="M80" s="25">
        <f t="shared" si="9"/>
        <v>0.07530814577</v>
      </c>
      <c r="N80" s="65">
        <f t="shared" si="10"/>
        <v>2725.29</v>
      </c>
      <c r="O80" s="25">
        <f t="shared" si="11"/>
        <v>0.005368613139</v>
      </c>
      <c r="P80" s="25">
        <f t="shared" si="12"/>
        <v>0.06993953263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IFERROR(__xludf.DUMMYFUNCTION("""COMPUTED_VALUE"""),46247.64583333333)</f>
        <v>46247.64583</v>
      </c>
      <c r="C81" s="1">
        <f>IFERROR(__xludf.DUMMYFUNCTION("""COMPUTED_VALUE"""),546.35)</f>
        <v>546.35</v>
      </c>
      <c r="D81" s="1"/>
      <c r="E81" s="112">
        <f>IFERROR(__xludf.DUMMYFUNCTION("""COMPUTED_VALUE"""),46247.64583333333)</f>
        <v>46247.64583</v>
      </c>
      <c r="F81" s="1">
        <f>IFERROR(__xludf.DUMMYFUNCTION("""COMPUTED_VALUE"""),2755.5)</f>
        <v>2755.5</v>
      </c>
      <c r="G81" s="1"/>
      <c r="H81" s="29">
        <f t="shared" si="4"/>
        <v>0.1982761749</v>
      </c>
      <c r="I81" s="1">
        <f t="shared" si="5"/>
        <v>-2209.15</v>
      </c>
      <c r="J81" s="113">
        <f t="shared" si="6"/>
        <v>-1.011261192</v>
      </c>
      <c r="K81" s="29">
        <f t="shared" si="7"/>
        <v>0.1982761749</v>
      </c>
      <c r="L81" s="65">
        <f t="shared" si="8"/>
        <v>520.045</v>
      </c>
      <c r="M81" s="25">
        <f t="shared" si="9"/>
        <v>0.04814679235</v>
      </c>
      <c r="N81" s="65">
        <f t="shared" si="10"/>
        <v>2729.33</v>
      </c>
      <c r="O81" s="25">
        <f t="shared" si="11"/>
        <v>0.009497368899</v>
      </c>
      <c r="P81" s="25">
        <f t="shared" si="12"/>
        <v>0.03864942345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IFERROR(__xludf.DUMMYFUNCTION("""COMPUTED_VALUE"""),46248.64583333333)</f>
        <v>46248.64583</v>
      </c>
      <c r="C82" s="1">
        <f>IFERROR(__xludf.DUMMYFUNCTION("""COMPUTED_VALUE"""),545.1)</f>
        <v>545.1</v>
      </c>
      <c r="D82" s="1"/>
      <c r="E82" s="112">
        <f>IFERROR(__xludf.DUMMYFUNCTION("""COMPUTED_VALUE"""),46248.64583333333)</f>
        <v>46248.64583</v>
      </c>
      <c r="F82" s="1">
        <f>IFERROR(__xludf.DUMMYFUNCTION("""COMPUTED_VALUE"""),2696.3)</f>
        <v>2696.3</v>
      </c>
      <c r="G82" s="1"/>
      <c r="H82" s="29">
        <f t="shared" si="4"/>
        <v>0.2021659311</v>
      </c>
      <c r="I82" s="1">
        <f t="shared" si="5"/>
        <v>-2151.2</v>
      </c>
      <c r="J82" s="113">
        <f t="shared" si="6"/>
        <v>-0.356795151</v>
      </c>
      <c r="K82" s="29">
        <f t="shared" si="7"/>
        <v>0.2021659311</v>
      </c>
      <c r="L82" s="65">
        <f t="shared" si="8"/>
        <v>522.615</v>
      </c>
      <c r="M82" s="25">
        <f t="shared" si="9"/>
        <v>0.04124931205</v>
      </c>
      <c r="N82" s="65">
        <f t="shared" si="10"/>
        <v>2729.695</v>
      </c>
      <c r="O82" s="25">
        <f t="shared" si="11"/>
        <v>-0.01238549123</v>
      </c>
      <c r="P82" s="25">
        <f t="shared" si="12"/>
        <v>0.05363480328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IFERROR(__xludf.DUMMYFUNCTION("""COMPUTED_VALUE"""),46251.64583333333)</f>
        <v>46251.64583</v>
      </c>
      <c r="C83" s="1">
        <f>IFERROR(__xludf.DUMMYFUNCTION("""COMPUTED_VALUE"""),549.35)</f>
        <v>549.35</v>
      </c>
      <c r="D83" s="1"/>
      <c r="E83" s="112">
        <f>IFERROR(__xludf.DUMMYFUNCTION("""COMPUTED_VALUE"""),46251.64583333333)</f>
        <v>46251.64583</v>
      </c>
      <c r="F83" s="1">
        <f>IFERROR(__xludf.DUMMYFUNCTION("""COMPUTED_VALUE"""),2687.5)</f>
        <v>2687.5</v>
      </c>
      <c r="G83" s="1"/>
      <c r="H83" s="29">
        <f t="shared" si="4"/>
        <v>0.2044093023</v>
      </c>
      <c r="I83" s="1">
        <f t="shared" si="5"/>
        <v>-2138.15</v>
      </c>
      <c r="J83" s="113">
        <f t="shared" si="6"/>
        <v>-0.2094132384</v>
      </c>
      <c r="K83" s="29">
        <f t="shared" si="7"/>
        <v>0.2044093023</v>
      </c>
      <c r="L83" s="65">
        <f t="shared" si="8"/>
        <v>525.5475</v>
      </c>
      <c r="M83" s="25">
        <f t="shared" si="9"/>
        <v>0.04332847911</v>
      </c>
      <c r="N83" s="65">
        <f t="shared" si="10"/>
        <v>2729.5</v>
      </c>
      <c r="O83" s="25">
        <f t="shared" si="11"/>
        <v>-0.01562790698</v>
      </c>
      <c r="P83" s="25">
        <f t="shared" si="12"/>
        <v>0.05895638609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IFERROR(__xludf.DUMMYFUNCTION("""COMPUTED_VALUE"""),46252.64583333333)</f>
        <v>46252.64583</v>
      </c>
      <c r="C84" s="1">
        <f>IFERROR(__xludf.DUMMYFUNCTION("""COMPUTED_VALUE"""),541.2)</f>
        <v>541.2</v>
      </c>
      <c r="D84" s="1"/>
      <c r="E84" s="112">
        <f>IFERROR(__xludf.DUMMYFUNCTION("""COMPUTED_VALUE"""),46252.64583333333)</f>
        <v>46252.64583</v>
      </c>
      <c r="F84" s="1">
        <f>IFERROR(__xludf.DUMMYFUNCTION("""COMPUTED_VALUE"""),2628.4)</f>
        <v>2628.4</v>
      </c>
      <c r="G84" s="1"/>
      <c r="H84" s="29">
        <f t="shared" si="4"/>
        <v>0.2059047329</v>
      </c>
      <c r="I84" s="1">
        <f t="shared" si="5"/>
        <v>-2087.2</v>
      </c>
      <c r="J84" s="113">
        <f t="shared" si="6"/>
        <v>0.3659973706</v>
      </c>
      <c r="K84" s="29">
        <f t="shared" si="7"/>
        <v>0.2059047329</v>
      </c>
      <c r="L84" s="65">
        <f t="shared" si="8"/>
        <v>527.2875</v>
      </c>
      <c r="M84" s="25">
        <f t="shared" si="9"/>
        <v>0.02570676275</v>
      </c>
      <c r="N84" s="65">
        <f t="shared" si="10"/>
        <v>2726.3</v>
      </c>
      <c r="O84" s="25">
        <f t="shared" si="11"/>
        <v>-0.03724699437</v>
      </c>
      <c r="P84" s="25">
        <f t="shared" si="12"/>
        <v>0.06295375712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IFERROR(__xludf.DUMMYFUNCTION("""COMPUTED_VALUE"""),46253.64583333333)</f>
        <v>46253.64583</v>
      </c>
      <c r="C85" s="1">
        <f>IFERROR(__xludf.DUMMYFUNCTION("""COMPUTED_VALUE"""),535.9)</f>
        <v>535.9</v>
      </c>
      <c r="D85" s="1"/>
      <c r="E85" s="112">
        <f>IFERROR(__xludf.DUMMYFUNCTION("""COMPUTED_VALUE"""),46253.64583333333)</f>
        <v>46253.64583</v>
      </c>
      <c r="F85" s="1">
        <f>IFERROR(__xludf.DUMMYFUNCTION("""COMPUTED_VALUE"""),2630.8)</f>
        <v>2630.8</v>
      </c>
      <c r="G85" s="1"/>
      <c r="H85" s="29">
        <f t="shared" si="4"/>
        <v>0.2037022959</v>
      </c>
      <c r="I85" s="1">
        <f t="shared" si="5"/>
        <v>-2094.9</v>
      </c>
      <c r="J85" s="113">
        <f t="shared" si="6"/>
        <v>0.2790363954</v>
      </c>
      <c r="K85" s="29">
        <f t="shared" si="7"/>
        <v>0.2037022959</v>
      </c>
      <c r="L85" s="65">
        <f t="shared" si="8"/>
        <v>529.26</v>
      </c>
      <c r="M85" s="25">
        <f t="shared" si="9"/>
        <v>0.01239037134</v>
      </c>
      <c r="N85" s="65">
        <f t="shared" si="10"/>
        <v>2723.2</v>
      </c>
      <c r="O85" s="25">
        <f t="shared" si="11"/>
        <v>-0.03512239623</v>
      </c>
      <c r="P85" s="25">
        <f t="shared" si="12"/>
        <v>0.04751276757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IFERROR(__xludf.DUMMYFUNCTION("""COMPUTED_VALUE"""),46254.64583333333)</f>
        <v>46254.64583</v>
      </c>
      <c r="C86" s="1">
        <f>IFERROR(__xludf.DUMMYFUNCTION("""COMPUTED_VALUE"""),528.55)</f>
        <v>528.55</v>
      </c>
      <c r="D86" s="1"/>
      <c r="E86" s="112">
        <f>IFERROR(__xludf.DUMMYFUNCTION("""COMPUTED_VALUE"""),46254.64583333333)</f>
        <v>46254.64583</v>
      </c>
      <c r="F86" s="1">
        <f>IFERROR(__xludf.DUMMYFUNCTION("""COMPUTED_VALUE"""),2625.2)</f>
        <v>2625.2</v>
      </c>
      <c r="G86" s="1"/>
      <c r="H86" s="29">
        <f t="shared" si="4"/>
        <v>0.201337041</v>
      </c>
      <c r="I86" s="1">
        <f t="shared" si="5"/>
        <v>-2096.65</v>
      </c>
      <c r="J86" s="113">
        <f t="shared" si="6"/>
        <v>0.2592725373</v>
      </c>
      <c r="K86" s="29">
        <f t="shared" si="7"/>
        <v>0.201337041</v>
      </c>
      <c r="L86" s="65">
        <f t="shared" si="8"/>
        <v>531.0075</v>
      </c>
      <c r="M86" s="25">
        <f t="shared" si="9"/>
        <v>-0.004649512818</v>
      </c>
      <c r="N86" s="65">
        <f t="shared" si="10"/>
        <v>2721.02</v>
      </c>
      <c r="O86" s="25">
        <f t="shared" si="11"/>
        <v>-0.03650007618</v>
      </c>
      <c r="P86" s="25">
        <f t="shared" si="12"/>
        <v>0.03185056337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IFERROR(__xludf.DUMMYFUNCTION("""COMPUTED_VALUE"""),46255.64583333333)</f>
        <v>46255.64583</v>
      </c>
      <c r="C87" s="1">
        <f>IFERROR(__xludf.DUMMYFUNCTION("""COMPUTED_VALUE"""),524.4)</f>
        <v>524.4</v>
      </c>
      <c r="D87" s="1"/>
      <c r="E87" s="112">
        <f>IFERROR(__xludf.DUMMYFUNCTION("""COMPUTED_VALUE"""),46255.64583333333)</f>
        <v>46255.64583</v>
      </c>
      <c r="F87" s="1">
        <f>IFERROR(__xludf.DUMMYFUNCTION("""COMPUTED_VALUE"""),2640.0)</f>
        <v>2640</v>
      </c>
      <c r="G87" s="1"/>
      <c r="H87" s="29">
        <f t="shared" si="4"/>
        <v>0.1986363636</v>
      </c>
      <c r="I87" s="1">
        <f t="shared" si="5"/>
        <v>-2115.6</v>
      </c>
      <c r="J87" s="113">
        <f t="shared" si="6"/>
        <v>0.04525818914</v>
      </c>
      <c r="K87" s="29">
        <f t="shared" si="7"/>
        <v>0.1986363636</v>
      </c>
      <c r="L87" s="65">
        <f t="shared" si="8"/>
        <v>532.33</v>
      </c>
      <c r="M87" s="25">
        <f t="shared" si="9"/>
        <v>-0.01512204424</v>
      </c>
      <c r="N87" s="65">
        <f t="shared" si="10"/>
        <v>2721.125</v>
      </c>
      <c r="O87" s="25">
        <f t="shared" si="11"/>
        <v>-0.03072916667</v>
      </c>
      <c r="P87" s="25">
        <f t="shared" si="12"/>
        <v>0.01560712243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IFERROR(__xludf.DUMMYFUNCTION("""COMPUTED_VALUE"""),46258.64583333333)</f>
        <v>46258.64583</v>
      </c>
      <c r="C88" s="1">
        <f>IFERROR(__xludf.DUMMYFUNCTION("""COMPUTED_VALUE"""),515.5)</f>
        <v>515.5</v>
      </c>
      <c r="D88" s="1"/>
      <c r="E88" s="112">
        <f>IFERROR(__xludf.DUMMYFUNCTION("""COMPUTED_VALUE"""),46258.64583333333)</f>
        <v>46258.64583</v>
      </c>
      <c r="F88" s="1">
        <f>IFERROR(__xludf.DUMMYFUNCTION("""COMPUTED_VALUE"""),2640.8)</f>
        <v>2640.8</v>
      </c>
      <c r="G88" s="1"/>
      <c r="H88" s="29">
        <f t="shared" si="4"/>
        <v>0.1952059982</v>
      </c>
      <c r="I88" s="1">
        <f t="shared" si="5"/>
        <v>-2125.3</v>
      </c>
      <c r="J88" s="113">
        <f t="shared" si="6"/>
        <v>-0.06429005242</v>
      </c>
      <c r="K88" s="29">
        <f t="shared" si="7"/>
        <v>0.1952059982</v>
      </c>
      <c r="L88" s="65">
        <f t="shared" si="8"/>
        <v>532.905</v>
      </c>
      <c r="M88" s="25">
        <f t="shared" si="9"/>
        <v>-0.03376333657</v>
      </c>
      <c r="N88" s="65">
        <f t="shared" si="10"/>
        <v>2717.655</v>
      </c>
      <c r="O88" s="25">
        <f t="shared" si="11"/>
        <v>-0.02910292336</v>
      </c>
      <c r="P88" s="25">
        <f t="shared" si="12"/>
        <v>-0.00466041321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IFERROR(__xludf.DUMMYFUNCTION("""COMPUTED_VALUE"""),46259.64583333333)</f>
        <v>46259.64583</v>
      </c>
      <c r="C89" s="1">
        <f>IFERROR(__xludf.DUMMYFUNCTION("""COMPUTED_VALUE"""),509.85)</f>
        <v>509.85</v>
      </c>
      <c r="D89" s="1"/>
      <c r="E89" s="112">
        <f>IFERROR(__xludf.DUMMYFUNCTION("""COMPUTED_VALUE"""),46259.64583333333)</f>
        <v>46259.64583</v>
      </c>
      <c r="F89" s="1">
        <f>IFERROR(__xludf.DUMMYFUNCTION("""COMPUTED_VALUE"""),2639.8)</f>
        <v>2639.8</v>
      </c>
      <c r="G89" s="1"/>
      <c r="H89" s="29">
        <f t="shared" si="4"/>
        <v>0.1931396318</v>
      </c>
      <c r="I89" s="1">
        <f t="shared" si="5"/>
        <v>-2129.95</v>
      </c>
      <c r="J89" s="113">
        <f t="shared" si="6"/>
        <v>-0.1168054466</v>
      </c>
      <c r="K89" s="29">
        <f t="shared" si="7"/>
        <v>0.1931396318</v>
      </c>
      <c r="L89" s="65">
        <f t="shared" si="8"/>
        <v>533.43</v>
      </c>
      <c r="M89" s="25">
        <f t="shared" si="9"/>
        <v>-0.04624889673</v>
      </c>
      <c r="N89" s="65">
        <f t="shared" si="10"/>
        <v>2712.835</v>
      </c>
      <c r="O89" s="25">
        <f t="shared" si="11"/>
        <v>-0.0276668687</v>
      </c>
      <c r="P89" s="25">
        <f t="shared" si="12"/>
        <v>-0.01858202803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IFERROR(__xludf.DUMMYFUNCTION("""COMPUTED_VALUE"""),46260.64583333333)</f>
        <v>46260.64583</v>
      </c>
      <c r="C90" s="1">
        <f>IFERROR(__xludf.DUMMYFUNCTION("""COMPUTED_VALUE"""),503.7)</f>
        <v>503.7</v>
      </c>
      <c r="D90" s="25"/>
      <c r="E90" s="112">
        <f>IFERROR(__xludf.DUMMYFUNCTION("""COMPUTED_VALUE"""),46260.64583333333)</f>
        <v>46260.64583</v>
      </c>
      <c r="F90" s="1">
        <f>IFERROR(__xludf.DUMMYFUNCTION("""COMPUTED_VALUE"""),2626.5)</f>
        <v>2626.5</v>
      </c>
      <c r="G90" s="1"/>
      <c r="H90" s="29">
        <f t="shared" si="4"/>
        <v>0.1917761279</v>
      </c>
      <c r="I90" s="1">
        <f t="shared" si="5"/>
        <v>-2122.8</v>
      </c>
      <c r="J90" s="113">
        <f t="shared" si="6"/>
        <v>-0.03605596954</v>
      </c>
      <c r="K90" s="29">
        <f t="shared" si="7"/>
        <v>0.1917761279</v>
      </c>
      <c r="L90" s="65">
        <f t="shared" si="8"/>
        <v>532.6125</v>
      </c>
      <c r="M90" s="25">
        <f t="shared" si="9"/>
        <v>-0.05740023824</v>
      </c>
      <c r="N90" s="65">
        <f t="shared" si="10"/>
        <v>2706.24</v>
      </c>
      <c r="O90" s="25">
        <f t="shared" si="11"/>
        <v>-0.0303597944</v>
      </c>
      <c r="P90" s="25">
        <f t="shared" si="12"/>
        <v>-0.02704044383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IFERROR(__xludf.DUMMYFUNCTION("""COMPUTED_VALUE"""),46261.64583333333)</f>
        <v>46261.64583</v>
      </c>
      <c r="C91" s="1">
        <f>IFERROR(__xludf.DUMMYFUNCTION("""COMPUTED_VALUE"""),501.0)</f>
        <v>501</v>
      </c>
      <c r="D91" s="1"/>
      <c r="E91" s="112">
        <f>IFERROR(__xludf.DUMMYFUNCTION("""COMPUTED_VALUE"""),46261.64583333333)</f>
        <v>46261.64583</v>
      </c>
      <c r="F91" s="1">
        <f>IFERROR(__xludf.DUMMYFUNCTION("""COMPUTED_VALUE"""),2631.0)</f>
        <v>2631</v>
      </c>
      <c r="G91" s="1"/>
      <c r="H91" s="29">
        <f t="shared" si="4"/>
        <v>0.1904218928</v>
      </c>
      <c r="I91" s="1">
        <f t="shared" si="5"/>
        <v>-2130</v>
      </c>
      <c r="J91" s="113">
        <f t="shared" si="6"/>
        <v>-0.1173701282</v>
      </c>
      <c r="K91" s="29">
        <f t="shared" si="7"/>
        <v>0.1904218928</v>
      </c>
      <c r="L91" s="65">
        <f t="shared" si="8"/>
        <v>531.595</v>
      </c>
      <c r="M91" s="25">
        <f t="shared" si="9"/>
        <v>-0.06106786427</v>
      </c>
      <c r="N91" s="65">
        <f t="shared" si="10"/>
        <v>2700.48</v>
      </c>
      <c r="O91" s="25">
        <f t="shared" si="11"/>
        <v>-0.02640820981</v>
      </c>
      <c r="P91" s="25">
        <f t="shared" si="12"/>
        <v>-0.03465965447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IFERROR(__xludf.DUMMYFUNCTION("""COMPUTED_VALUE"""),46262.64583333333)</f>
        <v>46262.64583</v>
      </c>
      <c r="C92" s="1">
        <f>IFERROR(__xludf.DUMMYFUNCTION("""COMPUTED_VALUE"""),494.35)</f>
        <v>494.35</v>
      </c>
      <c r="D92" s="1"/>
      <c r="E92" s="112">
        <f>IFERROR(__xludf.DUMMYFUNCTION("""COMPUTED_VALUE"""),46262.64583333333)</f>
        <v>46262.64583</v>
      </c>
      <c r="F92" s="1">
        <f>IFERROR(__xludf.DUMMYFUNCTION("""COMPUTED_VALUE"""),2608.7)</f>
        <v>2608.7</v>
      </c>
      <c r="G92" s="1"/>
      <c r="H92" s="29">
        <f t="shared" si="4"/>
        <v>0.1895005175</v>
      </c>
      <c r="I92" s="1">
        <f t="shared" si="5"/>
        <v>-2114.35</v>
      </c>
      <c r="J92" s="113">
        <f t="shared" si="6"/>
        <v>0.05937523058</v>
      </c>
      <c r="K92" s="29">
        <f t="shared" si="7"/>
        <v>0.1895005175</v>
      </c>
      <c r="L92" s="65">
        <f t="shared" si="8"/>
        <v>530.29</v>
      </c>
      <c r="M92" s="25">
        <f t="shared" si="9"/>
        <v>-0.07270152726</v>
      </c>
      <c r="N92" s="65">
        <f t="shared" si="10"/>
        <v>2693.55</v>
      </c>
      <c r="O92" s="25">
        <f t="shared" si="11"/>
        <v>-0.03252577912</v>
      </c>
      <c r="P92" s="25">
        <f t="shared" si="12"/>
        <v>-0.04017574813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IFERROR(__xludf.DUMMYFUNCTION("""COMPUTED_VALUE"""),46265.64583333333)</f>
        <v>46265.64583</v>
      </c>
      <c r="C93" s="1">
        <f>IFERROR(__xludf.DUMMYFUNCTION("""COMPUTED_VALUE"""),497.75)</f>
        <v>497.75</v>
      </c>
      <c r="D93" s="1"/>
      <c r="E93" s="112">
        <f>IFERROR(__xludf.DUMMYFUNCTION("""COMPUTED_VALUE"""),46265.64583333333)</f>
        <v>46265.64583</v>
      </c>
      <c r="F93" s="1">
        <f>IFERROR(__xludf.DUMMYFUNCTION("""COMPUTED_VALUE"""),2653.6)</f>
        <v>2653.6</v>
      </c>
      <c r="G93" s="1"/>
      <c r="H93" s="29">
        <f t="shared" si="4"/>
        <v>0.1875753693</v>
      </c>
      <c r="I93" s="1">
        <f t="shared" si="5"/>
        <v>-2155.85</v>
      </c>
      <c r="J93" s="113">
        <f t="shared" si="6"/>
        <v>-0.4093105452</v>
      </c>
      <c r="K93" s="29">
        <f t="shared" si="7"/>
        <v>0.1875753693</v>
      </c>
      <c r="L93" s="65">
        <f t="shared" si="8"/>
        <v>528.85</v>
      </c>
      <c r="M93" s="25">
        <f t="shared" si="9"/>
        <v>-0.06248116524</v>
      </c>
      <c r="N93" s="65">
        <f t="shared" si="10"/>
        <v>2685.73</v>
      </c>
      <c r="O93" s="25">
        <f t="shared" si="11"/>
        <v>-0.01210807959</v>
      </c>
      <c r="P93" s="25">
        <f t="shared" si="12"/>
        <v>-0.05037308565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IFERROR(__xludf.DUMMYFUNCTION("""COMPUTED_VALUE"""),46266.64583333333)</f>
        <v>46266.64583</v>
      </c>
      <c r="C94" s="1">
        <f>IFERROR(__xludf.DUMMYFUNCTION("""COMPUTED_VALUE"""),490.85)</f>
        <v>490.85</v>
      </c>
      <c r="D94" s="1"/>
      <c r="E94" s="112">
        <f>IFERROR(__xludf.DUMMYFUNCTION("""COMPUTED_VALUE"""),46266.64583333333)</f>
        <v>46266.64583</v>
      </c>
      <c r="F94" s="1">
        <f>IFERROR(__xludf.DUMMYFUNCTION("""COMPUTED_VALUE"""),2575.5)</f>
        <v>2575.5</v>
      </c>
      <c r="G94" s="1"/>
      <c r="H94" s="29">
        <f t="shared" si="4"/>
        <v>0.1905843526</v>
      </c>
      <c r="I94" s="1">
        <f t="shared" si="5"/>
        <v>-2084.65</v>
      </c>
      <c r="J94" s="113">
        <f t="shared" si="6"/>
        <v>0.3947961352</v>
      </c>
      <c r="K94" s="29">
        <f t="shared" si="7"/>
        <v>0.1905843526</v>
      </c>
      <c r="L94" s="65">
        <f t="shared" si="8"/>
        <v>526.7025</v>
      </c>
      <c r="M94" s="25">
        <f t="shared" si="9"/>
        <v>-0.07304166242</v>
      </c>
      <c r="N94" s="65">
        <f t="shared" si="10"/>
        <v>2675.755</v>
      </c>
      <c r="O94" s="25">
        <f t="shared" si="11"/>
        <v>-0.03892642205</v>
      </c>
      <c r="P94" s="25">
        <f t="shared" si="12"/>
        <v>-0.03411524037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IFERROR(__xludf.DUMMYFUNCTION("""COMPUTED_VALUE"""),46267.64583333333)</f>
        <v>46267.64583</v>
      </c>
      <c r="C95" s="1">
        <f>IFERROR(__xludf.DUMMYFUNCTION("""COMPUTED_VALUE"""),488.05)</f>
        <v>488.05</v>
      </c>
      <c r="D95" s="1"/>
      <c r="E95" s="112">
        <f>IFERROR(__xludf.DUMMYFUNCTION("""COMPUTED_VALUE"""),46267.64583333333)</f>
        <v>46267.64583</v>
      </c>
      <c r="F95" s="1">
        <f>IFERROR(__xludf.DUMMYFUNCTION("""COMPUTED_VALUE"""),2527.5)</f>
        <v>2527.5</v>
      </c>
      <c r="G95" s="1"/>
      <c r="H95" s="29">
        <f t="shared" si="4"/>
        <v>0.1930959446</v>
      </c>
      <c r="I95" s="1">
        <f t="shared" si="5"/>
        <v>-2039.45</v>
      </c>
      <c r="J95" s="113">
        <f t="shared" si="6"/>
        <v>0.9052683536</v>
      </c>
      <c r="K95" s="29">
        <f t="shared" si="7"/>
        <v>0.1930959446</v>
      </c>
      <c r="L95" s="65">
        <f t="shared" si="8"/>
        <v>523.845</v>
      </c>
      <c r="M95" s="25">
        <f t="shared" si="9"/>
        <v>-0.0733428952</v>
      </c>
      <c r="N95" s="65">
        <f t="shared" si="10"/>
        <v>2664.13</v>
      </c>
      <c r="O95" s="25">
        <f t="shared" si="11"/>
        <v>-0.05405736894</v>
      </c>
      <c r="P95" s="25">
        <f t="shared" si="12"/>
        <v>-0.01928552625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IFERROR(__xludf.DUMMYFUNCTION("""COMPUTED_VALUE"""),46268.64583333333)</f>
        <v>46268.64583</v>
      </c>
      <c r="C96" s="1">
        <f>IFERROR(__xludf.DUMMYFUNCTION("""COMPUTED_VALUE"""),491.4)</f>
        <v>491.4</v>
      </c>
      <c r="D96" s="1"/>
      <c r="E96" s="112">
        <f>IFERROR(__xludf.DUMMYFUNCTION("""COMPUTED_VALUE"""),46268.64583333333)</f>
        <v>46268.64583</v>
      </c>
      <c r="F96" s="1">
        <f>IFERROR(__xludf.DUMMYFUNCTION("""COMPUTED_VALUE"""),2541.6)</f>
        <v>2541.6</v>
      </c>
      <c r="G96" s="1"/>
      <c r="H96" s="29">
        <f t="shared" si="4"/>
        <v>0.1933427762</v>
      </c>
      <c r="I96" s="1">
        <f t="shared" si="5"/>
        <v>-2050.2</v>
      </c>
      <c r="J96" s="113">
        <f t="shared" si="6"/>
        <v>0.7838617972</v>
      </c>
      <c r="K96" s="29">
        <f t="shared" si="7"/>
        <v>0.1933427762</v>
      </c>
      <c r="L96" s="65">
        <f t="shared" si="8"/>
        <v>521.535</v>
      </c>
      <c r="M96" s="25">
        <f t="shared" si="9"/>
        <v>-0.06132478632</v>
      </c>
      <c r="N96" s="65">
        <f t="shared" si="10"/>
        <v>2653.46</v>
      </c>
      <c r="O96" s="25">
        <f t="shared" si="11"/>
        <v>-0.04401164621</v>
      </c>
      <c r="P96" s="25">
        <f t="shared" si="12"/>
        <v>-0.01731314012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IFERROR(__xludf.DUMMYFUNCTION("""COMPUTED_VALUE"""),46269.64583333333)</f>
        <v>46269.64583</v>
      </c>
      <c r="C97" s="1">
        <f>IFERROR(__xludf.DUMMYFUNCTION("""COMPUTED_VALUE"""),485.3)</f>
        <v>485.3</v>
      </c>
      <c r="D97" s="1"/>
      <c r="E97" s="112">
        <f>IFERROR(__xludf.DUMMYFUNCTION("""COMPUTED_VALUE"""),46269.64583333333)</f>
        <v>46269.64583</v>
      </c>
      <c r="F97" s="1">
        <f>IFERROR(__xludf.DUMMYFUNCTION("""COMPUTED_VALUE"""),2527.3)</f>
        <v>2527.3</v>
      </c>
      <c r="G97" s="1"/>
      <c r="H97" s="29">
        <f t="shared" si="4"/>
        <v>0.1920231077</v>
      </c>
      <c r="I97" s="1">
        <f t="shared" si="5"/>
        <v>-2042</v>
      </c>
      <c r="J97" s="113">
        <f t="shared" si="6"/>
        <v>0.876469589</v>
      </c>
      <c r="K97" s="29">
        <f t="shared" si="7"/>
        <v>0.1920231077</v>
      </c>
      <c r="L97" s="65">
        <f t="shared" si="8"/>
        <v>519.2725</v>
      </c>
      <c r="M97" s="25">
        <f t="shared" si="9"/>
        <v>-0.07000309087</v>
      </c>
      <c r="N97" s="65">
        <f t="shared" si="10"/>
        <v>2643.075</v>
      </c>
      <c r="O97" s="25">
        <f t="shared" si="11"/>
        <v>-0.04580975745</v>
      </c>
      <c r="P97" s="25">
        <f t="shared" si="12"/>
        <v>-0.02419333342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IFERROR(__xludf.DUMMYFUNCTION("""COMPUTED_VALUE"""),46272.64583333333)</f>
        <v>46272.64583</v>
      </c>
      <c r="C98" s="1">
        <f>IFERROR(__xludf.DUMMYFUNCTION("""COMPUTED_VALUE"""),484.5)</f>
        <v>484.5</v>
      </c>
      <c r="D98" s="1"/>
      <c r="E98" s="112">
        <f>IFERROR(__xludf.DUMMYFUNCTION("""COMPUTED_VALUE"""),46272.64583333333)</f>
        <v>46272.64583</v>
      </c>
      <c r="F98" s="1">
        <f>IFERROR(__xludf.DUMMYFUNCTION("""COMPUTED_VALUE"""),2500.9)</f>
        <v>2500.9</v>
      </c>
      <c r="G98" s="1"/>
      <c r="H98" s="29">
        <f t="shared" si="4"/>
        <v>0.1937302571</v>
      </c>
      <c r="I98" s="1">
        <f t="shared" si="5"/>
        <v>-2016.4</v>
      </c>
      <c r="J98" s="113">
        <f t="shared" si="6"/>
        <v>1.165586598</v>
      </c>
      <c r="K98" s="29">
        <f t="shared" si="7"/>
        <v>0.1937302571</v>
      </c>
      <c r="L98" s="65">
        <f t="shared" si="8"/>
        <v>516.3925</v>
      </c>
      <c r="M98" s="25">
        <f t="shared" si="9"/>
        <v>-0.0658255934</v>
      </c>
      <c r="N98" s="65">
        <f t="shared" si="10"/>
        <v>2630.62</v>
      </c>
      <c r="O98" s="25">
        <f t="shared" si="11"/>
        <v>-0.05186932704</v>
      </c>
      <c r="P98" s="25">
        <f t="shared" si="12"/>
        <v>-0.01395626635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IFERROR(__xludf.DUMMYFUNCTION("""COMPUTED_VALUE"""),46273.64583333333)</f>
        <v>46273.64583</v>
      </c>
      <c r="C99" s="1">
        <f>IFERROR(__xludf.DUMMYFUNCTION("""COMPUTED_VALUE"""),479.45)</f>
        <v>479.45</v>
      </c>
      <c r="D99" s="1"/>
      <c r="E99" s="112">
        <f>IFERROR(__xludf.DUMMYFUNCTION("""COMPUTED_VALUE"""),46273.64583333333)</f>
        <v>46273.64583</v>
      </c>
      <c r="F99" s="1">
        <f>IFERROR(__xludf.DUMMYFUNCTION("""COMPUTED_VALUE"""),2481.6)</f>
        <v>2481.6</v>
      </c>
      <c r="G99" s="1"/>
      <c r="H99" s="29">
        <f t="shared" si="4"/>
        <v>0.1932019665</v>
      </c>
      <c r="I99" s="1">
        <f t="shared" si="5"/>
        <v>-2002.15</v>
      </c>
      <c r="J99" s="113">
        <f t="shared" si="6"/>
        <v>1.32652087</v>
      </c>
      <c r="K99" s="29">
        <f t="shared" si="7"/>
        <v>0.1932019665</v>
      </c>
      <c r="L99" s="65">
        <f t="shared" si="8"/>
        <v>513.6175</v>
      </c>
      <c r="M99" s="25">
        <f t="shared" si="9"/>
        <v>-0.07126394827</v>
      </c>
      <c r="N99" s="65">
        <f t="shared" si="10"/>
        <v>2617.925</v>
      </c>
      <c r="O99" s="25">
        <f t="shared" si="11"/>
        <v>-0.05493431657</v>
      </c>
      <c r="P99" s="25">
        <f t="shared" si="12"/>
        <v>-0.0163296317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IFERROR(__xludf.DUMMYFUNCTION("""COMPUTED_VALUE"""),46274.64583333333)</f>
        <v>46274.64583</v>
      </c>
      <c r="C100" s="1">
        <f>IFERROR(__xludf.DUMMYFUNCTION("""COMPUTED_VALUE"""),470.8)</f>
        <v>470.8</v>
      </c>
      <c r="D100" s="1"/>
      <c r="E100" s="112">
        <f>IFERROR(__xludf.DUMMYFUNCTION("""COMPUTED_VALUE"""),46274.64583333333)</f>
        <v>46274.64583</v>
      </c>
      <c r="F100" s="1">
        <f>IFERROR(__xludf.DUMMYFUNCTION("""COMPUTED_VALUE"""),2489.0)</f>
        <v>2489</v>
      </c>
      <c r="G100" s="1"/>
      <c r="H100" s="29">
        <f t="shared" si="4"/>
        <v>0.18915227</v>
      </c>
      <c r="I100" s="1">
        <f t="shared" si="5"/>
        <v>-2018.2</v>
      </c>
      <c r="J100" s="113">
        <f t="shared" si="6"/>
        <v>1.145258058</v>
      </c>
      <c r="K100" s="29">
        <f t="shared" si="7"/>
        <v>0.18915227</v>
      </c>
      <c r="L100" s="65">
        <f t="shared" si="8"/>
        <v>509.1675</v>
      </c>
      <c r="M100" s="25">
        <f t="shared" si="9"/>
        <v>-0.08149426508</v>
      </c>
      <c r="N100" s="65">
        <f t="shared" si="10"/>
        <v>2605.375</v>
      </c>
      <c r="O100" s="25">
        <f t="shared" si="11"/>
        <v>-0.04675572519</v>
      </c>
      <c r="P100" s="25">
        <f t="shared" si="12"/>
        <v>-0.03473853989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IFERROR(__xludf.DUMMYFUNCTION("""COMPUTED_VALUE"""),46275.64583333333)</f>
        <v>46275.64583</v>
      </c>
      <c r="C101" s="1">
        <f>IFERROR(__xludf.DUMMYFUNCTION("""COMPUTED_VALUE"""),463.8)</f>
        <v>463.8</v>
      </c>
      <c r="D101" s="1"/>
      <c r="E101" s="112">
        <f>IFERROR(__xludf.DUMMYFUNCTION("""COMPUTED_VALUE"""),46275.64583333333)</f>
        <v>46275.64583</v>
      </c>
      <c r="F101" s="1">
        <f>IFERROR(__xludf.DUMMYFUNCTION("""COMPUTED_VALUE"""),2498.1)</f>
        <v>2498.1</v>
      </c>
      <c r="G101" s="1"/>
      <c r="H101" s="29">
        <f t="shared" si="4"/>
        <v>0.1856611024</v>
      </c>
      <c r="I101" s="1">
        <f t="shared" si="5"/>
        <v>-2034.3</v>
      </c>
      <c r="J101" s="113">
        <f t="shared" si="6"/>
        <v>0.9634305643</v>
      </c>
      <c r="K101" s="29">
        <f t="shared" si="7"/>
        <v>0.1856611024</v>
      </c>
      <c r="L101" s="65">
        <f t="shared" si="8"/>
        <v>505.04</v>
      </c>
      <c r="M101" s="25">
        <f t="shared" si="9"/>
        <v>-0.08891763691</v>
      </c>
      <c r="N101" s="65">
        <f t="shared" si="10"/>
        <v>2592.505</v>
      </c>
      <c r="O101" s="25">
        <f t="shared" si="11"/>
        <v>-0.03779072095</v>
      </c>
      <c r="P101" s="25">
        <f t="shared" si="12"/>
        <v>-0.05112691596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IFERROR(__xludf.DUMMYFUNCTION("""COMPUTED_VALUE"""),46276.64583333333)</f>
        <v>46276.64583</v>
      </c>
      <c r="C102" s="1">
        <f>IFERROR(__xludf.DUMMYFUNCTION("""COMPUTED_VALUE"""),458.05)</f>
        <v>458.05</v>
      </c>
      <c r="D102" s="1"/>
      <c r="E102" s="112">
        <f>IFERROR(__xludf.DUMMYFUNCTION("""COMPUTED_VALUE"""),46276.64583333333)</f>
        <v>46276.64583</v>
      </c>
      <c r="F102" s="1">
        <f>IFERROR(__xludf.DUMMYFUNCTION("""COMPUTED_VALUE"""),2472.5)</f>
        <v>2472.5</v>
      </c>
      <c r="G102" s="1"/>
      <c r="H102" s="29">
        <f t="shared" si="4"/>
        <v>0.1852578362</v>
      </c>
      <c r="I102" s="1">
        <f t="shared" si="5"/>
        <v>-2014.45</v>
      </c>
      <c r="J102" s="113">
        <f t="shared" si="6"/>
        <v>1.187609182</v>
      </c>
      <c r="K102" s="29">
        <f t="shared" si="7"/>
        <v>0.1852578362</v>
      </c>
      <c r="L102" s="65">
        <f t="shared" si="8"/>
        <v>500.6875</v>
      </c>
      <c r="M102" s="25">
        <f t="shared" si="9"/>
        <v>-0.09308481607</v>
      </c>
      <c r="N102" s="65">
        <f t="shared" si="10"/>
        <v>2581.315</v>
      </c>
      <c r="O102" s="25">
        <f t="shared" si="11"/>
        <v>-0.04401011122</v>
      </c>
      <c r="P102" s="25">
        <f t="shared" si="12"/>
        <v>-0.04907470484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IFERROR(__xludf.DUMMYFUNCTION("""COMPUTED_VALUE"""),46280.64583333333)</f>
        <v>46280.64583</v>
      </c>
      <c r="C103" s="1">
        <f>IFERROR(__xludf.DUMMYFUNCTION("""COMPUTED_VALUE"""),447.1)</f>
        <v>447.1</v>
      </c>
      <c r="D103" s="1"/>
      <c r="E103" s="112">
        <f>IFERROR(__xludf.DUMMYFUNCTION("""COMPUTED_VALUE"""),46280.64583333333)</f>
        <v>46280.64583</v>
      </c>
      <c r="F103" s="1">
        <f>IFERROR(__xludf.DUMMYFUNCTION("""COMPUTED_VALUE"""),2402.8)</f>
        <v>2402.8</v>
      </c>
      <c r="G103" s="1"/>
      <c r="H103" s="29">
        <f t="shared" si="4"/>
        <v>0.1860745797</v>
      </c>
      <c r="I103" s="1">
        <f t="shared" si="5"/>
        <v>-1955.7</v>
      </c>
      <c r="J103" s="113">
        <f t="shared" si="6"/>
        <v>1.85111013</v>
      </c>
      <c r="K103" s="29">
        <f t="shared" si="7"/>
        <v>0.1860745797</v>
      </c>
      <c r="L103" s="65">
        <f t="shared" si="8"/>
        <v>495.575</v>
      </c>
      <c r="M103" s="25">
        <f t="shared" si="9"/>
        <v>-0.1084209349</v>
      </c>
      <c r="N103" s="65">
        <f t="shared" si="10"/>
        <v>2567.08</v>
      </c>
      <c r="O103" s="25">
        <f t="shared" si="11"/>
        <v>-0.06837023473</v>
      </c>
      <c r="P103" s="25">
        <f t="shared" si="12"/>
        <v>-0.04005070019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IFERROR(__xludf.DUMMYFUNCTION("""COMPUTED_VALUE"""),46281.64583333333)</f>
        <v>46281.64583</v>
      </c>
      <c r="C104" s="1">
        <f>IFERROR(__xludf.DUMMYFUNCTION("""COMPUTED_VALUE"""),448.15)</f>
        <v>448.15</v>
      </c>
      <c r="D104" s="1"/>
      <c r="E104" s="112">
        <f>IFERROR(__xludf.DUMMYFUNCTION("""COMPUTED_VALUE"""),46281.64583333333)</f>
        <v>46281.64583</v>
      </c>
      <c r="F104" s="1">
        <f>IFERROR(__xludf.DUMMYFUNCTION("""COMPUTED_VALUE"""),2416.6)</f>
        <v>2416.6</v>
      </c>
      <c r="G104" s="1"/>
      <c r="H104" s="29">
        <f t="shared" si="4"/>
        <v>0.1854464951</v>
      </c>
      <c r="I104" s="1">
        <f t="shared" si="5"/>
        <v>-1968.45</v>
      </c>
      <c r="J104" s="113">
        <f t="shared" si="6"/>
        <v>1.707116307</v>
      </c>
      <c r="K104" s="29">
        <f t="shared" si="7"/>
        <v>0.1854464951</v>
      </c>
      <c r="L104" s="65">
        <f t="shared" si="8"/>
        <v>490.9225</v>
      </c>
      <c r="M104" s="25">
        <f t="shared" si="9"/>
        <v>-0.09544237421</v>
      </c>
      <c r="N104" s="65">
        <f t="shared" si="10"/>
        <v>2556.49</v>
      </c>
      <c r="O104" s="25">
        <f t="shared" si="11"/>
        <v>-0.05788711413</v>
      </c>
      <c r="P104" s="25">
        <f t="shared" si="12"/>
        <v>-0.03755526008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IFERROR(__xludf.DUMMYFUNCTION("""COMPUTED_VALUE"""),46282.64583333333)</f>
        <v>46282.64583</v>
      </c>
      <c r="C105" s="1">
        <f>IFERROR(__xludf.DUMMYFUNCTION("""COMPUTED_VALUE"""),448.6)</f>
        <v>448.6</v>
      </c>
      <c r="D105" s="1"/>
      <c r="E105" s="112">
        <f>IFERROR(__xludf.DUMMYFUNCTION("""COMPUTED_VALUE"""),46282.64583333333)</f>
        <v>46282.64583</v>
      </c>
      <c r="F105" s="1">
        <f>IFERROR(__xludf.DUMMYFUNCTION("""COMPUTED_VALUE"""),2454.0)</f>
        <v>2454</v>
      </c>
      <c r="G105" s="1"/>
      <c r="H105" s="29">
        <f t="shared" si="4"/>
        <v>0.182803586</v>
      </c>
      <c r="I105" s="1">
        <f t="shared" si="5"/>
        <v>-2005.4</v>
      </c>
      <c r="J105" s="113">
        <f t="shared" si="6"/>
        <v>1.289816562</v>
      </c>
      <c r="K105" s="29">
        <f t="shared" si="7"/>
        <v>0.182803586</v>
      </c>
      <c r="L105" s="65">
        <f t="shared" si="8"/>
        <v>486.5575</v>
      </c>
      <c r="M105" s="25">
        <f t="shared" si="9"/>
        <v>-0.08461324119</v>
      </c>
      <c r="N105" s="65">
        <f t="shared" si="10"/>
        <v>2547.65</v>
      </c>
      <c r="O105" s="25">
        <f t="shared" si="11"/>
        <v>-0.03816218419</v>
      </c>
      <c r="P105" s="25">
        <f t="shared" si="12"/>
        <v>-0.04645105701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IFERROR(__xludf.DUMMYFUNCTION("""COMPUTED_VALUE"""),46283.64583333333)</f>
        <v>46283.64583</v>
      </c>
      <c r="C106" s="1">
        <f>IFERROR(__xludf.DUMMYFUNCTION("""COMPUTED_VALUE"""),458.65)</f>
        <v>458.65</v>
      </c>
      <c r="D106" s="1"/>
      <c r="E106" s="112">
        <f>IFERROR(__xludf.DUMMYFUNCTION("""COMPUTED_VALUE"""),46283.64583333333)</f>
        <v>46283.64583</v>
      </c>
      <c r="F106" s="1">
        <f>IFERROR(__xludf.DUMMYFUNCTION("""COMPUTED_VALUE"""),2451.3)</f>
        <v>2451.3</v>
      </c>
      <c r="G106" s="1"/>
      <c r="H106" s="29">
        <f t="shared" si="4"/>
        <v>0.1871048015</v>
      </c>
      <c r="I106" s="1">
        <f t="shared" si="5"/>
        <v>-1992.65</v>
      </c>
      <c r="J106" s="113">
        <f t="shared" si="6"/>
        <v>1.433810385</v>
      </c>
      <c r="K106" s="29">
        <f t="shared" si="7"/>
        <v>0.1871048015</v>
      </c>
      <c r="L106" s="65">
        <f t="shared" si="8"/>
        <v>483.0625</v>
      </c>
      <c r="M106" s="25">
        <f t="shared" si="9"/>
        <v>-0.05322686144</v>
      </c>
      <c r="N106" s="65">
        <f t="shared" si="10"/>
        <v>2538.955</v>
      </c>
      <c r="O106" s="25">
        <f t="shared" si="11"/>
        <v>-0.03575857708</v>
      </c>
      <c r="P106" s="25">
        <f t="shared" si="12"/>
        <v>-0.01746828436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IFERROR(__xludf.DUMMYFUNCTION("""COMPUTED_VALUE"""),46286.64583333333)</f>
        <v>46286.64583</v>
      </c>
      <c r="C107" s="1">
        <f>IFERROR(__xludf.DUMMYFUNCTION("""COMPUTED_VALUE"""),450.6)</f>
        <v>450.6</v>
      </c>
      <c r="D107" s="1"/>
      <c r="E107" s="112">
        <f>IFERROR(__xludf.DUMMYFUNCTION("""COMPUTED_VALUE"""),46286.64583333333)</f>
        <v>46286.64583</v>
      </c>
      <c r="F107" s="1">
        <f>IFERROR(__xludf.DUMMYFUNCTION("""COMPUTED_VALUE"""),2440.3)</f>
        <v>2440.3</v>
      </c>
      <c r="G107" s="1"/>
      <c r="H107" s="29">
        <f t="shared" si="4"/>
        <v>0.1846494283</v>
      </c>
      <c r="I107" s="1">
        <f t="shared" si="5"/>
        <v>-1989.7</v>
      </c>
      <c r="J107" s="113">
        <f t="shared" si="6"/>
        <v>1.467126603</v>
      </c>
      <c r="K107" s="29">
        <f t="shared" si="7"/>
        <v>0.1846494283</v>
      </c>
      <c r="L107" s="65">
        <f t="shared" si="8"/>
        <v>479.3725</v>
      </c>
      <c r="M107" s="25">
        <f t="shared" si="9"/>
        <v>-0.06385375055</v>
      </c>
      <c r="N107" s="65">
        <f t="shared" si="10"/>
        <v>2528.97</v>
      </c>
      <c r="O107" s="25">
        <f t="shared" si="11"/>
        <v>-0.03633569643</v>
      </c>
      <c r="P107" s="25">
        <f t="shared" si="12"/>
        <v>-0.02751805412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IFERROR(__xludf.DUMMYFUNCTION("""COMPUTED_VALUE"""),46287.64583333333)</f>
        <v>46287.64583</v>
      </c>
      <c r="C108" s="1">
        <f>IFERROR(__xludf.DUMMYFUNCTION("""COMPUTED_VALUE"""),452.6)</f>
        <v>452.6</v>
      </c>
      <c r="D108" s="1"/>
      <c r="E108" s="112">
        <f>IFERROR(__xludf.DUMMYFUNCTION("""COMPUTED_VALUE"""),46287.64583333333)</f>
        <v>46287.64583</v>
      </c>
      <c r="F108" s="1">
        <f>IFERROR(__xludf.DUMMYFUNCTION("""COMPUTED_VALUE"""),2448.5)</f>
        <v>2448.5</v>
      </c>
      <c r="G108" s="1"/>
      <c r="H108" s="29">
        <f t="shared" si="4"/>
        <v>0.184847866</v>
      </c>
      <c r="I108" s="1">
        <f t="shared" si="5"/>
        <v>-1995.9</v>
      </c>
      <c r="J108" s="113">
        <f t="shared" si="6"/>
        <v>1.397106077</v>
      </c>
      <c r="K108" s="29">
        <f t="shared" si="7"/>
        <v>0.184847866</v>
      </c>
      <c r="L108" s="65">
        <f t="shared" si="8"/>
        <v>476.2275</v>
      </c>
      <c r="M108" s="25">
        <f t="shared" si="9"/>
        <v>-0.05220393283</v>
      </c>
      <c r="N108" s="65">
        <f t="shared" si="10"/>
        <v>2519.355</v>
      </c>
      <c r="O108" s="25">
        <f t="shared" si="11"/>
        <v>-0.02893812538</v>
      </c>
      <c r="P108" s="25">
        <f t="shared" si="12"/>
        <v>-0.02326580745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IFERROR(__xludf.DUMMYFUNCTION("""COMPUTED_VALUE"""),46288.64583333333)</f>
        <v>46288.64583</v>
      </c>
      <c r="C109" s="1">
        <f>IFERROR(__xludf.DUMMYFUNCTION("""COMPUTED_VALUE"""),459.75)</f>
        <v>459.75</v>
      </c>
      <c r="D109" s="1"/>
      <c r="E109" s="112">
        <f>IFERROR(__xludf.DUMMYFUNCTION("""COMPUTED_VALUE"""),46288.64583333333)</f>
        <v>46288.64583</v>
      </c>
      <c r="F109" s="1">
        <f>IFERROR(__xludf.DUMMYFUNCTION("""COMPUTED_VALUE"""),2455.0)</f>
        <v>2455</v>
      </c>
      <c r="G109" s="1"/>
      <c r="H109" s="29">
        <f t="shared" si="4"/>
        <v>0.1872708758</v>
      </c>
      <c r="I109" s="1">
        <f t="shared" si="5"/>
        <v>-1995.25</v>
      </c>
      <c r="J109" s="113">
        <f t="shared" si="6"/>
        <v>1.404446939</v>
      </c>
      <c r="K109" s="29">
        <f t="shared" si="7"/>
        <v>0.1872708758</v>
      </c>
      <c r="L109" s="65">
        <f t="shared" si="8"/>
        <v>473.7225</v>
      </c>
      <c r="M109" s="25">
        <f t="shared" si="9"/>
        <v>-0.03039151713</v>
      </c>
      <c r="N109" s="65">
        <f t="shared" si="10"/>
        <v>2510.115</v>
      </c>
      <c r="O109" s="25">
        <f t="shared" si="11"/>
        <v>-0.02245010183</v>
      </c>
      <c r="P109" s="25">
        <f t="shared" si="12"/>
        <v>-0.007941415296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IFERROR(__xludf.DUMMYFUNCTION("""COMPUTED_VALUE"""),46289.64583333333)</f>
        <v>46289.64583</v>
      </c>
      <c r="C110" s="1">
        <f>IFERROR(__xludf.DUMMYFUNCTION("""COMPUTED_VALUE"""),449.4)</f>
        <v>449.4</v>
      </c>
      <c r="D110" s="1"/>
      <c r="E110" s="112">
        <f>IFERROR(__xludf.DUMMYFUNCTION("""COMPUTED_VALUE"""),46289.64583333333)</f>
        <v>46289.64583</v>
      </c>
      <c r="F110" s="1">
        <f>IFERROR(__xludf.DUMMYFUNCTION("""COMPUTED_VALUE"""),2392.7)</f>
        <v>2392.7</v>
      </c>
      <c r="G110" s="1"/>
      <c r="H110" s="29">
        <f t="shared" si="4"/>
        <v>0.1878212898</v>
      </c>
      <c r="I110" s="1">
        <f t="shared" si="5"/>
        <v>-1943.3</v>
      </c>
      <c r="J110" s="113">
        <f t="shared" si="6"/>
        <v>1.991151181</v>
      </c>
      <c r="K110" s="29">
        <f t="shared" si="7"/>
        <v>0.1878212898</v>
      </c>
      <c r="L110" s="65">
        <f t="shared" si="8"/>
        <v>471.0075</v>
      </c>
      <c r="M110" s="25">
        <f t="shared" si="9"/>
        <v>-0.04808077437</v>
      </c>
      <c r="N110" s="65">
        <f t="shared" si="10"/>
        <v>2498.425</v>
      </c>
      <c r="O110" s="25">
        <f t="shared" si="11"/>
        <v>-0.04418648389</v>
      </c>
      <c r="P110" s="25">
        <f t="shared" si="12"/>
        <v>-0.003894290477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IFERROR(__xludf.DUMMYFUNCTION("""COMPUTED_VALUE"""),46290.64583333333)</f>
        <v>46290.64583</v>
      </c>
      <c r="C111" s="1">
        <f>IFERROR(__xludf.DUMMYFUNCTION("""COMPUTED_VALUE"""),458.35)</f>
        <v>458.35</v>
      </c>
      <c r="D111" s="1"/>
      <c r="E111" s="112">
        <f>IFERROR(__xludf.DUMMYFUNCTION("""COMPUTED_VALUE"""),46290.64583333333)</f>
        <v>46290.64583</v>
      </c>
      <c r="F111" s="1">
        <f>IFERROR(__xludf.DUMMYFUNCTION("""COMPUTED_VALUE"""),2444.0)</f>
        <v>2444</v>
      </c>
      <c r="G111" s="1"/>
      <c r="H111" s="29">
        <f t="shared" si="4"/>
        <v>0.1875409165</v>
      </c>
      <c r="I111" s="1">
        <f t="shared" si="5"/>
        <v>-1985.65</v>
      </c>
      <c r="J111" s="113">
        <f t="shared" si="6"/>
        <v>1.512865817</v>
      </c>
      <c r="K111" s="29">
        <f t="shared" si="7"/>
        <v>0.1875409165</v>
      </c>
      <c r="L111" s="65">
        <f t="shared" si="8"/>
        <v>468.875</v>
      </c>
      <c r="M111" s="25">
        <f t="shared" si="9"/>
        <v>-0.02296280135</v>
      </c>
      <c r="N111" s="65">
        <f t="shared" si="10"/>
        <v>2489.075</v>
      </c>
      <c r="O111" s="25">
        <f t="shared" si="11"/>
        <v>-0.01844312602</v>
      </c>
      <c r="P111" s="25">
        <f t="shared" si="12"/>
        <v>-0.00451967533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IFERROR(__xludf.DUMMYFUNCTION("""COMPUTED_VALUE"""),46293.64583333333)</f>
        <v>46293.64583</v>
      </c>
      <c r="C112" s="1">
        <f>IFERROR(__xludf.DUMMYFUNCTION("""COMPUTED_VALUE"""),452.85)</f>
        <v>452.85</v>
      </c>
      <c r="D112" s="1"/>
      <c r="E112" s="112">
        <f>IFERROR(__xludf.DUMMYFUNCTION("""COMPUTED_VALUE"""),46293.64583333333)</f>
        <v>46293.64583</v>
      </c>
      <c r="F112" s="1">
        <f>IFERROR(__xludf.DUMMYFUNCTION("""COMPUTED_VALUE"""),2420.0)</f>
        <v>2420</v>
      </c>
      <c r="G112" s="1"/>
      <c r="H112" s="29">
        <f t="shared" si="4"/>
        <v>0.1871280992</v>
      </c>
      <c r="I112" s="1">
        <f t="shared" si="5"/>
        <v>-1967.15</v>
      </c>
      <c r="J112" s="113">
        <f t="shared" si="6"/>
        <v>1.72179803</v>
      </c>
      <c r="K112" s="29">
        <f t="shared" si="7"/>
        <v>0.1871280992</v>
      </c>
      <c r="L112" s="65">
        <f t="shared" si="8"/>
        <v>466.8</v>
      </c>
      <c r="M112" s="25">
        <f t="shared" si="9"/>
        <v>-0.03080490229</v>
      </c>
      <c r="N112" s="65">
        <f t="shared" si="10"/>
        <v>2479.64</v>
      </c>
      <c r="O112" s="25">
        <f t="shared" si="11"/>
        <v>-0.0246446281</v>
      </c>
      <c r="P112" s="25">
        <f t="shared" si="12"/>
        <v>-0.006160274186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IFERROR(__xludf.DUMMYFUNCTION("""COMPUTED_VALUE"""),46294.64583333333)</f>
        <v>46294.64583</v>
      </c>
      <c r="C113" s="1">
        <f>IFERROR(__xludf.DUMMYFUNCTION("""COMPUTED_VALUE"""),448.2)</f>
        <v>448.2</v>
      </c>
      <c r="D113" s="1"/>
      <c r="E113" s="112">
        <f>IFERROR(__xludf.DUMMYFUNCTION("""COMPUTED_VALUE"""),46294.64583333333)</f>
        <v>46294.64583</v>
      </c>
      <c r="F113" s="1">
        <f>IFERROR(__xludf.DUMMYFUNCTION("""COMPUTED_VALUE"""),2415.0)</f>
        <v>2415</v>
      </c>
      <c r="G113" s="1"/>
      <c r="H113" s="29">
        <f t="shared" si="4"/>
        <v>0.1855900621</v>
      </c>
      <c r="I113" s="1">
        <f t="shared" si="5"/>
        <v>-1966.8</v>
      </c>
      <c r="J113" s="113">
        <f t="shared" si="6"/>
        <v>1.725750802</v>
      </c>
      <c r="K113" s="29">
        <f t="shared" si="7"/>
        <v>0.1855900621</v>
      </c>
      <c r="L113" s="65">
        <f t="shared" si="8"/>
        <v>464.3225</v>
      </c>
      <c r="M113" s="25">
        <f t="shared" si="9"/>
        <v>-0.03597166444</v>
      </c>
      <c r="N113" s="65">
        <f t="shared" si="10"/>
        <v>2467.71</v>
      </c>
      <c r="O113" s="25">
        <f t="shared" si="11"/>
        <v>-0.02182608696</v>
      </c>
      <c r="P113" s="25">
        <f t="shared" si="12"/>
        <v>-0.01414557748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IFERROR(__xludf.DUMMYFUNCTION("""COMPUTED_VALUE"""),46295.64583333333)</f>
        <v>46295.64583</v>
      </c>
      <c r="C114" s="1">
        <f>IFERROR(__xludf.DUMMYFUNCTION("""COMPUTED_VALUE"""),455.45)</f>
        <v>455.45</v>
      </c>
      <c r="D114" s="1"/>
      <c r="E114" s="112">
        <f>IFERROR(__xludf.DUMMYFUNCTION("""COMPUTED_VALUE"""),46295.64583333333)</f>
        <v>46295.64583</v>
      </c>
      <c r="F114" s="1">
        <f>IFERROR(__xludf.DUMMYFUNCTION("""COMPUTED_VALUE"""),2402.6)</f>
        <v>2402.6</v>
      </c>
      <c r="G114" s="1"/>
      <c r="H114" s="29">
        <f t="shared" si="4"/>
        <v>0.1895654707</v>
      </c>
      <c r="I114" s="1">
        <f t="shared" si="5"/>
        <v>-1947.15</v>
      </c>
      <c r="J114" s="113">
        <f t="shared" si="6"/>
        <v>1.947670693</v>
      </c>
      <c r="K114" s="29">
        <f t="shared" si="7"/>
        <v>0.1895654707</v>
      </c>
      <c r="L114" s="65">
        <f t="shared" si="8"/>
        <v>462.5525</v>
      </c>
      <c r="M114" s="25">
        <f t="shared" si="9"/>
        <v>-0.01559446701</v>
      </c>
      <c r="N114" s="65">
        <f t="shared" si="10"/>
        <v>2459.065</v>
      </c>
      <c r="O114" s="25">
        <f t="shared" si="11"/>
        <v>-0.02350162324</v>
      </c>
      <c r="P114" s="25">
        <f t="shared" si="12"/>
        <v>0.007907156231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IFERROR(__xludf.DUMMYFUNCTION("""COMPUTED_VALUE"""),46296.64583333333)</f>
        <v>46296.64583</v>
      </c>
      <c r="C115" s="1">
        <f>IFERROR(__xludf.DUMMYFUNCTION("""COMPUTED_VALUE"""),452.4)</f>
        <v>452.4</v>
      </c>
      <c r="D115" s="1"/>
      <c r="E115" s="112">
        <f>IFERROR(__xludf.DUMMYFUNCTION("""COMPUTED_VALUE"""),46296.64583333333)</f>
        <v>46296.64583</v>
      </c>
      <c r="F115" s="1">
        <f>IFERROR(__xludf.DUMMYFUNCTION("""COMPUTED_VALUE"""),2407.0)</f>
        <v>2407</v>
      </c>
      <c r="G115" s="1"/>
      <c r="H115" s="29">
        <f t="shared" si="4"/>
        <v>0.1879518072</v>
      </c>
      <c r="I115" s="1">
        <f t="shared" si="5"/>
        <v>-1954.6</v>
      </c>
      <c r="J115" s="113">
        <f t="shared" si="6"/>
        <v>1.863533126</v>
      </c>
      <c r="K115" s="269">
        <f t="shared" ref="K115:K120" si="13">C116/F115</f>
        <v>0.1904445368</v>
      </c>
      <c r="L115" s="65">
        <f t="shared" si="8"/>
        <v>460.77</v>
      </c>
      <c r="M115" s="25">
        <f t="shared" si="9"/>
        <v>-0.01850132626</v>
      </c>
      <c r="N115" s="65">
        <f t="shared" si="10"/>
        <v>2453.04</v>
      </c>
      <c r="O115" s="25">
        <f t="shared" si="11"/>
        <v>-0.01912754466</v>
      </c>
      <c r="P115" s="25">
        <f t="shared" si="12"/>
        <v>0.0006262184015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IFERROR(__xludf.DUMMYFUNCTION("""COMPUTED_VALUE"""),46300.64583333333)</f>
        <v>46300.64583</v>
      </c>
      <c r="C116" s="1">
        <f>IFERROR(__xludf.DUMMYFUNCTION("""COMPUTED_VALUE"""),458.4)</f>
        <v>458.4</v>
      </c>
      <c r="D116" s="1"/>
      <c r="E116" s="112">
        <f>IFERROR(__xludf.DUMMYFUNCTION("""COMPUTED_VALUE"""),46300.64583333333)</f>
        <v>46300.64583</v>
      </c>
      <c r="F116" s="1">
        <f>IFERROR(__xludf.DUMMYFUNCTION("""COMPUTED_VALUE"""),2366.0)</f>
        <v>2366</v>
      </c>
      <c r="G116" s="1"/>
      <c r="H116" s="29">
        <f t="shared" si="4"/>
        <v>0.1937447168</v>
      </c>
      <c r="I116" s="1">
        <f t="shared" si="5"/>
        <v>-1907.6</v>
      </c>
      <c r="J116" s="113">
        <f t="shared" si="6"/>
        <v>2.394333884</v>
      </c>
      <c r="K116" s="269">
        <f t="shared" si="13"/>
        <v>0.1997252747</v>
      </c>
      <c r="L116" s="65">
        <f t="shared" si="8"/>
        <v>459.12</v>
      </c>
      <c r="M116" s="25">
        <f t="shared" si="9"/>
        <v>-0.001570680628</v>
      </c>
      <c r="N116" s="65">
        <f t="shared" si="10"/>
        <v>2444.26</v>
      </c>
      <c r="O116" s="25">
        <f t="shared" si="11"/>
        <v>-0.03307692308</v>
      </c>
      <c r="P116" s="25">
        <f t="shared" si="12"/>
        <v>0.03150624245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IFERROR(__xludf.DUMMYFUNCTION("""COMPUTED_VALUE"""),46301.64583333333)</f>
        <v>46301.64583</v>
      </c>
      <c r="C117" s="1">
        <f>IFERROR(__xludf.DUMMYFUNCTION("""COMPUTED_VALUE"""),472.55)</f>
        <v>472.55</v>
      </c>
      <c r="D117" s="1"/>
      <c r="E117" s="112">
        <f>IFERROR(__xludf.DUMMYFUNCTION("""COMPUTED_VALUE"""),46301.64583333333)</f>
        <v>46301.64583</v>
      </c>
      <c r="F117" s="1">
        <f>IFERROR(__xludf.DUMMYFUNCTION("""COMPUTED_VALUE"""),2424.2)</f>
        <v>2424.2</v>
      </c>
      <c r="G117" s="1"/>
      <c r="H117" s="29">
        <f t="shared" si="4"/>
        <v>0.1949302863</v>
      </c>
      <c r="I117" s="1">
        <f t="shared" si="5"/>
        <v>-1951.65</v>
      </c>
      <c r="J117" s="113">
        <f t="shared" si="6"/>
        <v>1.896849344</v>
      </c>
      <c r="K117" s="269">
        <f t="shared" si="13"/>
        <v>0.1913620988</v>
      </c>
      <c r="L117" s="65">
        <f t="shared" si="8"/>
        <v>458.4825</v>
      </c>
      <c r="M117" s="25">
        <f t="shared" si="9"/>
        <v>0.02976933658</v>
      </c>
      <c r="N117" s="65">
        <f t="shared" si="10"/>
        <v>2439.105</v>
      </c>
      <c r="O117" s="25">
        <f t="shared" si="11"/>
        <v>-0.006148420097</v>
      </c>
      <c r="P117" s="25">
        <f t="shared" si="12"/>
        <v>0.03591775668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IFERROR(__xludf.DUMMYFUNCTION("""COMPUTED_VALUE"""),46302.64583333333)</f>
        <v>46302.64583</v>
      </c>
      <c r="C118" s="1">
        <f>IFERROR(__xludf.DUMMYFUNCTION("""COMPUTED_VALUE"""),463.9)</f>
        <v>463.9</v>
      </c>
      <c r="D118" s="1"/>
      <c r="E118" s="112">
        <f>IFERROR(__xludf.DUMMYFUNCTION("""COMPUTED_VALUE"""),46302.64583333333)</f>
        <v>46302.64583</v>
      </c>
      <c r="F118" s="1">
        <f>IFERROR(__xludf.DUMMYFUNCTION("""COMPUTED_VALUE"""),2372.1)</f>
        <v>2372.1</v>
      </c>
      <c r="G118" s="1"/>
      <c r="H118" s="29">
        <f t="shared" si="4"/>
        <v>0.1955651111</v>
      </c>
      <c r="I118" s="1">
        <f t="shared" si="5"/>
        <v>-1908.2</v>
      </c>
      <c r="J118" s="113">
        <f t="shared" si="6"/>
        <v>2.387557705</v>
      </c>
      <c r="K118" s="269">
        <f t="shared" si="13"/>
        <v>0.197272459</v>
      </c>
      <c r="L118" s="65">
        <f t="shared" si="8"/>
        <v>457.4525</v>
      </c>
      <c r="M118" s="25">
        <f t="shared" si="9"/>
        <v>0.0138984695</v>
      </c>
      <c r="N118" s="65">
        <f t="shared" si="10"/>
        <v>2432.665</v>
      </c>
      <c r="O118" s="25">
        <f t="shared" si="11"/>
        <v>-0.02553222883</v>
      </c>
      <c r="P118" s="25">
        <f t="shared" si="12"/>
        <v>0.03943069832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IFERROR(__xludf.DUMMYFUNCTION("""COMPUTED_VALUE"""),46303.64583333333)</f>
        <v>46303.64583</v>
      </c>
      <c r="C119" s="1">
        <f>IFERROR(__xludf.DUMMYFUNCTION("""COMPUTED_VALUE"""),467.95)</f>
        <v>467.95</v>
      </c>
      <c r="D119" s="1"/>
      <c r="E119" s="112">
        <f>IFERROR(__xludf.DUMMYFUNCTION("""COMPUTED_VALUE"""),46303.64583333333)</f>
        <v>46303.64583</v>
      </c>
      <c r="F119" s="1">
        <f>IFERROR(__xludf.DUMMYFUNCTION("""COMPUTED_VALUE"""),2311.6)</f>
        <v>2311.6</v>
      </c>
      <c r="G119" s="1"/>
      <c r="H119" s="29">
        <f t="shared" si="4"/>
        <v>0.2024355425</v>
      </c>
      <c r="I119" s="1">
        <f t="shared" si="5"/>
        <v>-1843.65</v>
      </c>
      <c r="J119" s="113">
        <f t="shared" si="6"/>
        <v>3.116561724</v>
      </c>
      <c r="K119" s="269">
        <f t="shared" si="13"/>
        <v>0.2041443156</v>
      </c>
      <c r="L119" s="65">
        <f t="shared" si="8"/>
        <v>456.8775</v>
      </c>
      <c r="M119" s="25">
        <f t="shared" si="9"/>
        <v>0.023661716</v>
      </c>
      <c r="N119" s="65">
        <f t="shared" si="10"/>
        <v>2424.165</v>
      </c>
      <c r="O119" s="25">
        <f t="shared" si="11"/>
        <v>-0.0486957086</v>
      </c>
      <c r="P119" s="25">
        <f t="shared" si="12"/>
        <v>0.0723574246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12">
        <f>IFERROR(__xludf.DUMMYFUNCTION("""COMPUTED_VALUE"""),46304.64583333333)</f>
        <v>46304.64583</v>
      </c>
      <c r="C120" s="1">
        <f>IFERROR(__xludf.DUMMYFUNCTION("""COMPUTED_VALUE"""),471.9)</f>
        <v>471.9</v>
      </c>
      <c r="D120" s="1"/>
      <c r="E120" s="112">
        <f>IFERROR(__xludf.DUMMYFUNCTION("""COMPUTED_VALUE"""),46304.64583333333)</f>
        <v>46304.64583</v>
      </c>
      <c r="F120" s="1">
        <f>IFERROR(__xludf.DUMMYFUNCTION("""COMPUTED_VALUE"""),2339.1)</f>
        <v>2339.1</v>
      </c>
      <c r="G120" s="1"/>
      <c r="H120" s="29">
        <f t="shared" si="4"/>
        <v>0.2017442606</v>
      </c>
      <c r="I120" s="1">
        <f t="shared" si="5"/>
        <v>-1867.2</v>
      </c>
      <c r="J120" s="113">
        <f t="shared" si="6"/>
        <v>2.850596664</v>
      </c>
      <c r="K120" s="269">
        <f t="shared" si="13"/>
        <v>0.2010174854</v>
      </c>
      <c r="L120" s="65">
        <f t="shared" si="8"/>
        <v>456.9325</v>
      </c>
      <c r="M120" s="25">
        <f t="shared" si="9"/>
        <v>0.0317175249</v>
      </c>
      <c r="N120" s="65">
        <f t="shared" si="10"/>
        <v>2416.67</v>
      </c>
      <c r="O120" s="25">
        <f t="shared" si="11"/>
        <v>-0.03316232739</v>
      </c>
      <c r="P120" s="25">
        <f t="shared" si="12"/>
        <v>0.06487985229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73"/>
      <c r="B121" s="174">
        <f>IFERROR(__xludf.DUMMYFUNCTION("""COMPUTED_VALUE"""),46307.64583333333)</f>
        <v>46307.64583</v>
      </c>
      <c r="C121" s="175">
        <f>IFERROR(__xludf.DUMMYFUNCTION("""COMPUTED_VALUE"""),470.2)</f>
        <v>470.2</v>
      </c>
      <c r="D121" s="175"/>
      <c r="E121" s="174">
        <f>IFERROR(__xludf.DUMMYFUNCTION("""COMPUTED_VALUE"""),46307.64583333333)</f>
        <v>46307.64583</v>
      </c>
      <c r="F121" s="175">
        <f>IFERROR(__xludf.DUMMYFUNCTION("""COMPUTED_VALUE"""),2331.0)</f>
        <v>2331</v>
      </c>
      <c r="G121" s="175"/>
      <c r="H121" s="29">
        <f t="shared" si="4"/>
        <v>0.2017160017</v>
      </c>
      <c r="I121" s="175"/>
      <c r="J121" s="176"/>
      <c r="K121" s="179"/>
      <c r="L121" s="177"/>
      <c r="M121" s="178"/>
      <c r="N121" s="177"/>
      <c r="O121" s="178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</row>
    <row r="122">
      <c r="A122" s="173"/>
      <c r="B122" s="174">
        <f>IFERROR(__xludf.DUMMYFUNCTION("""COMPUTED_VALUE"""),46308.64583333333)</f>
        <v>46308.64583</v>
      </c>
      <c r="C122" s="175">
        <f>IFERROR(__xludf.DUMMYFUNCTION("""COMPUTED_VALUE"""),476.05)</f>
        <v>476.05</v>
      </c>
      <c r="D122" s="175"/>
      <c r="E122" s="174">
        <f>IFERROR(__xludf.DUMMYFUNCTION("""COMPUTED_VALUE"""),46308.64583333333)</f>
        <v>46308.64583</v>
      </c>
      <c r="F122" s="175">
        <f>IFERROR(__xludf.DUMMYFUNCTION("""COMPUTED_VALUE"""),2376.0)</f>
        <v>2376</v>
      </c>
      <c r="G122" s="175"/>
      <c r="H122" s="29"/>
      <c r="I122" s="175"/>
      <c r="J122" s="176"/>
      <c r="K122" s="179"/>
      <c r="L122" s="177"/>
      <c r="M122" s="178"/>
      <c r="N122" s="177"/>
      <c r="O122" s="178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</row>
    <row r="123">
      <c r="A123" s="173"/>
      <c r="B123" s="174">
        <f>IFERROR(__xludf.DUMMYFUNCTION("""COMPUTED_VALUE"""),46309.64583333333)</f>
        <v>46309.64583</v>
      </c>
      <c r="C123" s="175">
        <f>IFERROR(__xludf.DUMMYFUNCTION("""COMPUTED_VALUE"""),475.55)</f>
        <v>475.55</v>
      </c>
      <c r="D123" s="175"/>
      <c r="E123" s="174">
        <f>IFERROR(__xludf.DUMMYFUNCTION("""COMPUTED_VALUE"""),46309.64583333333)</f>
        <v>46309.64583</v>
      </c>
      <c r="F123" s="175">
        <f>IFERROR(__xludf.DUMMYFUNCTION("""COMPUTED_VALUE"""),2344.7)</f>
        <v>2344.7</v>
      </c>
      <c r="G123" s="175"/>
      <c r="H123" s="29"/>
      <c r="I123" s="175"/>
      <c r="J123" s="176"/>
      <c r="K123" s="179"/>
      <c r="L123" s="177"/>
      <c r="M123" s="178"/>
      <c r="N123" s="177"/>
      <c r="O123" s="178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</row>
    <row r="124">
      <c r="A124" s="173"/>
      <c r="B124" s="174">
        <f>IFERROR(__xludf.DUMMYFUNCTION("""COMPUTED_VALUE"""),46310.64583333333)</f>
        <v>46310.64583</v>
      </c>
      <c r="C124" s="175">
        <f>IFERROR(__xludf.DUMMYFUNCTION("""COMPUTED_VALUE"""),470.05)</f>
        <v>470.05</v>
      </c>
      <c r="D124" s="175"/>
      <c r="E124" s="174">
        <f>IFERROR(__xludf.DUMMYFUNCTION("""COMPUTED_VALUE"""),46310.64583333333)</f>
        <v>46310.64583</v>
      </c>
      <c r="F124" s="175">
        <f>IFERROR(__xludf.DUMMYFUNCTION("""COMPUTED_VALUE"""),2350.0)</f>
        <v>2350</v>
      </c>
      <c r="G124" s="175"/>
      <c r="H124" s="29"/>
      <c r="I124" s="175"/>
      <c r="J124" s="176"/>
      <c r="K124" s="179"/>
      <c r="L124" s="177"/>
      <c r="M124" s="178"/>
      <c r="N124" s="177"/>
      <c r="O124" s="178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</row>
    <row r="125">
      <c r="B125" s="166">
        <f>IFERROR(__xludf.DUMMYFUNCTION("""COMPUTED_VALUE"""),46311.64583333333)</f>
        <v>46311.64583</v>
      </c>
      <c r="C125" s="230">
        <f>IFERROR(__xludf.DUMMYFUNCTION("""COMPUTED_VALUE"""),473.95)</f>
        <v>473.95</v>
      </c>
      <c r="E125" s="166">
        <f>IFERROR(__xludf.DUMMYFUNCTION("""COMPUTED_VALUE"""),46311.64583333333)</f>
        <v>46311.64583</v>
      </c>
      <c r="F125" s="230">
        <f>IFERROR(__xludf.DUMMYFUNCTION("""COMPUTED_VALUE"""),2331.9)</f>
        <v>2331.9</v>
      </c>
    </row>
    <row r="129">
      <c r="A129" s="173" t="s">
        <v>9</v>
      </c>
      <c r="B129" s="174">
        <f>IFERROR(__xludf.DUMMYFUNCTION("GOOGLEFINANCE(B9,""TRADETIME"")"),46311.64585648148)</f>
        <v>46311.64586</v>
      </c>
      <c r="C129" s="175">
        <f>IFERROR(__xludf.DUMMYFUNCTION("GOOGLEFINANCE(B9,""PRICE"")"),476.0)</f>
        <v>476</v>
      </c>
      <c r="D129" s="175"/>
      <c r="E129" s="174">
        <f>IFERROR(__xludf.DUMMYFUNCTION("GOOGLEFINANCE(E9,""TRADETIME"")"),46311.64583333333)</f>
        <v>46311.64583</v>
      </c>
      <c r="F129" s="175">
        <f>IFERROR(__xludf.DUMMYFUNCTION("GOOGLEFINANCE(E9,""PRICE"")"),2331.9)</f>
        <v>2331.9</v>
      </c>
      <c r="G129" s="175"/>
      <c r="H129" s="29">
        <f>C129/F129</f>
        <v>0.2041253913</v>
      </c>
      <c r="I129" s="175">
        <f>C129-F129</f>
        <v>-1855.9</v>
      </c>
      <c r="J129" s="176">
        <f>((I129-$I$131)/$I$132)</f>
        <v>2.978214718</v>
      </c>
      <c r="K129" s="179">
        <f>C129/F129</f>
        <v>0.2041253913</v>
      </c>
      <c r="L129" s="177">
        <f>AVERAGE(C73:C109)</f>
        <v>502.1945946</v>
      </c>
      <c r="M129" s="178">
        <f>(C129-L129)/C129</f>
        <v>-0.05503066091</v>
      </c>
      <c r="N129" s="177">
        <f>AVERAGE(F73:F109)</f>
        <v>2600.191892</v>
      </c>
      <c r="O129" s="178">
        <f>(F129-N129)/F129</f>
        <v>-0.1150529147</v>
      </c>
      <c r="P129" s="178">
        <f>M129-O129</f>
        <v>0.06002225383</v>
      </c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</row>
    <row r="131">
      <c r="A131" s="1"/>
      <c r="B131" s="1"/>
      <c r="C131" s="1"/>
      <c r="D131" s="1"/>
      <c r="E131" s="1"/>
      <c r="F131" s="1"/>
      <c r="G131" s="1"/>
      <c r="H131" s="96" t="s">
        <v>138</v>
      </c>
      <c r="I131" s="177">
        <f>AVERAGE(I11:I118)</f>
        <v>-2119.607407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96" t="s">
        <v>139</v>
      </c>
      <c r="I132" s="189">
        <f>_xlfn.STDEV.P(I11:I117)</f>
        <v>88.5454651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5" max="5" width="20.63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18.88"/>
    <col customWidth="1" min="20" max="20" width="26.0"/>
    <col customWidth="1" min="21" max="21" width="18.5"/>
    <col customWidth="1" min="24" max="24" width="13.38"/>
  </cols>
  <sheetData>
    <row r="1">
      <c r="A1" s="1"/>
      <c r="B1" s="2" t="s">
        <v>0</v>
      </c>
      <c r="C1" s="4">
        <f>AVERAGE(C98:C118)</f>
        <v>5252.166667</v>
      </c>
      <c r="D1" s="1"/>
      <c r="E1" s="2" t="s">
        <v>0</v>
      </c>
      <c r="F1" s="4">
        <f>AVERAGE(F98:F118)</f>
        <v>1689.652381</v>
      </c>
      <c r="G1" s="1">
        <f>STDEV(F74:F93)</f>
        <v>30.25748102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29</v>
      </c>
      <c r="V1" s="7" t="s">
        <v>31</v>
      </c>
      <c r="W1" s="7" t="s">
        <v>11</v>
      </c>
      <c r="X1" s="13" t="s">
        <v>12</v>
      </c>
      <c r="Y1" s="1"/>
      <c r="Z1" s="1"/>
      <c r="AA1" s="1"/>
      <c r="AB1" s="1"/>
      <c r="AC1" s="1"/>
    </row>
    <row r="2">
      <c r="A2" s="1"/>
      <c r="B2" s="17" t="s">
        <v>20</v>
      </c>
      <c r="C2" s="19">
        <f>AVERAGE(C18:C88)</f>
        <v>5493.683099</v>
      </c>
      <c r="D2" s="1"/>
      <c r="E2" s="17" t="s">
        <v>20</v>
      </c>
      <c r="F2" s="19">
        <f>AVERAGE(F88:F118)</f>
        <v>1675.893548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0.1993360739</v>
      </c>
      <c r="O2" s="7" t="s">
        <v>25</v>
      </c>
      <c r="P2" s="29">
        <f>AVERAGE(K88:K117)</f>
        <v>3.143867985</v>
      </c>
      <c r="Q2" s="29">
        <f>MAX(K88:K117)</f>
        <v>3.327114428</v>
      </c>
      <c r="R2" s="29">
        <f>MIN(K88:K117)</f>
        <v>3.024898464</v>
      </c>
      <c r="S2" s="40">
        <f t="shared" ref="S2:S5" si="1">Q2-R2</f>
        <v>0.3022159641</v>
      </c>
      <c r="T2" s="1">
        <f>MATCH(MAX(K11:K116), K11:K116, 0)</f>
        <v>18</v>
      </c>
      <c r="U2" s="1">
        <f t="array" ref="U2">INDEX(C11:C116, MATCH(MAX(K11:K116), K11:K116, 0))</f>
        <v>5498</v>
      </c>
      <c r="V2" s="1">
        <f t="array" ref="V2">INDEX(F11:F116, MATCH(MAX(K11:K116), K11:K116, 0))</f>
        <v>1426.4</v>
      </c>
      <c r="W2" s="54">
        <f t="shared" ref="W2:W3" si="2">U2/V2</f>
        <v>3.854458777</v>
      </c>
      <c r="X2" s="7" t="s">
        <v>2</v>
      </c>
      <c r="Y2" s="1"/>
      <c r="Z2" s="1"/>
      <c r="AA2" s="1"/>
      <c r="AB2" s="1"/>
      <c r="AC2" s="1"/>
    </row>
    <row r="3">
      <c r="A3" s="1">
        <f>STDEV(C75:C93)</f>
        <v>115.5723742</v>
      </c>
      <c r="B3" s="58" t="s">
        <v>61</v>
      </c>
      <c r="C3" s="61">
        <f>max(C98:C118)</f>
        <v>5466.5</v>
      </c>
      <c r="D3" s="65">
        <f>C1+A3*2</f>
        <v>5483.311415</v>
      </c>
      <c r="E3" s="58" t="s">
        <v>61</v>
      </c>
      <c r="F3" s="61">
        <f>max(F98:F118)</f>
        <v>1734</v>
      </c>
      <c r="G3" s="65">
        <f>F1+G1*2</f>
        <v>1750.167343</v>
      </c>
      <c r="H3" s="1"/>
      <c r="I3" s="1"/>
      <c r="J3" s="1"/>
      <c r="K3" s="1"/>
      <c r="L3" s="1"/>
      <c r="M3" s="7" t="s">
        <v>64</v>
      </c>
      <c r="N3" s="25">
        <f>CORREL(C58:C118,F58:F118)</f>
        <v>-0.712816003</v>
      </c>
      <c r="O3" s="7" t="s">
        <v>67</v>
      </c>
      <c r="P3" s="29">
        <f>AVERAGE((K58:K117))</f>
        <v>3.329222067</v>
      </c>
      <c r="Q3" s="29">
        <f>MAX(K58:K117)</f>
        <v>3.689970183</v>
      </c>
      <c r="R3" s="29">
        <f>MIN(K58:K117)</f>
        <v>3.024898464</v>
      </c>
      <c r="S3" s="40">
        <f t="shared" si="1"/>
        <v>0.6650717196</v>
      </c>
      <c r="T3" s="1">
        <f>MATCH(Min(K11:K116), K11:K116, 0)</f>
        <v>90</v>
      </c>
      <c r="U3" s="1">
        <f t="array" ref="U3">INDEX(C11:C116, MATCH(Min(K11:K116), K11:K116, 0))</f>
        <v>5139</v>
      </c>
      <c r="V3" s="1">
        <f t="array" ref="V3">INDEX(F11:F116, MATCH(MIN(K11:K116), K11:K116, 0))</f>
        <v>1698.9</v>
      </c>
      <c r="W3" s="54">
        <f t="shared" si="2"/>
        <v>3.024898464</v>
      </c>
      <c r="X3" s="7" t="s">
        <v>3</v>
      </c>
      <c r="Y3" s="1"/>
      <c r="Z3" s="1"/>
      <c r="AA3" s="1"/>
      <c r="AB3" s="1"/>
      <c r="AC3" s="1"/>
    </row>
    <row r="4">
      <c r="A4" s="1"/>
      <c r="B4" s="58" t="s">
        <v>73</v>
      </c>
      <c r="C4" s="61">
        <f>MIN(C98:C118)</f>
        <v>5087.5</v>
      </c>
      <c r="D4" s="65">
        <f>C1-A3*2</f>
        <v>5021.021918</v>
      </c>
      <c r="E4" s="58" t="s">
        <v>73</v>
      </c>
      <c r="F4" s="61">
        <f>MIN(F98:F118)</f>
        <v>1643</v>
      </c>
      <c r="G4" s="65">
        <f>F1-G1*2</f>
        <v>1629.137419</v>
      </c>
      <c r="H4" s="1"/>
      <c r="I4" s="1"/>
      <c r="J4" s="1"/>
      <c r="K4" s="1"/>
      <c r="L4" s="1"/>
      <c r="M4" s="7" t="s">
        <v>77</v>
      </c>
      <c r="N4" s="25">
        <f>CORREL(C28:C118,F28:F118)</f>
        <v>-0.2036898501</v>
      </c>
      <c r="O4" s="7" t="s">
        <v>79</v>
      </c>
      <c r="P4" s="29">
        <f>AVERAGE(K28:K117)</f>
        <v>3.426416017</v>
      </c>
      <c r="Q4" s="29">
        <f>MAX(K28:K117)</f>
        <v>3.854458777</v>
      </c>
      <c r="R4" s="29">
        <f>MIN(K28:K117)</f>
        <v>3.024898464</v>
      </c>
      <c r="S4" s="40">
        <f t="shared" si="1"/>
        <v>0.8295603136</v>
      </c>
      <c r="T4" s="1"/>
      <c r="U4" s="1"/>
      <c r="V4" s="1"/>
      <c r="W4" s="54"/>
      <c r="X4" s="1"/>
      <c r="Y4" s="1"/>
      <c r="Z4" s="1"/>
      <c r="AA4" s="1"/>
      <c r="AB4" s="1"/>
      <c r="AC4" s="1"/>
    </row>
    <row r="5">
      <c r="A5" s="1"/>
      <c r="B5" s="58" t="s">
        <v>81</v>
      </c>
      <c r="C5" s="61">
        <f>max(C108:C118)</f>
        <v>5417.5</v>
      </c>
      <c r="D5" s="65">
        <f>C1+A3</f>
        <v>5367.739041</v>
      </c>
      <c r="E5" s="58" t="s">
        <v>81</v>
      </c>
      <c r="F5" s="61">
        <f>max(F108:F118)</f>
        <v>1721.5</v>
      </c>
      <c r="G5" s="65">
        <f>F1+G1</f>
        <v>1719.909862</v>
      </c>
      <c r="H5" s="1"/>
      <c r="I5" s="1"/>
      <c r="J5" s="1"/>
      <c r="K5" s="1"/>
      <c r="L5" s="1"/>
      <c r="M5" s="7" t="s">
        <v>82</v>
      </c>
      <c r="N5" s="25">
        <f>CORREL(C11:C118,F11:F118)</f>
        <v>-0.2307632381</v>
      </c>
      <c r="O5" s="7" t="s">
        <v>83</v>
      </c>
      <c r="P5" s="29">
        <f>AVERAGE(K11:K117)</f>
        <v>3.46871404</v>
      </c>
      <c r="Q5" s="29">
        <f>MAX(K11:K117)</f>
        <v>3.854458777</v>
      </c>
      <c r="R5" s="29">
        <f>MIN(K11:K117)</f>
        <v>3.024898464</v>
      </c>
      <c r="S5" s="40">
        <f t="shared" si="1"/>
        <v>0.8295603136</v>
      </c>
      <c r="T5" s="96" t="s">
        <v>204</v>
      </c>
      <c r="U5" s="96" t="str">
        <f t="shared" ref="U5:U6" si="3">#REF!</f>
        <v>#REF!</v>
      </c>
      <c r="V5" s="99" t="str">
        <f>U2*U7*U5</f>
        <v>#REF!</v>
      </c>
      <c r="W5" s="109" t="str">
        <f>V2*U6*U8</f>
        <v>#REF!</v>
      </c>
      <c r="X5" s="99"/>
      <c r="Y5" s="1"/>
      <c r="Z5" s="1"/>
      <c r="AA5" s="1"/>
      <c r="AB5" s="1"/>
      <c r="AC5" s="1"/>
    </row>
    <row r="6">
      <c r="A6" s="1"/>
      <c r="B6" s="58" t="s">
        <v>87</v>
      </c>
      <c r="C6" s="61">
        <f>MIN(C108:C118)</f>
        <v>5163.5</v>
      </c>
      <c r="D6" s="65">
        <f>C1-A3</f>
        <v>5136.594292</v>
      </c>
      <c r="E6" s="58" t="s">
        <v>87</v>
      </c>
      <c r="F6" s="61">
        <f>MIN(F108:F118)</f>
        <v>1672</v>
      </c>
      <c r="G6" s="65">
        <f>F1-G1</f>
        <v>1659.3949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205</v>
      </c>
      <c r="U6" s="96" t="str">
        <f t="shared" si="3"/>
        <v>#REF!</v>
      </c>
      <c r="V6" s="99" t="str">
        <f>U3*U5*U7</f>
        <v>#REF!</v>
      </c>
      <c r="W6" s="99" t="str">
        <f>V3*U6*U8</f>
        <v>#REF!</v>
      </c>
      <c r="X6" s="99"/>
      <c r="Y6" s="109"/>
      <c r="Z6" s="1"/>
      <c r="AA6" s="1"/>
      <c r="AB6" s="1"/>
      <c r="AC6" s="1"/>
    </row>
    <row r="7">
      <c r="A7" s="1"/>
      <c r="B7" s="7" t="s">
        <v>88</v>
      </c>
      <c r="C7" s="1">
        <f>max(C88:C118)</f>
        <v>5466.5</v>
      </c>
      <c r="D7" s="1"/>
      <c r="E7" s="7" t="s">
        <v>88</v>
      </c>
      <c r="F7" s="1">
        <f>max(F88:F118)</f>
        <v>1734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96" t="s">
        <v>204</v>
      </c>
      <c r="U7" s="7">
        <v>100.0</v>
      </c>
      <c r="V7" s="1"/>
      <c r="W7" s="1"/>
      <c r="X7" s="1"/>
      <c r="Y7" s="1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5252.166667</v>
      </c>
      <c r="D8" s="1"/>
      <c r="E8" s="58" t="s">
        <v>90</v>
      </c>
      <c r="F8" s="107">
        <f>AVERAGE(F98:F118)</f>
        <v>1689.652381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96" t="s">
        <v>205</v>
      </c>
      <c r="U8" s="7">
        <v>550.0</v>
      </c>
      <c r="V8" s="1"/>
      <c r="W8" s="1"/>
      <c r="X8" s="1"/>
      <c r="Y8" s="1"/>
      <c r="Z8" s="1"/>
      <c r="AA8" s="1"/>
      <c r="AB8" s="1"/>
      <c r="AC8" s="1"/>
    </row>
    <row r="9">
      <c r="A9" s="1"/>
      <c r="B9" s="13" t="s">
        <v>135</v>
      </c>
      <c r="C9" s="1"/>
      <c r="D9" s="1"/>
      <c r="E9" s="13" t="s">
        <v>136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" t="str">
        <f>IFERROR(__xludf.DUMMYFUNCTION("GOOGLEFINANCE(B9,""price"",TODAY()-165,TODAY())"),"Date")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IFERROR(__xludf.DUMMYFUNCTION("GOOGLEFINANCE(E9,""price"",TODAY()-165,TODAY())"),"Date")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106</v>
      </c>
      <c r="M10" s="7" t="s">
        <v>107</v>
      </c>
      <c r="N10" s="7" t="s">
        <v>108</v>
      </c>
      <c r="O10" s="7" t="s">
        <v>109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">
        <v>29</v>
      </c>
      <c r="AA10" s="111" t="s">
        <v>110</v>
      </c>
      <c r="AB10" s="1"/>
      <c r="AC10" s="1"/>
    </row>
    <row r="11">
      <c r="A11" s="1"/>
      <c r="B11" s="112">
        <f>IFERROR(__xludf.DUMMYFUNCTION("""COMPUTED_VALUE"""),46147.64583333333)</f>
        <v>46147.64583</v>
      </c>
      <c r="C11" s="1">
        <f>IFERROR(__xludf.DUMMYFUNCTION("""COMPUTED_VALUE"""),5403.0)</f>
        <v>5403</v>
      </c>
      <c r="D11" s="1"/>
      <c r="E11" s="112">
        <f>IFERROR(__xludf.DUMMYFUNCTION("""COMPUTED_VALUE"""),46147.64583333333)</f>
        <v>46147.64583</v>
      </c>
      <c r="F11" s="1">
        <f>IFERROR(__xludf.DUMMYFUNCTION("""COMPUTED_VALUE"""),1428.1)</f>
        <v>1428.1</v>
      </c>
      <c r="G11" s="1"/>
      <c r="H11" s="29">
        <f t="shared" ref="H11:H119" si="4">C11/F11</f>
        <v>3.783348505</v>
      </c>
      <c r="I11" s="1">
        <f t="shared" ref="I11:I119" si="5">C11-F11</f>
        <v>3974.9</v>
      </c>
      <c r="J11" s="113">
        <f t="shared" ref="J11:J119" si="6">((I11-$I$131)/$I$132)</f>
        <v>0.5740235382</v>
      </c>
      <c r="K11" s="29">
        <f t="shared" ref="K11:K114" si="7">C11/F11</f>
        <v>3.783348505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 t="str">
        <f>V5-V6</f>
        <v>#REF!</v>
      </c>
      <c r="W11" s="120" t="str">
        <f>W6-W5</f>
        <v>#REF!</v>
      </c>
      <c r="X11" s="99" t="str">
        <f>V11+W11</f>
        <v>#REF!</v>
      </c>
      <c r="Y11" s="110" t="s">
        <v>101</v>
      </c>
      <c r="Z11" s="115">
        <f>AVERAGE(C88,C118)</f>
        <v>5350.25</v>
      </c>
      <c r="AA11" s="115">
        <f>AVERAGE(F88,F118)</f>
        <v>1645</v>
      </c>
      <c r="AB11" s="1"/>
      <c r="AC11" s="1"/>
    </row>
    <row r="12">
      <c r="A12" s="1"/>
      <c r="B12" s="112">
        <f>IFERROR(__xludf.DUMMYFUNCTION("""COMPUTED_VALUE"""),46148.64583333333)</f>
        <v>46148.64583</v>
      </c>
      <c r="C12" s="1">
        <f>IFERROR(__xludf.DUMMYFUNCTION("""COMPUTED_VALUE"""),5557.0)</f>
        <v>5557</v>
      </c>
      <c r="D12" s="1"/>
      <c r="E12" s="112">
        <f>IFERROR(__xludf.DUMMYFUNCTION("""COMPUTED_VALUE"""),46148.64583333333)</f>
        <v>46148.64583</v>
      </c>
      <c r="F12" s="1">
        <f>IFERROR(__xludf.DUMMYFUNCTION("""COMPUTED_VALUE"""),1484.0)</f>
        <v>1484</v>
      </c>
      <c r="G12" s="1"/>
      <c r="H12" s="29">
        <f t="shared" si="4"/>
        <v>3.744609164</v>
      </c>
      <c r="I12" s="1">
        <f t="shared" si="5"/>
        <v>4073</v>
      </c>
      <c r="J12" s="113">
        <f t="shared" si="6"/>
        <v>1.058001302</v>
      </c>
      <c r="K12" s="29">
        <f t="shared" si="7"/>
        <v>3.744609164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S2/3</f>
        <v>0.1007386547</v>
      </c>
      <c r="V12" s="1"/>
      <c r="W12" s="1"/>
      <c r="X12" s="1"/>
      <c r="Y12" s="110" t="s">
        <v>104</v>
      </c>
      <c r="Z12" s="115">
        <f>AVERAGE(C58,C118)</f>
        <v>5458.75</v>
      </c>
      <c r="AA12" s="115">
        <f>AVERAGE(F58,F118)</f>
        <v>1615.65</v>
      </c>
      <c r="AB12" s="1"/>
      <c r="AC12" s="1"/>
    </row>
    <row r="13">
      <c r="A13" s="1"/>
      <c r="B13" s="112">
        <f>IFERROR(__xludf.DUMMYFUNCTION("""COMPUTED_VALUE"""),46149.64583333333)</f>
        <v>46149.64583</v>
      </c>
      <c r="C13" s="1">
        <f>IFERROR(__xludf.DUMMYFUNCTION("""COMPUTED_VALUE"""),5590.5)</f>
        <v>5590.5</v>
      </c>
      <c r="D13" s="1"/>
      <c r="E13" s="112">
        <f>IFERROR(__xludf.DUMMYFUNCTION("""COMPUTED_VALUE"""),46149.64583333333)</f>
        <v>46149.64583</v>
      </c>
      <c r="F13" s="1">
        <f>IFERROR(__xludf.DUMMYFUNCTION("""COMPUTED_VALUE"""),1478.7)</f>
        <v>1478.7</v>
      </c>
      <c r="G13" s="1"/>
      <c r="H13" s="29">
        <f t="shared" si="4"/>
        <v>3.780685737</v>
      </c>
      <c r="I13" s="1">
        <f t="shared" si="5"/>
        <v>4111.8</v>
      </c>
      <c r="J13" s="113">
        <f t="shared" si="6"/>
        <v>1.249421662</v>
      </c>
      <c r="K13" s="29">
        <f t="shared" si="7"/>
        <v>3.780685737</v>
      </c>
      <c r="L13" s="1"/>
      <c r="M13" s="1"/>
      <c r="N13" s="1"/>
      <c r="O13" s="25"/>
      <c r="P13" s="1"/>
      <c r="Q13" s="1"/>
      <c r="R13" s="1"/>
      <c r="S13" s="9"/>
      <c r="T13" s="117"/>
      <c r="U13" s="118" t="str">
        <f>(X11*U12)/S2</f>
        <v>#REF!</v>
      </c>
      <c r="V13" s="117"/>
      <c r="W13" s="117"/>
      <c r="X13" s="119" t="str">
        <f>X11/(R2/U12)</f>
        <v>#REF!</v>
      </c>
      <c r="Y13" s="110" t="s">
        <v>105</v>
      </c>
      <c r="Z13" s="115">
        <f>AVERAGE(C28,C118)</f>
        <v>5424.25</v>
      </c>
      <c r="AA13" s="115">
        <f>AVERAGE(F28,F118)</f>
        <v>1554.2</v>
      </c>
      <c r="AB13" s="1"/>
      <c r="AC13" s="1"/>
    </row>
    <row r="14">
      <c r="A14" s="1"/>
      <c r="B14" s="112">
        <f>IFERROR(__xludf.DUMMYFUNCTION("""COMPUTED_VALUE"""),46150.64583333333)</f>
        <v>46150.64583</v>
      </c>
      <c r="C14" s="1">
        <f>IFERROR(__xludf.DUMMYFUNCTION("""COMPUTED_VALUE"""),5585.5)</f>
        <v>5585.5</v>
      </c>
      <c r="D14" s="1"/>
      <c r="E14" s="112">
        <f>IFERROR(__xludf.DUMMYFUNCTION("""COMPUTED_VALUE"""),46150.64583333333)</f>
        <v>46150.64583</v>
      </c>
      <c r="F14" s="1">
        <f>IFERROR(__xludf.DUMMYFUNCTION("""COMPUTED_VALUE"""),1487.3)</f>
        <v>1487.3</v>
      </c>
      <c r="G14" s="1"/>
      <c r="H14" s="29">
        <f t="shared" si="4"/>
        <v>3.755462919</v>
      </c>
      <c r="I14" s="1">
        <f t="shared" si="5"/>
        <v>4098.2</v>
      </c>
      <c r="J14" s="113">
        <f t="shared" si="6"/>
        <v>1.182325865</v>
      </c>
      <c r="K14" s="29">
        <f t="shared" si="7"/>
        <v>3.755462919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3"/>
      <c r="Z14" s="1"/>
      <c r="AA14" s="1"/>
      <c r="AB14" s="1"/>
      <c r="AC14" s="1"/>
    </row>
    <row r="15">
      <c r="A15" s="1"/>
      <c r="B15" s="112">
        <f>IFERROR(__xludf.DUMMYFUNCTION("""COMPUTED_VALUE"""),46153.64583333333)</f>
        <v>46153.64583</v>
      </c>
      <c r="C15" s="1">
        <f>IFERROR(__xludf.DUMMYFUNCTION("""COMPUTED_VALUE"""),5599.5)</f>
        <v>5599.5</v>
      </c>
      <c r="D15" s="1"/>
      <c r="E15" s="112">
        <f>IFERROR(__xludf.DUMMYFUNCTION("""COMPUTED_VALUE"""),46153.64583333333)</f>
        <v>46153.64583</v>
      </c>
      <c r="F15" s="1">
        <f>IFERROR(__xludf.DUMMYFUNCTION("""COMPUTED_VALUE"""),1486.6)</f>
        <v>1486.6</v>
      </c>
      <c r="G15" s="1"/>
      <c r="H15" s="29">
        <f t="shared" si="4"/>
        <v>3.766648729</v>
      </c>
      <c r="I15" s="1">
        <f t="shared" si="5"/>
        <v>4112.9</v>
      </c>
      <c r="J15" s="113">
        <f t="shared" si="6"/>
        <v>1.254848527</v>
      </c>
      <c r="K15" s="29">
        <f t="shared" si="7"/>
        <v>3.766648729</v>
      </c>
      <c r="L15" s="1"/>
      <c r="M15" s="1"/>
      <c r="N15" s="1"/>
      <c r="O15" s="1"/>
      <c r="P15" s="1"/>
      <c r="Q15" s="1"/>
      <c r="R15" s="1"/>
      <c r="S15" s="123"/>
      <c r="T15" s="123"/>
      <c r="U15" s="123"/>
      <c r="V15" s="123"/>
      <c r="W15" s="123"/>
      <c r="X15" s="123"/>
      <c r="Y15" s="123"/>
      <c r="Z15" s="1"/>
      <c r="AA15" s="1"/>
      <c r="AB15" s="1"/>
      <c r="AC15" s="1"/>
    </row>
    <row r="16">
      <c r="A16" s="1"/>
      <c r="B16" s="112">
        <f>IFERROR(__xludf.DUMMYFUNCTION("""COMPUTED_VALUE"""),46154.64583333333)</f>
        <v>46154.64583</v>
      </c>
      <c r="C16" s="1">
        <f>IFERROR(__xludf.DUMMYFUNCTION("""COMPUTED_VALUE"""),5496.5)</f>
        <v>5496.5</v>
      </c>
      <c r="D16" s="1"/>
      <c r="E16" s="112">
        <f>IFERROR(__xludf.DUMMYFUNCTION("""COMPUTED_VALUE"""),46154.64583333333)</f>
        <v>46154.64583</v>
      </c>
      <c r="F16" s="1">
        <f>IFERROR(__xludf.DUMMYFUNCTION("""COMPUTED_VALUE"""),1488.2)</f>
        <v>1488.2</v>
      </c>
      <c r="G16" s="1"/>
      <c r="H16" s="29">
        <f t="shared" si="4"/>
        <v>3.693387985</v>
      </c>
      <c r="I16" s="1">
        <f t="shared" si="5"/>
        <v>4008.3</v>
      </c>
      <c r="J16" s="113">
        <f t="shared" si="6"/>
        <v>0.7388029197</v>
      </c>
      <c r="K16" s="29">
        <f t="shared" si="7"/>
        <v>3.693387985</v>
      </c>
      <c r="L16" s="1"/>
      <c r="M16" s="1"/>
      <c r="N16" s="1"/>
      <c r="O16" s="1"/>
      <c r="P16" s="1"/>
      <c r="Q16" s="1"/>
      <c r="R16" s="1"/>
      <c r="S16" s="117"/>
      <c r="T16" s="125"/>
      <c r="U16" s="126"/>
      <c r="V16" s="123"/>
      <c r="W16" s="123"/>
      <c r="X16" s="123"/>
      <c r="Y16" s="123"/>
      <c r="Z16" s="1"/>
      <c r="AA16" s="1"/>
      <c r="AB16" s="1"/>
      <c r="AC16" s="1"/>
    </row>
    <row r="17">
      <c r="A17" s="1"/>
      <c r="B17" s="112">
        <f>IFERROR(__xludf.DUMMYFUNCTION("""COMPUTED_VALUE"""),46155.64583333333)</f>
        <v>46155.64583</v>
      </c>
      <c r="C17" s="1">
        <f>IFERROR(__xludf.DUMMYFUNCTION("""COMPUTED_VALUE"""),5462.5)</f>
        <v>5462.5</v>
      </c>
      <c r="D17" s="1"/>
      <c r="E17" s="112">
        <f>IFERROR(__xludf.DUMMYFUNCTION("""COMPUTED_VALUE"""),46155.64583333333)</f>
        <v>46155.64583</v>
      </c>
      <c r="F17" s="1">
        <f>IFERROR(__xludf.DUMMYFUNCTION("""COMPUTED_VALUE"""),1497.5)</f>
        <v>1497.5</v>
      </c>
      <c r="G17" s="1"/>
      <c r="H17" s="29">
        <f t="shared" si="4"/>
        <v>3.647746244</v>
      </c>
      <c r="I17" s="1">
        <f t="shared" si="5"/>
        <v>3965</v>
      </c>
      <c r="J17" s="113">
        <f t="shared" si="6"/>
        <v>0.5251817455</v>
      </c>
      <c r="K17" s="29">
        <f t="shared" si="7"/>
        <v>3.647746244</v>
      </c>
      <c r="L17" s="1"/>
      <c r="M17" s="1"/>
      <c r="N17" s="1"/>
      <c r="O17" s="1"/>
      <c r="P17" s="1"/>
      <c r="Q17" s="1"/>
      <c r="R17" s="1"/>
      <c r="S17" s="123"/>
      <c r="T17" s="123"/>
      <c r="U17" s="123"/>
      <c r="V17" s="123"/>
      <c r="W17" s="123"/>
      <c r="X17" s="123"/>
      <c r="Y17" s="123"/>
      <c r="Z17" s="1"/>
      <c r="AA17" s="1"/>
      <c r="AB17" s="1"/>
      <c r="AC17" s="1"/>
    </row>
    <row r="18">
      <c r="A18" s="1"/>
      <c r="B18" s="112">
        <f>IFERROR(__xludf.DUMMYFUNCTION("""COMPUTED_VALUE"""),46156.64583333333)</f>
        <v>46156.64583</v>
      </c>
      <c r="C18" s="1">
        <f>IFERROR(__xludf.DUMMYFUNCTION("""COMPUTED_VALUE"""),5576.5)</f>
        <v>5576.5</v>
      </c>
      <c r="D18" s="1"/>
      <c r="E18" s="112">
        <f>IFERROR(__xludf.DUMMYFUNCTION("""COMPUTED_VALUE"""),46156.64583333333)</f>
        <v>46156.64583</v>
      </c>
      <c r="F18" s="1">
        <f>IFERROR(__xludf.DUMMYFUNCTION("""COMPUTED_VALUE"""),1510.9)</f>
        <v>1510.9</v>
      </c>
      <c r="G18" s="1"/>
      <c r="H18" s="29">
        <f t="shared" si="4"/>
        <v>3.690846515</v>
      </c>
      <c r="I18" s="1">
        <f t="shared" si="5"/>
        <v>4065.6</v>
      </c>
      <c r="J18" s="113">
        <f t="shared" si="6"/>
        <v>1.021493296</v>
      </c>
      <c r="K18" s="29">
        <f t="shared" si="7"/>
        <v>3.690846515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IFERROR(__xludf.DUMMYFUNCTION("""COMPUTED_VALUE"""),46157.64583333333)</f>
        <v>46157.64583</v>
      </c>
      <c r="C19" s="1">
        <f>IFERROR(__xludf.DUMMYFUNCTION("""COMPUTED_VALUE"""),5486.0)</f>
        <v>5486</v>
      </c>
      <c r="D19" s="1"/>
      <c r="E19" s="112">
        <f>IFERROR(__xludf.DUMMYFUNCTION("""COMPUTED_VALUE"""),46157.64583333333)</f>
        <v>46157.64583</v>
      </c>
      <c r="F19" s="1">
        <f>IFERROR(__xludf.DUMMYFUNCTION("""COMPUTED_VALUE"""),1511.8)</f>
        <v>1511.8</v>
      </c>
      <c r="G19" s="1"/>
      <c r="H19" s="29">
        <f t="shared" si="4"/>
        <v>3.628786877</v>
      </c>
      <c r="I19" s="1">
        <f t="shared" si="5"/>
        <v>3974.2</v>
      </c>
      <c r="J19" s="113">
        <f t="shared" si="6"/>
        <v>0.5705700781</v>
      </c>
      <c r="K19" s="29">
        <f t="shared" si="7"/>
        <v>3.628786877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IFERROR(__xludf.DUMMYFUNCTION("""COMPUTED_VALUE"""),46160.64583333333)</f>
        <v>46160.64583</v>
      </c>
      <c r="C20" s="1">
        <f>IFERROR(__xludf.DUMMYFUNCTION("""COMPUTED_VALUE"""),5468.0)</f>
        <v>5468</v>
      </c>
      <c r="D20" s="1"/>
      <c r="E20" s="112">
        <f>IFERROR(__xludf.DUMMYFUNCTION("""COMPUTED_VALUE"""),46160.64583333333)</f>
        <v>46160.64583</v>
      </c>
      <c r="F20" s="1">
        <f>IFERROR(__xludf.DUMMYFUNCTION("""COMPUTED_VALUE"""),1500.5)</f>
        <v>1500.5</v>
      </c>
      <c r="G20" s="1"/>
      <c r="H20" s="29">
        <f t="shared" si="4"/>
        <v>3.644118627</v>
      </c>
      <c r="I20" s="1">
        <f t="shared" si="5"/>
        <v>3967.5</v>
      </c>
      <c r="J20" s="113">
        <f t="shared" si="6"/>
        <v>0.5375155316</v>
      </c>
      <c r="K20" s="29">
        <f t="shared" si="7"/>
        <v>3.644118627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IFERROR(__xludf.DUMMYFUNCTION("""COMPUTED_VALUE"""),46161.64583333333)</f>
        <v>46161.64583</v>
      </c>
      <c r="C21" s="1">
        <f>IFERROR(__xludf.DUMMYFUNCTION("""COMPUTED_VALUE"""),5470.0)</f>
        <v>5470</v>
      </c>
      <c r="D21" s="1"/>
      <c r="E21" s="112">
        <f>IFERROR(__xludf.DUMMYFUNCTION("""COMPUTED_VALUE"""),46161.64583333333)</f>
        <v>46161.64583</v>
      </c>
      <c r="F21" s="1">
        <f>IFERROR(__xludf.DUMMYFUNCTION("""COMPUTED_VALUE"""),1512.8)</f>
        <v>1512.8</v>
      </c>
      <c r="G21" s="1"/>
      <c r="H21" s="29">
        <f t="shared" si="4"/>
        <v>3.61581174</v>
      </c>
      <c r="I21" s="1">
        <f t="shared" si="5"/>
        <v>3957.2</v>
      </c>
      <c r="J21" s="113">
        <f t="shared" si="6"/>
        <v>0.4867003331</v>
      </c>
      <c r="K21" s="29">
        <f t="shared" si="7"/>
        <v>3.61581174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IFERROR(__xludf.DUMMYFUNCTION("""COMPUTED_VALUE"""),46162.64583333333)</f>
        <v>46162.64583</v>
      </c>
      <c r="C22" s="1">
        <f>IFERROR(__xludf.DUMMYFUNCTION("""COMPUTED_VALUE"""),5436.5)</f>
        <v>5436.5</v>
      </c>
      <c r="D22" s="1"/>
      <c r="E22" s="112">
        <f>IFERROR(__xludf.DUMMYFUNCTION("""COMPUTED_VALUE"""),46162.64583333333)</f>
        <v>46162.64583</v>
      </c>
      <c r="F22" s="1">
        <f>IFERROR(__xludf.DUMMYFUNCTION("""COMPUTED_VALUE"""),1517.5)</f>
        <v>1517.5</v>
      </c>
      <c r="G22" s="1"/>
      <c r="H22" s="29">
        <f t="shared" si="4"/>
        <v>3.582537068</v>
      </c>
      <c r="I22" s="1">
        <f t="shared" si="5"/>
        <v>3919</v>
      </c>
      <c r="J22" s="113">
        <f t="shared" si="6"/>
        <v>0.2982400825</v>
      </c>
      <c r="K22" s="29">
        <f t="shared" si="7"/>
        <v>3.582537068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IFERROR(__xludf.DUMMYFUNCTION("""COMPUTED_VALUE"""),46163.64583333333)</f>
        <v>46163.64583</v>
      </c>
      <c r="C23" s="1">
        <f>IFERROR(__xludf.DUMMYFUNCTION("""COMPUTED_VALUE"""),5501.5)</f>
        <v>5501.5</v>
      </c>
      <c r="D23" s="1"/>
      <c r="E23" s="112">
        <f>IFERROR(__xludf.DUMMYFUNCTION("""COMPUTED_VALUE"""),46163.64583333333)</f>
        <v>46163.64583</v>
      </c>
      <c r="F23" s="1">
        <f>IFERROR(__xludf.DUMMYFUNCTION("""COMPUTED_VALUE"""),1546.7)</f>
        <v>1546.7</v>
      </c>
      <c r="G23" s="1"/>
      <c r="H23" s="29">
        <f t="shared" si="4"/>
        <v>3.556927652</v>
      </c>
      <c r="I23" s="1">
        <f t="shared" si="5"/>
        <v>3954.8</v>
      </c>
      <c r="J23" s="113">
        <f t="shared" si="6"/>
        <v>0.4748598985</v>
      </c>
      <c r="K23" s="29">
        <f t="shared" si="7"/>
        <v>3.556927652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IFERROR(__xludf.DUMMYFUNCTION("""COMPUTED_VALUE"""),46164.64583333333)</f>
        <v>46164.64583</v>
      </c>
      <c r="C24" s="1">
        <f>IFERROR(__xludf.DUMMYFUNCTION("""COMPUTED_VALUE"""),5404.5)</f>
        <v>5404.5</v>
      </c>
      <c r="D24" s="1"/>
      <c r="E24" s="112">
        <f>IFERROR(__xludf.DUMMYFUNCTION("""COMPUTED_VALUE"""),46164.64583333333)</f>
        <v>46164.64583</v>
      </c>
      <c r="F24" s="1">
        <f>IFERROR(__xludf.DUMMYFUNCTION("""COMPUTED_VALUE"""),1463.5)</f>
        <v>1463.5</v>
      </c>
      <c r="G24" s="1"/>
      <c r="H24" s="29">
        <f t="shared" si="4"/>
        <v>3.692859583</v>
      </c>
      <c r="I24" s="1">
        <f t="shared" si="5"/>
        <v>3941</v>
      </c>
      <c r="J24" s="113">
        <f t="shared" si="6"/>
        <v>0.4067773996</v>
      </c>
      <c r="K24" s="29">
        <f t="shared" si="7"/>
        <v>3.692859583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IFERROR(__xludf.DUMMYFUNCTION("""COMPUTED_VALUE"""),46167.64583333333)</f>
        <v>46167.64583</v>
      </c>
      <c r="C25" s="1">
        <f>IFERROR(__xludf.DUMMYFUNCTION("""COMPUTED_VALUE"""),5400.5)</f>
        <v>5400.5</v>
      </c>
      <c r="D25" s="1"/>
      <c r="E25" s="112">
        <f>IFERROR(__xludf.DUMMYFUNCTION("""COMPUTED_VALUE"""),46167.64583333333)</f>
        <v>46167.64583</v>
      </c>
      <c r="F25" s="1">
        <f>IFERROR(__xludf.DUMMYFUNCTION("""COMPUTED_VALUE"""),1454.6)</f>
        <v>1454.6</v>
      </c>
      <c r="G25" s="1"/>
      <c r="H25" s="29">
        <f t="shared" si="4"/>
        <v>3.712704524</v>
      </c>
      <c r="I25" s="1">
        <f t="shared" si="5"/>
        <v>3945.9</v>
      </c>
      <c r="J25" s="113">
        <f t="shared" si="6"/>
        <v>0.4309516202</v>
      </c>
      <c r="K25" s="29">
        <f t="shared" si="7"/>
        <v>3.712704524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IFERROR(__xludf.DUMMYFUNCTION("""COMPUTED_VALUE"""),46168.64583333333)</f>
        <v>46168.64583</v>
      </c>
      <c r="C26" s="1">
        <f>IFERROR(__xludf.DUMMYFUNCTION("""COMPUTED_VALUE"""),5380.0)</f>
        <v>5380</v>
      </c>
      <c r="D26" s="1"/>
      <c r="E26" s="112">
        <f>IFERROR(__xludf.DUMMYFUNCTION("""COMPUTED_VALUE"""),46168.64583333333)</f>
        <v>46168.64583</v>
      </c>
      <c r="F26" s="1">
        <f>IFERROR(__xludf.DUMMYFUNCTION("""COMPUTED_VALUE"""),1461.2)</f>
        <v>1461.2</v>
      </c>
      <c r="G26" s="1"/>
      <c r="H26" s="29">
        <f t="shared" si="4"/>
        <v>3.681905283</v>
      </c>
      <c r="I26" s="1">
        <f t="shared" si="5"/>
        <v>3918.8</v>
      </c>
      <c r="J26" s="113">
        <f t="shared" si="6"/>
        <v>0.2972533796</v>
      </c>
      <c r="K26" s="29">
        <f t="shared" si="7"/>
        <v>3.681905283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IFERROR(__xludf.DUMMYFUNCTION("""COMPUTED_VALUE"""),46169.64583333333)</f>
        <v>46169.64583</v>
      </c>
      <c r="C27" s="1">
        <f>IFERROR(__xludf.DUMMYFUNCTION("""COMPUTED_VALUE"""),5451.5)</f>
        <v>5451.5</v>
      </c>
      <c r="D27" s="1"/>
      <c r="E27" s="112">
        <f>IFERROR(__xludf.DUMMYFUNCTION("""COMPUTED_VALUE"""),46169.64583333333)</f>
        <v>46169.64583</v>
      </c>
      <c r="F27" s="1">
        <f>IFERROR(__xludf.DUMMYFUNCTION("""COMPUTED_VALUE"""),1435.9)</f>
        <v>1435.9</v>
      </c>
      <c r="G27" s="1"/>
      <c r="H27" s="29">
        <f t="shared" si="4"/>
        <v>3.796573578</v>
      </c>
      <c r="I27" s="1">
        <f t="shared" si="5"/>
        <v>4015.6</v>
      </c>
      <c r="J27" s="113">
        <f t="shared" si="6"/>
        <v>0.7748175749</v>
      </c>
      <c r="K27" s="29">
        <f t="shared" si="7"/>
        <v>3.796573578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3.145066904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IFERROR(__xludf.DUMMYFUNCTION("""COMPUTED_VALUE"""),46171.64583333333)</f>
        <v>46171.64583</v>
      </c>
      <c r="C28" s="1">
        <f>IFERROR(__xludf.DUMMYFUNCTION("""COMPUTED_VALUE"""),5498.0)</f>
        <v>5498</v>
      </c>
      <c r="D28" s="1"/>
      <c r="E28" s="112">
        <f>IFERROR(__xludf.DUMMYFUNCTION("""COMPUTED_VALUE"""),46171.64583333333)</f>
        <v>46171.64583</v>
      </c>
      <c r="F28" s="1">
        <f>IFERROR(__xludf.DUMMYFUNCTION("""COMPUTED_VALUE"""),1426.4)</f>
        <v>1426.4</v>
      </c>
      <c r="G28" s="1"/>
      <c r="H28" s="29">
        <f t="shared" si="4"/>
        <v>3.854458777</v>
      </c>
      <c r="I28" s="1">
        <f t="shared" si="5"/>
        <v>4071.6</v>
      </c>
      <c r="J28" s="113">
        <f t="shared" si="6"/>
        <v>1.051094382</v>
      </c>
      <c r="K28" s="29">
        <f t="shared" si="7"/>
        <v>3.854458777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3.327114428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IFERROR(__xludf.DUMMYFUNCTION("""COMPUTED_VALUE"""),46174.64583333333)</f>
        <v>46174.64583</v>
      </c>
      <c r="C29" s="1">
        <f>IFERROR(__xludf.DUMMYFUNCTION("""COMPUTED_VALUE"""),5314.5)</f>
        <v>5314.5</v>
      </c>
      <c r="D29" s="1"/>
      <c r="E29" s="112">
        <f>IFERROR(__xludf.DUMMYFUNCTION("""COMPUTED_VALUE"""),46174.64583333333)</f>
        <v>46174.64583</v>
      </c>
      <c r="F29" s="1">
        <f>IFERROR(__xludf.DUMMYFUNCTION("""COMPUTED_VALUE"""),1433.7)</f>
        <v>1433.7</v>
      </c>
      <c r="G29" s="1"/>
      <c r="H29" s="29">
        <f t="shared" si="4"/>
        <v>3.706842436</v>
      </c>
      <c r="I29" s="1">
        <f t="shared" si="5"/>
        <v>3880.8</v>
      </c>
      <c r="J29" s="113">
        <f t="shared" si="6"/>
        <v>0.1097798319</v>
      </c>
      <c r="K29" s="29">
        <f t="shared" si="7"/>
        <v>3.706842436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IFERROR(__xludf.DUMMYFUNCTION("""COMPUTED_VALUE"""),46175.64583333333)</f>
        <v>46175.64583</v>
      </c>
      <c r="C30" s="1">
        <f>IFERROR(__xludf.DUMMYFUNCTION("""COMPUTED_VALUE"""),5239.0)</f>
        <v>5239</v>
      </c>
      <c r="D30" s="1"/>
      <c r="E30" s="112">
        <f>IFERROR(__xludf.DUMMYFUNCTION("""COMPUTED_VALUE"""),46175.64583333333)</f>
        <v>46175.64583</v>
      </c>
      <c r="F30" s="1">
        <f>IFERROR(__xludf.DUMMYFUNCTION("""COMPUTED_VALUE"""),1429.2)</f>
        <v>1429.2</v>
      </c>
      <c r="G30" s="1"/>
      <c r="H30" s="29">
        <f t="shared" si="4"/>
        <v>3.665687098</v>
      </c>
      <c r="I30" s="1">
        <f t="shared" si="5"/>
        <v>3809.8</v>
      </c>
      <c r="J30" s="113">
        <f t="shared" si="6"/>
        <v>-0.2404996916</v>
      </c>
      <c r="K30" s="29">
        <f t="shared" si="7"/>
        <v>3.665687098</v>
      </c>
      <c r="L30" s="1">
        <f t="shared" ref="L30:L119" si="8">AVERAGE(C11:C30)</f>
        <v>5466.05</v>
      </c>
      <c r="M30" s="25">
        <f t="shared" ref="M30:M119" si="9">(C30-L30)/C30</f>
        <v>-0.04333842336</v>
      </c>
      <c r="N30" s="65">
        <f t="shared" ref="N30:N118" si="10">AVERAGE(F11:F30)</f>
        <v>1477.755</v>
      </c>
      <c r="O30" s="25">
        <f t="shared" ref="O30:O118" si="11">(F30-N30)/F30</f>
        <v>-0.03397355164</v>
      </c>
      <c r="P30" s="25">
        <f t="shared" ref="P30:P118" si="12">M30-O30</f>
        <v>-0.009364871726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IFERROR(__xludf.DUMMYFUNCTION("""COMPUTED_VALUE"""),46176.64583333333)</f>
        <v>46176.64583</v>
      </c>
      <c r="C31" s="1">
        <f>IFERROR(__xludf.DUMMYFUNCTION("""COMPUTED_VALUE"""),5274.0)</f>
        <v>5274</v>
      </c>
      <c r="D31" s="1"/>
      <c r="E31" s="112">
        <f>IFERROR(__xludf.DUMMYFUNCTION("""COMPUTED_VALUE"""),46176.64583333333)</f>
        <v>46176.64583</v>
      </c>
      <c r="F31" s="1">
        <f>IFERROR(__xludf.DUMMYFUNCTION("""COMPUTED_VALUE"""),1440.4)</f>
        <v>1440.4</v>
      </c>
      <c r="G31" s="1"/>
      <c r="H31" s="29">
        <f t="shared" si="4"/>
        <v>3.661482921</v>
      </c>
      <c r="I31" s="1">
        <f t="shared" si="5"/>
        <v>3833.6</v>
      </c>
      <c r="J31" s="113">
        <f t="shared" si="6"/>
        <v>-0.1230820485</v>
      </c>
      <c r="K31" s="29">
        <f t="shared" si="7"/>
        <v>3.661482921</v>
      </c>
      <c r="L31" s="65">
        <f t="shared" si="8"/>
        <v>5459.6</v>
      </c>
      <c r="M31" s="25">
        <f t="shared" si="9"/>
        <v>-0.0351915055</v>
      </c>
      <c r="N31" s="65">
        <f t="shared" si="10"/>
        <v>1478.37</v>
      </c>
      <c r="O31" s="25">
        <f t="shared" si="11"/>
        <v>-0.02636073313</v>
      </c>
      <c r="P31" s="25">
        <f t="shared" si="12"/>
        <v>-0.008830772369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IFERROR(__xludf.DUMMYFUNCTION("""COMPUTED_VALUE"""),46177.64583333333)</f>
        <v>46177.64583</v>
      </c>
      <c r="C32" s="1">
        <f>IFERROR(__xludf.DUMMYFUNCTION("""COMPUTED_VALUE"""),5276.5)</f>
        <v>5276.5</v>
      </c>
      <c r="D32" s="1"/>
      <c r="E32" s="112">
        <f>IFERROR(__xludf.DUMMYFUNCTION("""COMPUTED_VALUE"""),46177.64583333333)</f>
        <v>46177.64583</v>
      </c>
      <c r="F32" s="1">
        <f>IFERROR(__xludf.DUMMYFUNCTION("""COMPUTED_VALUE"""),1463.6)</f>
        <v>1463.6</v>
      </c>
      <c r="G32" s="1"/>
      <c r="H32" s="29">
        <f t="shared" si="4"/>
        <v>3.605151681</v>
      </c>
      <c r="I32" s="1">
        <f t="shared" si="5"/>
        <v>3812.9</v>
      </c>
      <c r="J32" s="113">
        <f t="shared" si="6"/>
        <v>-0.2252057969</v>
      </c>
      <c r="K32" s="29">
        <f t="shared" si="7"/>
        <v>3.605151681</v>
      </c>
      <c r="L32" s="65">
        <f t="shared" si="8"/>
        <v>5445.575</v>
      </c>
      <c r="M32" s="25">
        <f t="shared" si="9"/>
        <v>-0.03204302094</v>
      </c>
      <c r="N32" s="65">
        <f t="shared" si="10"/>
        <v>1477.35</v>
      </c>
      <c r="O32" s="25">
        <f t="shared" si="11"/>
        <v>-0.009394643345</v>
      </c>
      <c r="P32" s="25">
        <f t="shared" si="12"/>
        <v>-0.0226483776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IFERROR(__xludf.DUMMYFUNCTION("""COMPUTED_VALUE"""),46178.64583333333)</f>
        <v>46178.64583</v>
      </c>
      <c r="C33" s="1">
        <f>IFERROR(__xludf.DUMMYFUNCTION("""COMPUTED_VALUE"""),5251.5)</f>
        <v>5251.5</v>
      </c>
      <c r="D33" s="1"/>
      <c r="E33" s="112">
        <f>IFERROR(__xludf.DUMMYFUNCTION("""COMPUTED_VALUE"""),46178.64583333333)</f>
        <v>46178.64583</v>
      </c>
      <c r="F33" s="1">
        <f>IFERROR(__xludf.DUMMYFUNCTION("""COMPUTED_VALUE"""),1462.3)</f>
        <v>1462.3</v>
      </c>
      <c r="G33" s="1"/>
      <c r="H33" s="29">
        <f t="shared" si="4"/>
        <v>3.591260343</v>
      </c>
      <c r="I33" s="1">
        <f t="shared" si="5"/>
        <v>3789.2</v>
      </c>
      <c r="J33" s="113">
        <f t="shared" si="6"/>
        <v>-0.3421300885</v>
      </c>
      <c r="K33" s="29">
        <f t="shared" si="7"/>
        <v>3.591260343</v>
      </c>
      <c r="L33" s="65">
        <f t="shared" si="8"/>
        <v>5428.625</v>
      </c>
      <c r="M33" s="25">
        <f t="shared" si="9"/>
        <v>-0.03372845854</v>
      </c>
      <c r="N33" s="65">
        <f t="shared" si="10"/>
        <v>1476.53</v>
      </c>
      <c r="O33" s="25">
        <f t="shared" si="11"/>
        <v>-0.009731245299</v>
      </c>
      <c r="P33" s="25">
        <f t="shared" si="12"/>
        <v>-0.02399721324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IFERROR(__xludf.DUMMYFUNCTION("""COMPUTED_VALUE"""),46181.64583333333)</f>
        <v>46181.64583</v>
      </c>
      <c r="C34" s="1">
        <f>IFERROR(__xludf.DUMMYFUNCTION("""COMPUTED_VALUE"""),5356.5)</f>
        <v>5356.5</v>
      </c>
      <c r="D34" s="1"/>
      <c r="E34" s="112">
        <f>IFERROR(__xludf.DUMMYFUNCTION("""COMPUTED_VALUE"""),46181.64583333333)</f>
        <v>46181.64583</v>
      </c>
      <c r="F34" s="1">
        <f>IFERROR(__xludf.DUMMYFUNCTION("""COMPUTED_VALUE"""),1451.8)</f>
        <v>1451.8</v>
      </c>
      <c r="G34" s="1"/>
      <c r="H34" s="29">
        <f t="shared" si="4"/>
        <v>3.68955779</v>
      </c>
      <c r="I34" s="1">
        <f t="shared" si="5"/>
        <v>3904.7</v>
      </c>
      <c r="J34" s="113">
        <f t="shared" si="6"/>
        <v>0.2276908264</v>
      </c>
      <c r="K34" s="29">
        <f t="shared" si="7"/>
        <v>3.68955779</v>
      </c>
      <c r="L34" s="65">
        <f t="shared" si="8"/>
        <v>5417.175</v>
      </c>
      <c r="M34" s="25">
        <f t="shared" si="9"/>
        <v>-0.01132735928</v>
      </c>
      <c r="N34" s="65">
        <f t="shared" si="10"/>
        <v>1474.755</v>
      </c>
      <c r="O34" s="25">
        <f t="shared" si="11"/>
        <v>-0.01581140653</v>
      </c>
      <c r="P34" s="25">
        <f t="shared" si="12"/>
        <v>0.004484047247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IFERROR(__xludf.DUMMYFUNCTION("""COMPUTED_VALUE"""),46182.64583333333)</f>
        <v>46182.64583</v>
      </c>
      <c r="C35" s="1">
        <f>IFERROR(__xludf.DUMMYFUNCTION("""COMPUTED_VALUE"""),5355.5)</f>
        <v>5355.5</v>
      </c>
      <c r="D35" s="1"/>
      <c r="E35" s="112">
        <f>IFERROR(__xludf.DUMMYFUNCTION("""COMPUTED_VALUE"""),46182.64583333333)</f>
        <v>46182.64583</v>
      </c>
      <c r="F35" s="1">
        <f>IFERROR(__xludf.DUMMYFUNCTION("""COMPUTED_VALUE"""),1449.0)</f>
        <v>1449</v>
      </c>
      <c r="G35" s="1"/>
      <c r="H35" s="29">
        <f t="shared" si="4"/>
        <v>3.695997239</v>
      </c>
      <c r="I35" s="1">
        <f t="shared" si="5"/>
        <v>3906.5</v>
      </c>
      <c r="J35" s="113">
        <f t="shared" si="6"/>
        <v>0.2365711523</v>
      </c>
      <c r="K35" s="29">
        <f t="shared" si="7"/>
        <v>3.695997239</v>
      </c>
      <c r="L35" s="65">
        <f t="shared" si="8"/>
        <v>5404.975</v>
      </c>
      <c r="M35" s="25">
        <f t="shared" si="9"/>
        <v>-0.009238166371</v>
      </c>
      <c r="N35" s="65">
        <f t="shared" si="10"/>
        <v>1472.875</v>
      </c>
      <c r="O35" s="25">
        <f t="shared" si="11"/>
        <v>-0.01647688061</v>
      </c>
      <c r="P35" s="25">
        <f t="shared" si="12"/>
        <v>0.007238714236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IFERROR(__xludf.DUMMYFUNCTION("""COMPUTED_VALUE"""),46183.64583333333)</f>
        <v>46183.64583</v>
      </c>
      <c r="C36" s="1">
        <f>IFERROR(__xludf.DUMMYFUNCTION("""COMPUTED_VALUE"""),5299.5)</f>
        <v>5299.5</v>
      </c>
      <c r="D36" s="1"/>
      <c r="E36" s="112">
        <f>IFERROR(__xludf.DUMMYFUNCTION("""COMPUTED_VALUE"""),46183.64583333333)</f>
        <v>46183.64583</v>
      </c>
      <c r="F36" s="1">
        <f>IFERROR(__xludf.DUMMYFUNCTION("""COMPUTED_VALUE"""),1453.6)</f>
        <v>1453.6</v>
      </c>
      <c r="G36" s="1"/>
      <c r="H36" s="29">
        <f t="shared" si="4"/>
        <v>3.645776004</v>
      </c>
      <c r="I36" s="1">
        <f t="shared" si="5"/>
        <v>3845.9</v>
      </c>
      <c r="J36" s="113">
        <f t="shared" si="6"/>
        <v>-0.0623998212</v>
      </c>
      <c r="K36" s="29">
        <f t="shared" si="7"/>
        <v>3.645776004</v>
      </c>
      <c r="L36" s="65">
        <f t="shared" si="8"/>
        <v>5395.125</v>
      </c>
      <c r="M36" s="25">
        <f t="shared" si="9"/>
        <v>-0.01804415511</v>
      </c>
      <c r="N36" s="65">
        <f t="shared" si="10"/>
        <v>1471.145</v>
      </c>
      <c r="O36" s="25">
        <f t="shared" si="11"/>
        <v>-0.01207003302</v>
      </c>
      <c r="P36" s="25">
        <f t="shared" si="12"/>
        <v>-0.005974122088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IFERROR(__xludf.DUMMYFUNCTION("""COMPUTED_VALUE"""),46184.64583333333)</f>
        <v>46184.64583</v>
      </c>
      <c r="C37" s="1">
        <f>IFERROR(__xludf.DUMMYFUNCTION("""COMPUTED_VALUE"""),5301.5)</f>
        <v>5301.5</v>
      </c>
      <c r="D37" s="1"/>
      <c r="E37" s="112">
        <f>IFERROR(__xludf.DUMMYFUNCTION("""COMPUTED_VALUE"""),46184.64583333333)</f>
        <v>46184.64583</v>
      </c>
      <c r="F37" s="1">
        <f>IFERROR(__xludf.DUMMYFUNCTION("""COMPUTED_VALUE"""),1464.1)</f>
        <v>1464.1</v>
      </c>
      <c r="G37" s="1"/>
      <c r="H37" s="29">
        <f t="shared" si="4"/>
        <v>3.620995834</v>
      </c>
      <c r="I37" s="1">
        <f t="shared" si="5"/>
        <v>3837.4</v>
      </c>
      <c r="J37" s="113">
        <f t="shared" si="6"/>
        <v>-0.1043346937</v>
      </c>
      <c r="K37" s="29">
        <f t="shared" si="7"/>
        <v>3.620995834</v>
      </c>
      <c r="L37" s="65">
        <f t="shared" si="8"/>
        <v>5387.075</v>
      </c>
      <c r="M37" s="25">
        <f t="shared" si="9"/>
        <v>-0.01614165802</v>
      </c>
      <c r="N37" s="65">
        <f t="shared" si="10"/>
        <v>1469.475</v>
      </c>
      <c r="O37" s="25">
        <f t="shared" si="11"/>
        <v>-0.003671197323</v>
      </c>
      <c r="P37" s="25">
        <f t="shared" si="12"/>
        <v>-0.0124704607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IFERROR(__xludf.DUMMYFUNCTION("""COMPUTED_VALUE"""),46185.64583333333)</f>
        <v>46185.64583</v>
      </c>
      <c r="C38" s="1">
        <f>IFERROR(__xludf.DUMMYFUNCTION("""COMPUTED_VALUE"""),5298.0)</f>
        <v>5298</v>
      </c>
      <c r="D38" s="1"/>
      <c r="E38" s="112">
        <f>IFERROR(__xludf.DUMMYFUNCTION("""COMPUTED_VALUE"""),46185.64583333333)</f>
        <v>46185.64583</v>
      </c>
      <c r="F38" s="1">
        <f>IFERROR(__xludf.DUMMYFUNCTION("""COMPUTED_VALUE"""),1472.8)</f>
        <v>1472.8</v>
      </c>
      <c r="G38" s="1"/>
      <c r="H38" s="29">
        <f t="shared" si="4"/>
        <v>3.597229766</v>
      </c>
      <c r="I38" s="1">
        <f t="shared" si="5"/>
        <v>3825.2</v>
      </c>
      <c r="J38" s="113">
        <f t="shared" si="6"/>
        <v>-0.1645235696</v>
      </c>
      <c r="K38" s="29">
        <f t="shared" si="7"/>
        <v>3.597229766</v>
      </c>
      <c r="L38" s="65">
        <f t="shared" si="8"/>
        <v>5373.15</v>
      </c>
      <c r="M38" s="25">
        <f t="shared" si="9"/>
        <v>-0.01418459796</v>
      </c>
      <c r="N38" s="65">
        <f t="shared" si="10"/>
        <v>1467.57</v>
      </c>
      <c r="O38" s="25">
        <f t="shared" si="11"/>
        <v>0.003551059207</v>
      </c>
      <c r="P38" s="25">
        <f t="shared" si="12"/>
        <v>-0.01773565717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IFERROR(__xludf.DUMMYFUNCTION("""COMPUTED_VALUE"""),46188.64583333333)</f>
        <v>46188.64583</v>
      </c>
      <c r="C39" s="1">
        <f>IFERROR(__xludf.DUMMYFUNCTION("""COMPUTED_VALUE"""),5334.0)</f>
        <v>5334</v>
      </c>
      <c r="D39" s="1"/>
      <c r="E39" s="112">
        <f>IFERROR(__xludf.DUMMYFUNCTION("""COMPUTED_VALUE"""),46188.64583333333)</f>
        <v>46188.64583</v>
      </c>
      <c r="F39" s="1">
        <f>IFERROR(__xludf.DUMMYFUNCTION("""COMPUTED_VALUE"""),1408.3)</f>
        <v>1408.3</v>
      </c>
      <c r="G39" s="1"/>
      <c r="H39" s="29">
        <f t="shared" si="4"/>
        <v>3.787545267</v>
      </c>
      <c r="I39" s="1">
        <f t="shared" si="5"/>
        <v>3925.7</v>
      </c>
      <c r="J39" s="113">
        <f t="shared" si="6"/>
        <v>0.3312946291</v>
      </c>
      <c r="K39" s="29">
        <f t="shared" si="7"/>
        <v>3.787545267</v>
      </c>
      <c r="L39" s="65">
        <f t="shared" si="8"/>
        <v>5365.55</v>
      </c>
      <c r="M39" s="25">
        <f t="shared" si="9"/>
        <v>-0.005914885639</v>
      </c>
      <c r="N39" s="65">
        <f t="shared" si="10"/>
        <v>1462.395</v>
      </c>
      <c r="O39" s="25">
        <f t="shared" si="11"/>
        <v>-0.03841156004</v>
      </c>
      <c r="P39" s="25">
        <f t="shared" si="12"/>
        <v>0.0324966744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IFERROR(__xludf.DUMMYFUNCTION("""COMPUTED_VALUE"""),46189.64583333333)</f>
        <v>46189.64583</v>
      </c>
      <c r="C40" s="1">
        <f>IFERROR(__xludf.DUMMYFUNCTION("""COMPUTED_VALUE"""),5348.0)</f>
        <v>5348</v>
      </c>
      <c r="D40" s="1"/>
      <c r="E40" s="112">
        <f>IFERROR(__xludf.DUMMYFUNCTION("""COMPUTED_VALUE"""),46189.64583333333)</f>
        <v>46189.64583</v>
      </c>
      <c r="F40" s="1">
        <f>IFERROR(__xludf.DUMMYFUNCTION("""COMPUTED_VALUE"""),1396.7)</f>
        <v>1396.7</v>
      </c>
      <c r="G40" s="1"/>
      <c r="H40" s="29">
        <f t="shared" si="4"/>
        <v>3.82902556</v>
      </c>
      <c r="I40" s="1">
        <f t="shared" si="5"/>
        <v>3951.3</v>
      </c>
      <c r="J40" s="113">
        <f t="shared" si="6"/>
        <v>0.4575925981</v>
      </c>
      <c r="K40" s="29">
        <f t="shared" si="7"/>
        <v>3.82902556</v>
      </c>
      <c r="L40" s="65">
        <f t="shared" si="8"/>
        <v>5359.55</v>
      </c>
      <c r="M40" s="25">
        <f t="shared" si="9"/>
        <v>-0.002159685864</v>
      </c>
      <c r="N40" s="65">
        <f t="shared" si="10"/>
        <v>1457.205</v>
      </c>
      <c r="O40" s="25">
        <f t="shared" si="11"/>
        <v>-0.0433199685</v>
      </c>
      <c r="P40" s="25">
        <f t="shared" si="12"/>
        <v>0.04116028263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IFERROR(__xludf.DUMMYFUNCTION("""COMPUTED_VALUE"""),46190.64583333333)</f>
        <v>46190.64583</v>
      </c>
      <c r="C41" s="1">
        <f>IFERROR(__xludf.DUMMYFUNCTION("""COMPUTED_VALUE"""),5347.5)</f>
        <v>5347.5</v>
      </c>
      <c r="D41" s="1"/>
      <c r="E41" s="112">
        <f>IFERROR(__xludf.DUMMYFUNCTION("""COMPUTED_VALUE"""),46190.64583333333)</f>
        <v>46190.64583</v>
      </c>
      <c r="F41" s="1">
        <f>IFERROR(__xludf.DUMMYFUNCTION("""COMPUTED_VALUE"""),1422.4)</f>
        <v>1422.4</v>
      </c>
      <c r="G41" s="1"/>
      <c r="H41" s="29">
        <f t="shared" si="4"/>
        <v>3.759491001</v>
      </c>
      <c r="I41" s="1">
        <f t="shared" si="5"/>
        <v>3925.1</v>
      </c>
      <c r="J41" s="113">
        <f t="shared" si="6"/>
        <v>0.3283345204</v>
      </c>
      <c r="K41" s="29">
        <f t="shared" si="7"/>
        <v>3.759491001</v>
      </c>
      <c r="L41" s="65">
        <f t="shared" si="8"/>
        <v>5353.425</v>
      </c>
      <c r="M41" s="25">
        <f t="shared" si="9"/>
        <v>-0.00110799439</v>
      </c>
      <c r="N41" s="65">
        <f t="shared" si="10"/>
        <v>1452.685</v>
      </c>
      <c r="O41" s="25">
        <f t="shared" si="11"/>
        <v>-0.02129147919</v>
      </c>
      <c r="P41" s="25">
        <f t="shared" si="12"/>
        <v>0.0201834848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IFERROR(__xludf.DUMMYFUNCTION("""COMPUTED_VALUE"""),46191.64583333333)</f>
        <v>46191.64583</v>
      </c>
      <c r="C42" s="1">
        <f>IFERROR(__xludf.DUMMYFUNCTION("""COMPUTED_VALUE"""),5372.0)</f>
        <v>5372</v>
      </c>
      <c r="D42" s="1"/>
      <c r="E42" s="112">
        <f>IFERROR(__xludf.DUMMYFUNCTION("""COMPUTED_VALUE"""),46191.64583333333)</f>
        <v>46191.64583</v>
      </c>
      <c r="F42" s="1">
        <f>IFERROR(__xludf.DUMMYFUNCTION("""COMPUTED_VALUE"""),1443.7)</f>
        <v>1443.7</v>
      </c>
      <c r="G42" s="1"/>
      <c r="H42" s="29">
        <f t="shared" si="4"/>
        <v>3.720994666</v>
      </c>
      <c r="I42" s="1">
        <f t="shared" si="5"/>
        <v>3928.3</v>
      </c>
      <c r="J42" s="113">
        <f t="shared" si="6"/>
        <v>0.3441217665</v>
      </c>
      <c r="K42" s="29">
        <f t="shared" si="7"/>
        <v>3.720994666</v>
      </c>
      <c r="L42" s="65">
        <f t="shared" si="8"/>
        <v>5350.2</v>
      </c>
      <c r="M42" s="25">
        <f t="shared" si="9"/>
        <v>0.004058078928</v>
      </c>
      <c r="N42" s="65">
        <f t="shared" si="10"/>
        <v>1448.995</v>
      </c>
      <c r="O42" s="25">
        <f t="shared" si="11"/>
        <v>-0.003667659486</v>
      </c>
      <c r="P42" s="25">
        <f t="shared" si="12"/>
        <v>0.007725738414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IFERROR(__xludf.DUMMYFUNCTION("""COMPUTED_VALUE"""),46192.64583333333)</f>
        <v>46192.64583</v>
      </c>
      <c r="C43" s="1">
        <f>IFERROR(__xludf.DUMMYFUNCTION("""COMPUTED_VALUE"""),5373.5)</f>
        <v>5373.5</v>
      </c>
      <c r="D43" s="1"/>
      <c r="E43" s="112">
        <f>IFERROR(__xludf.DUMMYFUNCTION("""COMPUTED_VALUE"""),46192.64583333333)</f>
        <v>46192.64583</v>
      </c>
      <c r="F43" s="1">
        <f>IFERROR(__xludf.DUMMYFUNCTION("""COMPUTED_VALUE"""),1497.8)</f>
        <v>1497.8</v>
      </c>
      <c r="G43" s="1"/>
      <c r="H43" s="29">
        <f t="shared" si="4"/>
        <v>3.58759514</v>
      </c>
      <c r="I43" s="1">
        <f t="shared" si="5"/>
        <v>3875.7</v>
      </c>
      <c r="J43" s="113">
        <f t="shared" si="6"/>
        <v>0.08461890834</v>
      </c>
      <c r="K43" s="29">
        <f t="shared" si="7"/>
        <v>3.58759514</v>
      </c>
      <c r="L43" s="65">
        <f t="shared" si="8"/>
        <v>5343.8</v>
      </c>
      <c r="M43" s="25">
        <f t="shared" si="9"/>
        <v>0.005527123849</v>
      </c>
      <c r="N43" s="65">
        <f t="shared" si="10"/>
        <v>1446.55</v>
      </c>
      <c r="O43" s="25">
        <f t="shared" si="11"/>
        <v>0.03421685138</v>
      </c>
      <c r="P43" s="25">
        <f t="shared" si="12"/>
        <v>-0.02868972753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IFERROR(__xludf.DUMMYFUNCTION("""COMPUTED_VALUE"""),46195.64583333333)</f>
        <v>46195.64583</v>
      </c>
      <c r="C44" s="1">
        <f>IFERROR(__xludf.DUMMYFUNCTION("""COMPUTED_VALUE"""),5367.0)</f>
        <v>5367</v>
      </c>
      <c r="D44" s="1"/>
      <c r="E44" s="112">
        <f>IFERROR(__xludf.DUMMYFUNCTION("""COMPUTED_VALUE"""),46195.64583333333)</f>
        <v>46195.64583</v>
      </c>
      <c r="F44" s="1">
        <f>IFERROR(__xludf.DUMMYFUNCTION("""COMPUTED_VALUE"""),1491.9)</f>
        <v>1491.9</v>
      </c>
      <c r="G44" s="1"/>
      <c r="H44" s="29">
        <f t="shared" si="4"/>
        <v>3.597426101</v>
      </c>
      <c r="I44" s="1">
        <f t="shared" si="5"/>
        <v>3875.1</v>
      </c>
      <c r="J44" s="113">
        <f t="shared" si="6"/>
        <v>0.08165879969</v>
      </c>
      <c r="K44" s="29">
        <f t="shared" si="7"/>
        <v>3.597426101</v>
      </c>
      <c r="L44" s="65">
        <f t="shared" si="8"/>
        <v>5341.925</v>
      </c>
      <c r="M44" s="25">
        <f t="shared" si="9"/>
        <v>0.004672070058</v>
      </c>
      <c r="N44" s="65">
        <f t="shared" si="10"/>
        <v>1447.97</v>
      </c>
      <c r="O44" s="25">
        <f t="shared" si="11"/>
        <v>0.0294456733</v>
      </c>
      <c r="P44" s="25">
        <f t="shared" si="12"/>
        <v>-0.02477360324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IFERROR(__xludf.DUMMYFUNCTION("""COMPUTED_VALUE"""),46196.64583333333)</f>
        <v>46196.64583</v>
      </c>
      <c r="C45" s="1">
        <f>IFERROR(__xludf.DUMMYFUNCTION("""COMPUTED_VALUE"""),5415.5)</f>
        <v>5415.5</v>
      </c>
      <c r="D45" s="1"/>
      <c r="E45" s="112">
        <f>IFERROR(__xludf.DUMMYFUNCTION("""COMPUTED_VALUE"""),46196.64583333333)</f>
        <v>46196.64583</v>
      </c>
      <c r="F45" s="1">
        <f>IFERROR(__xludf.DUMMYFUNCTION("""COMPUTED_VALUE"""),1534.2)</f>
        <v>1534.2</v>
      </c>
      <c r="G45" s="1"/>
      <c r="H45" s="29">
        <f t="shared" si="4"/>
        <v>3.529852692</v>
      </c>
      <c r="I45" s="1">
        <f t="shared" si="5"/>
        <v>3881.3</v>
      </c>
      <c r="J45" s="113">
        <f t="shared" si="6"/>
        <v>0.1122465891</v>
      </c>
      <c r="K45" s="29">
        <f t="shared" si="7"/>
        <v>3.529852692</v>
      </c>
      <c r="L45" s="65">
        <f t="shared" si="8"/>
        <v>5342.675</v>
      </c>
      <c r="M45" s="25">
        <f t="shared" si="9"/>
        <v>0.01344751177</v>
      </c>
      <c r="N45" s="65">
        <f t="shared" si="10"/>
        <v>1451.95</v>
      </c>
      <c r="O45" s="25">
        <f t="shared" si="11"/>
        <v>0.05361100248</v>
      </c>
      <c r="P45" s="25">
        <f t="shared" si="12"/>
        <v>-0.04016349071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IFERROR(__xludf.DUMMYFUNCTION("""COMPUTED_VALUE"""),46197.64583333333)</f>
        <v>46197.64583</v>
      </c>
      <c r="C46" s="1">
        <f>IFERROR(__xludf.DUMMYFUNCTION("""COMPUTED_VALUE"""),5428.5)</f>
        <v>5428.5</v>
      </c>
      <c r="D46" s="1"/>
      <c r="E46" s="112">
        <f>IFERROR(__xludf.DUMMYFUNCTION("""COMPUTED_VALUE"""),46197.64583333333)</f>
        <v>46197.64583</v>
      </c>
      <c r="F46" s="1">
        <f>IFERROR(__xludf.DUMMYFUNCTION("""COMPUTED_VALUE"""),1530.6)</f>
        <v>1530.6</v>
      </c>
      <c r="G46" s="1"/>
      <c r="H46" s="29">
        <f t="shared" si="4"/>
        <v>3.546648373</v>
      </c>
      <c r="I46" s="1">
        <f t="shared" si="5"/>
        <v>3897.9</v>
      </c>
      <c r="J46" s="113">
        <f t="shared" si="6"/>
        <v>0.1941429283</v>
      </c>
      <c r="K46" s="29">
        <f t="shared" si="7"/>
        <v>3.546648373</v>
      </c>
      <c r="L46" s="65">
        <f t="shared" si="8"/>
        <v>5345.1</v>
      </c>
      <c r="M46" s="25">
        <f t="shared" si="9"/>
        <v>0.01536336004</v>
      </c>
      <c r="N46" s="65">
        <f t="shared" si="10"/>
        <v>1455.42</v>
      </c>
      <c r="O46" s="25">
        <f t="shared" si="11"/>
        <v>0.04911799294</v>
      </c>
      <c r="P46" s="25">
        <f t="shared" si="12"/>
        <v>-0.0337546329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IFERROR(__xludf.DUMMYFUNCTION("""COMPUTED_VALUE"""),46198.64583333333)</f>
        <v>46198.64583</v>
      </c>
      <c r="C47" s="1">
        <f>IFERROR(__xludf.DUMMYFUNCTION("""COMPUTED_VALUE"""),5425.0)</f>
        <v>5425</v>
      </c>
      <c r="D47" s="1"/>
      <c r="E47" s="112">
        <f>IFERROR(__xludf.DUMMYFUNCTION("""COMPUTED_VALUE"""),46198.64583333333)</f>
        <v>46198.64583</v>
      </c>
      <c r="F47" s="1">
        <f>IFERROR(__xludf.DUMMYFUNCTION("""COMPUTED_VALUE"""),1555.2)</f>
        <v>1555.2</v>
      </c>
      <c r="G47" s="1"/>
      <c r="H47" s="29">
        <f t="shared" si="4"/>
        <v>3.488297325</v>
      </c>
      <c r="I47" s="1">
        <f t="shared" si="5"/>
        <v>3869.8</v>
      </c>
      <c r="J47" s="113">
        <f t="shared" si="6"/>
        <v>0.0555111733</v>
      </c>
      <c r="K47" s="29">
        <f t="shared" si="7"/>
        <v>3.488297325</v>
      </c>
      <c r="L47" s="65">
        <f t="shared" si="8"/>
        <v>5343.775</v>
      </c>
      <c r="M47" s="25">
        <f t="shared" si="9"/>
        <v>0.01497235023</v>
      </c>
      <c r="N47" s="65">
        <f t="shared" si="10"/>
        <v>1461.385</v>
      </c>
      <c r="O47" s="25">
        <f t="shared" si="11"/>
        <v>0.06032343107</v>
      </c>
      <c r="P47" s="25">
        <f t="shared" si="12"/>
        <v>-0.04535108084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IFERROR(__xludf.DUMMYFUNCTION("""COMPUTED_VALUE"""),46202.64583333333)</f>
        <v>46202.64583</v>
      </c>
      <c r="C48" s="1">
        <f>IFERROR(__xludf.DUMMYFUNCTION("""COMPUTED_VALUE"""),5416.5)</f>
        <v>5416.5</v>
      </c>
      <c r="D48" s="1"/>
      <c r="E48" s="112">
        <f>IFERROR(__xludf.DUMMYFUNCTION("""COMPUTED_VALUE"""),46202.64583333333)</f>
        <v>46202.64583</v>
      </c>
      <c r="F48" s="1">
        <f>IFERROR(__xludf.DUMMYFUNCTION("""COMPUTED_VALUE"""),1547.5)</f>
        <v>1547.5</v>
      </c>
      <c r="G48" s="1"/>
      <c r="H48" s="29">
        <f t="shared" si="4"/>
        <v>3.500161551</v>
      </c>
      <c r="I48" s="1">
        <f t="shared" si="5"/>
        <v>3869</v>
      </c>
      <c r="J48" s="113">
        <f t="shared" si="6"/>
        <v>0.05156436177</v>
      </c>
      <c r="K48" s="29">
        <f t="shared" si="7"/>
        <v>3.500161551</v>
      </c>
      <c r="L48" s="65">
        <f t="shared" si="8"/>
        <v>5339.7</v>
      </c>
      <c r="M48" s="25">
        <f t="shared" si="9"/>
        <v>0.01417889781</v>
      </c>
      <c r="N48" s="65">
        <f t="shared" si="10"/>
        <v>1467.44</v>
      </c>
      <c r="O48" s="25">
        <f t="shared" si="11"/>
        <v>0.05173505654</v>
      </c>
      <c r="P48" s="25">
        <f t="shared" si="12"/>
        <v>-0.03755615873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IFERROR(__xludf.DUMMYFUNCTION("""COMPUTED_VALUE"""),46203.64583333333)</f>
        <v>46203.64583</v>
      </c>
      <c r="C49" s="1">
        <f>IFERROR(__xludf.DUMMYFUNCTION("""COMPUTED_VALUE"""),5570.0)</f>
        <v>5570</v>
      </c>
      <c r="D49" s="1"/>
      <c r="E49" s="112">
        <f>IFERROR(__xludf.DUMMYFUNCTION("""COMPUTED_VALUE"""),46203.64583333333)</f>
        <v>46203.64583</v>
      </c>
      <c r="F49" s="1">
        <f>IFERROR(__xludf.DUMMYFUNCTION("""COMPUTED_VALUE"""),1578.7)</f>
        <v>1578.7</v>
      </c>
      <c r="G49" s="1"/>
      <c r="H49" s="29">
        <f t="shared" si="4"/>
        <v>3.528219421</v>
      </c>
      <c r="I49" s="1">
        <f t="shared" si="5"/>
        <v>3991.3</v>
      </c>
      <c r="J49" s="113">
        <f t="shared" si="6"/>
        <v>0.6549331746</v>
      </c>
      <c r="K49" s="29">
        <f t="shared" si="7"/>
        <v>3.528219421</v>
      </c>
      <c r="L49" s="65">
        <f t="shared" si="8"/>
        <v>5352.475</v>
      </c>
      <c r="M49" s="25">
        <f t="shared" si="9"/>
        <v>0.0390529623</v>
      </c>
      <c r="N49" s="65">
        <f t="shared" si="10"/>
        <v>1474.69</v>
      </c>
      <c r="O49" s="25">
        <f t="shared" si="11"/>
        <v>0.06588332172</v>
      </c>
      <c r="P49" s="25">
        <f t="shared" si="12"/>
        <v>-0.02683035942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IFERROR(__xludf.DUMMYFUNCTION("""COMPUTED_VALUE"""),46204.64583333333)</f>
        <v>46204.64583</v>
      </c>
      <c r="C50" s="1">
        <f>IFERROR(__xludf.DUMMYFUNCTION("""COMPUTED_VALUE"""),5567.5)</f>
        <v>5567.5</v>
      </c>
      <c r="D50" s="1"/>
      <c r="E50" s="112">
        <f>IFERROR(__xludf.DUMMYFUNCTION("""COMPUTED_VALUE"""),46204.64583333333)</f>
        <v>46204.64583</v>
      </c>
      <c r="F50" s="1">
        <f>IFERROR(__xludf.DUMMYFUNCTION("""COMPUTED_VALUE"""),1552.6)</f>
        <v>1552.6</v>
      </c>
      <c r="G50" s="1"/>
      <c r="H50" s="29">
        <f t="shared" si="4"/>
        <v>3.585920392</v>
      </c>
      <c r="I50" s="1">
        <f t="shared" si="5"/>
        <v>4014.9</v>
      </c>
      <c r="J50" s="113">
        <f t="shared" si="6"/>
        <v>0.7713641148</v>
      </c>
      <c r="K50" s="29">
        <f t="shared" si="7"/>
        <v>3.585920392</v>
      </c>
      <c r="L50" s="65">
        <f t="shared" si="8"/>
        <v>5368.9</v>
      </c>
      <c r="M50" s="25">
        <f t="shared" si="9"/>
        <v>0.03567130669</v>
      </c>
      <c r="N50" s="65">
        <f t="shared" si="10"/>
        <v>1480.86</v>
      </c>
      <c r="O50" s="25">
        <f t="shared" si="11"/>
        <v>0.04620636352</v>
      </c>
      <c r="P50" s="25">
        <f t="shared" si="12"/>
        <v>-0.01053505683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IFERROR(__xludf.DUMMYFUNCTION("""COMPUTED_VALUE"""),46205.64583333333)</f>
        <v>46205.64583</v>
      </c>
      <c r="C51" s="1">
        <f>IFERROR(__xludf.DUMMYFUNCTION("""COMPUTED_VALUE"""),5500.5)</f>
        <v>5500.5</v>
      </c>
      <c r="D51" s="1"/>
      <c r="E51" s="112">
        <f>IFERROR(__xludf.DUMMYFUNCTION("""COMPUTED_VALUE"""),46205.64583333333)</f>
        <v>46205.64583</v>
      </c>
      <c r="F51" s="1">
        <f>IFERROR(__xludf.DUMMYFUNCTION("""COMPUTED_VALUE"""),1561.0)</f>
        <v>1561</v>
      </c>
      <c r="G51" s="1"/>
      <c r="H51" s="29">
        <f t="shared" si="4"/>
        <v>3.523702755</v>
      </c>
      <c r="I51" s="1">
        <f t="shared" si="5"/>
        <v>3939.5</v>
      </c>
      <c r="J51" s="113">
        <f t="shared" si="6"/>
        <v>0.399377128</v>
      </c>
      <c r="K51" s="29">
        <f t="shared" si="7"/>
        <v>3.523702755</v>
      </c>
      <c r="L51" s="65">
        <f t="shared" si="8"/>
        <v>5380.225</v>
      </c>
      <c r="M51" s="25">
        <f t="shared" si="9"/>
        <v>0.02186619398</v>
      </c>
      <c r="N51" s="65">
        <f t="shared" si="10"/>
        <v>1486.89</v>
      </c>
      <c r="O51" s="25">
        <f t="shared" si="11"/>
        <v>0.04747597694</v>
      </c>
      <c r="P51" s="25">
        <f t="shared" si="12"/>
        <v>-0.02560978296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IFERROR(__xludf.DUMMYFUNCTION("""COMPUTED_VALUE"""),46206.64583333333)</f>
        <v>46206.64583</v>
      </c>
      <c r="C52" s="1">
        <f>IFERROR(__xludf.DUMMYFUNCTION("""COMPUTED_VALUE"""),5562.5)</f>
        <v>5562.5</v>
      </c>
      <c r="D52" s="1"/>
      <c r="E52" s="112">
        <f>IFERROR(__xludf.DUMMYFUNCTION("""COMPUTED_VALUE"""),46206.64583333333)</f>
        <v>46206.64583</v>
      </c>
      <c r="F52" s="1">
        <f>IFERROR(__xludf.DUMMYFUNCTION("""COMPUTED_VALUE"""),1620.5)</f>
        <v>1620.5</v>
      </c>
      <c r="G52" s="1"/>
      <c r="H52" s="29">
        <f t="shared" si="4"/>
        <v>3.432582536</v>
      </c>
      <c r="I52" s="1">
        <f t="shared" si="5"/>
        <v>3942</v>
      </c>
      <c r="J52" s="113">
        <f t="shared" si="6"/>
        <v>0.411710914</v>
      </c>
      <c r="K52" s="29">
        <f t="shared" si="7"/>
        <v>3.432582536</v>
      </c>
      <c r="L52" s="65">
        <f t="shared" si="8"/>
        <v>5394.525</v>
      </c>
      <c r="M52" s="25">
        <f t="shared" si="9"/>
        <v>0.03019775281</v>
      </c>
      <c r="N52" s="65">
        <f t="shared" si="10"/>
        <v>1494.735</v>
      </c>
      <c r="O52" s="25">
        <f t="shared" si="11"/>
        <v>0.07760876273</v>
      </c>
      <c r="P52" s="25">
        <f t="shared" si="12"/>
        <v>-0.04741100992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IFERROR(__xludf.DUMMYFUNCTION("""COMPUTED_VALUE"""),46209.64583333333)</f>
        <v>46209.64583</v>
      </c>
      <c r="C53" s="1">
        <f>IFERROR(__xludf.DUMMYFUNCTION("""COMPUTED_VALUE"""),5598.5)</f>
        <v>5598.5</v>
      </c>
      <c r="D53" s="1"/>
      <c r="E53" s="112">
        <f>IFERROR(__xludf.DUMMYFUNCTION("""COMPUTED_VALUE"""),46209.64583333333)</f>
        <v>46209.64583</v>
      </c>
      <c r="F53" s="1">
        <f>IFERROR(__xludf.DUMMYFUNCTION("""COMPUTED_VALUE"""),1594.6)</f>
        <v>1594.6</v>
      </c>
      <c r="G53" s="1"/>
      <c r="H53" s="29">
        <f t="shared" si="4"/>
        <v>3.510911827</v>
      </c>
      <c r="I53" s="1">
        <f t="shared" si="5"/>
        <v>4003.9</v>
      </c>
      <c r="J53" s="113">
        <f t="shared" si="6"/>
        <v>0.7170954562</v>
      </c>
      <c r="K53" s="29">
        <f t="shared" si="7"/>
        <v>3.510911827</v>
      </c>
      <c r="L53" s="65">
        <f t="shared" si="8"/>
        <v>5411.875</v>
      </c>
      <c r="M53" s="25">
        <f t="shared" si="9"/>
        <v>0.03333482183</v>
      </c>
      <c r="N53" s="65">
        <f t="shared" si="10"/>
        <v>1501.35</v>
      </c>
      <c r="O53" s="25">
        <f t="shared" si="11"/>
        <v>0.05847861533</v>
      </c>
      <c r="P53" s="25">
        <f t="shared" si="12"/>
        <v>-0.0251437935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IFERROR(__xludf.DUMMYFUNCTION("""COMPUTED_VALUE"""),46210.64583333333)</f>
        <v>46210.64583</v>
      </c>
      <c r="C54" s="1">
        <f>IFERROR(__xludf.DUMMYFUNCTION("""COMPUTED_VALUE"""),5667.5)</f>
        <v>5667.5</v>
      </c>
      <c r="D54" s="1"/>
      <c r="E54" s="112">
        <f>IFERROR(__xludf.DUMMYFUNCTION("""COMPUTED_VALUE"""),46210.64583333333)</f>
        <v>46210.64583</v>
      </c>
      <c r="F54" s="1">
        <f>IFERROR(__xludf.DUMMYFUNCTION("""COMPUTED_VALUE"""),1583.1)</f>
        <v>1583.1</v>
      </c>
      <c r="G54" s="1"/>
      <c r="H54" s="29">
        <f t="shared" si="4"/>
        <v>3.580001263</v>
      </c>
      <c r="I54" s="1">
        <f t="shared" si="5"/>
        <v>4084.4</v>
      </c>
      <c r="J54" s="113">
        <f t="shared" si="6"/>
        <v>1.114243367</v>
      </c>
      <c r="K54" s="29">
        <f t="shared" si="7"/>
        <v>3.580001263</v>
      </c>
      <c r="L54" s="65">
        <f t="shared" si="8"/>
        <v>5427.425</v>
      </c>
      <c r="M54" s="25">
        <f t="shared" si="9"/>
        <v>0.04235994707</v>
      </c>
      <c r="N54" s="65">
        <f t="shared" si="10"/>
        <v>1507.915</v>
      </c>
      <c r="O54" s="25">
        <f t="shared" si="11"/>
        <v>0.04749226202</v>
      </c>
      <c r="P54" s="25">
        <f t="shared" si="12"/>
        <v>-0.005132314951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IFERROR(__xludf.DUMMYFUNCTION("""COMPUTED_VALUE"""),46211.64583333333)</f>
        <v>46211.64583</v>
      </c>
      <c r="C55" s="1">
        <f>IFERROR(__xludf.DUMMYFUNCTION("""COMPUTED_VALUE"""),5606.0)</f>
        <v>5606</v>
      </c>
      <c r="D55" s="1"/>
      <c r="E55" s="112">
        <f>IFERROR(__xludf.DUMMYFUNCTION("""COMPUTED_VALUE"""),46211.64583333333)</f>
        <v>46211.64583</v>
      </c>
      <c r="F55" s="1">
        <f>IFERROR(__xludf.DUMMYFUNCTION("""COMPUTED_VALUE"""),1557.4)</f>
        <v>1557.4</v>
      </c>
      <c r="G55" s="1"/>
      <c r="H55" s="29">
        <f t="shared" si="4"/>
        <v>3.599589059</v>
      </c>
      <c r="I55" s="1">
        <f t="shared" si="5"/>
        <v>4048.6</v>
      </c>
      <c r="J55" s="113">
        <f t="shared" si="6"/>
        <v>0.9376235506</v>
      </c>
      <c r="K55" s="29">
        <f t="shared" si="7"/>
        <v>3.599589059</v>
      </c>
      <c r="L55" s="65">
        <f t="shared" si="8"/>
        <v>5439.95</v>
      </c>
      <c r="M55" s="25">
        <f t="shared" si="9"/>
        <v>0.02962004995</v>
      </c>
      <c r="N55" s="65">
        <f t="shared" si="10"/>
        <v>1513.335</v>
      </c>
      <c r="O55" s="25">
        <f t="shared" si="11"/>
        <v>0.02829395146</v>
      </c>
      <c r="P55" s="25">
        <f t="shared" si="12"/>
        <v>0.001326098489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IFERROR(__xludf.DUMMYFUNCTION("""COMPUTED_VALUE"""),46212.64583333333)</f>
        <v>46212.64583</v>
      </c>
      <c r="C56" s="1">
        <f>IFERROR(__xludf.DUMMYFUNCTION("""COMPUTED_VALUE"""),5648.5)</f>
        <v>5648.5</v>
      </c>
      <c r="D56" s="1"/>
      <c r="E56" s="112">
        <f>IFERROR(__xludf.DUMMYFUNCTION("""COMPUTED_VALUE"""),46212.64583333333)</f>
        <v>46212.64583</v>
      </c>
      <c r="F56" s="1">
        <f>IFERROR(__xludf.DUMMYFUNCTION("""COMPUTED_VALUE"""),1587.4)</f>
        <v>1587.4</v>
      </c>
      <c r="G56" s="1"/>
      <c r="H56" s="29">
        <f t="shared" si="4"/>
        <v>3.558334383</v>
      </c>
      <c r="I56" s="1">
        <f t="shared" si="5"/>
        <v>4061.1</v>
      </c>
      <c r="J56" s="113">
        <f t="shared" si="6"/>
        <v>0.9992924807</v>
      </c>
      <c r="K56" s="29">
        <f t="shared" si="7"/>
        <v>3.558334383</v>
      </c>
      <c r="L56" s="65">
        <f t="shared" si="8"/>
        <v>5457.4</v>
      </c>
      <c r="M56" s="25">
        <f t="shared" si="9"/>
        <v>0.03383199079</v>
      </c>
      <c r="N56" s="65">
        <f t="shared" si="10"/>
        <v>1520.025</v>
      </c>
      <c r="O56" s="25">
        <f t="shared" si="11"/>
        <v>0.0424436185</v>
      </c>
      <c r="P56" s="25">
        <f t="shared" si="12"/>
        <v>-0.008611627702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IFERROR(__xludf.DUMMYFUNCTION("""COMPUTED_VALUE"""),46213.64583333333)</f>
        <v>46213.64583</v>
      </c>
      <c r="C57" s="1">
        <f>IFERROR(__xludf.DUMMYFUNCTION("""COMPUTED_VALUE"""),5669.5)</f>
        <v>5669.5</v>
      </c>
      <c r="D57" s="1"/>
      <c r="E57" s="112">
        <f>IFERROR(__xludf.DUMMYFUNCTION("""COMPUTED_VALUE"""),46213.64583333333)</f>
        <v>46213.64583</v>
      </c>
      <c r="F57" s="1">
        <f>IFERROR(__xludf.DUMMYFUNCTION("""COMPUTED_VALUE"""),1564.7)</f>
        <v>1564.7</v>
      </c>
      <c r="G57" s="1"/>
      <c r="H57" s="29">
        <f t="shared" si="4"/>
        <v>3.623378283</v>
      </c>
      <c r="I57" s="1">
        <f t="shared" si="5"/>
        <v>4104.8</v>
      </c>
      <c r="J57" s="113">
        <f t="shared" si="6"/>
        <v>1.214887061</v>
      </c>
      <c r="K57" s="29">
        <f t="shared" si="7"/>
        <v>3.623378283</v>
      </c>
      <c r="L57" s="65">
        <f t="shared" si="8"/>
        <v>5475.8</v>
      </c>
      <c r="M57" s="25">
        <f t="shared" si="9"/>
        <v>0.03416527031</v>
      </c>
      <c r="N57" s="65">
        <f t="shared" si="10"/>
        <v>1525.055</v>
      </c>
      <c r="O57" s="25">
        <f t="shared" si="11"/>
        <v>0.02533712533</v>
      </c>
      <c r="P57" s="25">
        <f t="shared" si="12"/>
        <v>0.008828144978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IFERROR(__xludf.DUMMYFUNCTION("""COMPUTED_VALUE"""),46216.64583333333)</f>
        <v>46216.64583</v>
      </c>
      <c r="C58" s="1">
        <f>IFERROR(__xludf.DUMMYFUNCTION("""COMPUTED_VALUE"""),5567.0)</f>
        <v>5567</v>
      </c>
      <c r="D58" s="1"/>
      <c r="E58" s="112">
        <f>IFERROR(__xludf.DUMMYFUNCTION("""COMPUTED_VALUE"""),46216.64583333333)</f>
        <v>46216.64583</v>
      </c>
      <c r="F58" s="1">
        <f>IFERROR(__xludf.DUMMYFUNCTION("""COMPUTED_VALUE"""),1549.3)</f>
        <v>1549.3</v>
      </c>
      <c r="G58" s="1"/>
      <c r="H58" s="29">
        <f t="shared" si="4"/>
        <v>3.593235655</v>
      </c>
      <c r="I58" s="1">
        <f t="shared" si="5"/>
        <v>4017.7</v>
      </c>
      <c r="J58" s="113">
        <f t="shared" si="6"/>
        <v>0.7851779552</v>
      </c>
      <c r="K58" s="29">
        <f t="shared" si="7"/>
        <v>3.593235655</v>
      </c>
      <c r="L58" s="65">
        <f t="shared" si="8"/>
        <v>5489.25</v>
      </c>
      <c r="M58" s="25">
        <f t="shared" si="9"/>
        <v>0.01396622957</v>
      </c>
      <c r="N58" s="65">
        <f t="shared" si="10"/>
        <v>1528.88</v>
      </c>
      <c r="O58" s="25">
        <f t="shared" si="11"/>
        <v>0.01318014587</v>
      </c>
      <c r="P58" s="25">
        <f t="shared" si="12"/>
        <v>0.0007860836948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IFERROR(__xludf.DUMMYFUNCTION("""COMPUTED_VALUE"""),46217.64583333333)</f>
        <v>46217.64583</v>
      </c>
      <c r="C59" s="1">
        <f>IFERROR(__xludf.DUMMYFUNCTION("""COMPUTED_VALUE"""),5601.5)</f>
        <v>5601.5</v>
      </c>
      <c r="D59" s="1"/>
      <c r="E59" s="112">
        <f>IFERROR(__xludf.DUMMYFUNCTION("""COMPUTED_VALUE"""),46217.64583333333)</f>
        <v>46217.64583</v>
      </c>
      <c r="F59" s="1">
        <f>IFERROR(__xludf.DUMMYFUNCTION("""COMPUTED_VALUE"""),1552.8)</f>
        <v>1552.8</v>
      </c>
      <c r="G59" s="1"/>
      <c r="H59" s="29">
        <f t="shared" si="4"/>
        <v>3.607354456</v>
      </c>
      <c r="I59" s="1">
        <f t="shared" si="5"/>
        <v>4048.7</v>
      </c>
      <c r="J59" s="113">
        <f t="shared" si="6"/>
        <v>0.938116902</v>
      </c>
      <c r="K59" s="29">
        <f t="shared" si="7"/>
        <v>3.607354456</v>
      </c>
      <c r="L59" s="65">
        <f t="shared" si="8"/>
        <v>5502.625</v>
      </c>
      <c r="M59" s="25">
        <f t="shared" si="9"/>
        <v>0.01765152191</v>
      </c>
      <c r="N59" s="65">
        <f t="shared" si="10"/>
        <v>1536.105</v>
      </c>
      <c r="O59" s="25">
        <f t="shared" si="11"/>
        <v>0.0107515456</v>
      </c>
      <c r="P59" s="25">
        <f t="shared" si="12"/>
        <v>0.006899976319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IFERROR(__xludf.DUMMYFUNCTION("""COMPUTED_VALUE"""),46218.64583333333)</f>
        <v>46218.64583</v>
      </c>
      <c r="C60" s="1">
        <f>IFERROR(__xludf.DUMMYFUNCTION("""COMPUTED_VALUE"""),5659.0)</f>
        <v>5659</v>
      </c>
      <c r="D60" s="1"/>
      <c r="E60" s="112">
        <f>IFERROR(__xludf.DUMMYFUNCTION("""COMPUTED_VALUE"""),46218.64583333333)</f>
        <v>46218.64583</v>
      </c>
      <c r="F60" s="1">
        <f>IFERROR(__xludf.DUMMYFUNCTION("""COMPUTED_VALUE"""),1550.2)</f>
        <v>1550.2</v>
      </c>
      <c r="G60" s="1"/>
      <c r="H60" s="29">
        <f t="shared" si="4"/>
        <v>3.65049671</v>
      </c>
      <c r="I60" s="1">
        <f t="shared" si="5"/>
        <v>4108.8</v>
      </c>
      <c r="J60" s="113">
        <f t="shared" si="6"/>
        <v>1.234621118</v>
      </c>
      <c r="K60" s="29">
        <f t="shared" si="7"/>
        <v>3.65049671</v>
      </c>
      <c r="L60" s="65">
        <f t="shared" si="8"/>
        <v>5518.175</v>
      </c>
      <c r="M60" s="25">
        <f t="shared" si="9"/>
        <v>0.02488513872</v>
      </c>
      <c r="N60" s="65">
        <f t="shared" si="10"/>
        <v>1543.78</v>
      </c>
      <c r="O60" s="25">
        <f t="shared" si="11"/>
        <v>0.00414140111</v>
      </c>
      <c r="P60" s="25">
        <f t="shared" si="12"/>
        <v>0.02074373761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IFERROR(__xludf.DUMMYFUNCTION("""COMPUTED_VALUE"""),46219.64583333333)</f>
        <v>46219.64583</v>
      </c>
      <c r="C61" s="1">
        <f>IFERROR(__xludf.DUMMYFUNCTION("""COMPUTED_VALUE"""),5709.0)</f>
        <v>5709</v>
      </c>
      <c r="D61" s="1"/>
      <c r="E61" s="112">
        <f>IFERROR(__xludf.DUMMYFUNCTION("""COMPUTED_VALUE"""),46219.64583333333)</f>
        <v>46219.64583</v>
      </c>
      <c r="F61" s="1">
        <f>IFERROR(__xludf.DUMMYFUNCTION("""COMPUTED_VALUE"""),1548.4)</f>
        <v>1548.4</v>
      </c>
      <c r="G61" s="1"/>
      <c r="H61" s="29">
        <f t="shared" si="4"/>
        <v>3.687031775</v>
      </c>
      <c r="I61" s="1">
        <f t="shared" si="5"/>
        <v>4160.6</v>
      </c>
      <c r="J61" s="113">
        <f t="shared" si="6"/>
        <v>1.490177165</v>
      </c>
      <c r="K61" s="29">
        <f t="shared" si="7"/>
        <v>3.687031775</v>
      </c>
      <c r="L61" s="65">
        <f t="shared" si="8"/>
        <v>5536.25</v>
      </c>
      <c r="M61" s="25">
        <f t="shared" si="9"/>
        <v>0.0302592398</v>
      </c>
      <c r="N61" s="65">
        <f t="shared" si="10"/>
        <v>1550.08</v>
      </c>
      <c r="O61" s="25">
        <f t="shared" si="11"/>
        <v>-0.001084990958</v>
      </c>
      <c r="P61" s="25">
        <f t="shared" si="12"/>
        <v>0.03134423076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IFERROR(__xludf.DUMMYFUNCTION("""COMPUTED_VALUE"""),46220.64583333333)</f>
        <v>46220.64583</v>
      </c>
      <c r="C62" s="1">
        <f>IFERROR(__xludf.DUMMYFUNCTION("""COMPUTED_VALUE"""),5563.0)</f>
        <v>5563</v>
      </c>
      <c r="D62" s="1"/>
      <c r="E62" s="112">
        <f>IFERROR(__xludf.DUMMYFUNCTION("""COMPUTED_VALUE"""),46220.64583333333)</f>
        <v>46220.64583</v>
      </c>
      <c r="F62" s="1">
        <f>IFERROR(__xludf.DUMMYFUNCTION("""COMPUTED_VALUE"""),1533.4)</f>
        <v>1533.4</v>
      </c>
      <c r="G62" s="1"/>
      <c r="H62" s="29">
        <f t="shared" si="4"/>
        <v>3.627885744</v>
      </c>
      <c r="I62" s="1">
        <f t="shared" si="5"/>
        <v>4029.6</v>
      </c>
      <c r="J62" s="113">
        <f t="shared" si="6"/>
        <v>0.8438867767</v>
      </c>
      <c r="K62" s="29">
        <f t="shared" si="7"/>
        <v>3.627885744</v>
      </c>
      <c r="L62" s="65">
        <f t="shared" si="8"/>
        <v>5545.8</v>
      </c>
      <c r="M62" s="25">
        <f t="shared" si="9"/>
        <v>0.003091856912</v>
      </c>
      <c r="N62" s="65">
        <f t="shared" si="10"/>
        <v>1554.565</v>
      </c>
      <c r="O62" s="25">
        <f t="shared" si="11"/>
        <v>-0.01380266075</v>
      </c>
      <c r="P62" s="25">
        <f t="shared" si="12"/>
        <v>0.01689451767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IFERROR(__xludf.DUMMYFUNCTION("""COMPUTED_VALUE"""),46223.64583333333)</f>
        <v>46223.64583</v>
      </c>
      <c r="C63" s="1">
        <f>IFERROR(__xludf.DUMMYFUNCTION("""COMPUTED_VALUE"""),5653.5)</f>
        <v>5653.5</v>
      </c>
      <c r="D63" s="1"/>
      <c r="E63" s="112">
        <f>IFERROR(__xludf.DUMMYFUNCTION("""COMPUTED_VALUE"""),46223.64583333333)</f>
        <v>46223.64583</v>
      </c>
      <c r="F63" s="1">
        <f>IFERROR(__xludf.DUMMYFUNCTION("""COMPUTED_VALUE"""),1559.6)</f>
        <v>1559.6</v>
      </c>
      <c r="G63" s="1"/>
      <c r="H63" s="29">
        <f t="shared" si="4"/>
        <v>3.62496794</v>
      </c>
      <c r="I63" s="1">
        <f t="shared" si="5"/>
        <v>4093.9</v>
      </c>
      <c r="J63" s="113">
        <f t="shared" si="6"/>
        <v>1.161111754</v>
      </c>
      <c r="K63" s="29">
        <f t="shared" si="7"/>
        <v>3.62496794</v>
      </c>
      <c r="L63" s="65">
        <f t="shared" si="8"/>
        <v>5559.8</v>
      </c>
      <c r="M63" s="25">
        <f t="shared" si="9"/>
        <v>0.01657380384</v>
      </c>
      <c r="N63" s="65">
        <f t="shared" si="10"/>
        <v>1557.655</v>
      </c>
      <c r="O63" s="25">
        <f t="shared" si="11"/>
        <v>0.001247114645</v>
      </c>
      <c r="P63" s="25">
        <f t="shared" si="12"/>
        <v>0.01532668919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IFERROR(__xludf.DUMMYFUNCTION("""COMPUTED_VALUE"""),46224.64583333333)</f>
        <v>46224.64583</v>
      </c>
      <c r="C64" s="1">
        <f>IFERROR(__xludf.DUMMYFUNCTION("""COMPUTED_VALUE"""),5681.5)</f>
        <v>5681.5</v>
      </c>
      <c r="D64" s="1"/>
      <c r="E64" s="112">
        <f>IFERROR(__xludf.DUMMYFUNCTION("""COMPUTED_VALUE"""),46224.64583333333)</f>
        <v>46224.64583</v>
      </c>
      <c r="F64" s="1">
        <f>IFERROR(__xludf.DUMMYFUNCTION("""COMPUTED_VALUE"""),1579.7)</f>
        <v>1579.7</v>
      </c>
      <c r="G64" s="1"/>
      <c r="H64" s="29">
        <f t="shared" si="4"/>
        <v>3.596568969</v>
      </c>
      <c r="I64" s="1">
        <f t="shared" si="5"/>
        <v>4101.8</v>
      </c>
      <c r="J64" s="113">
        <f t="shared" si="6"/>
        <v>1.200086517</v>
      </c>
      <c r="K64" s="29">
        <f t="shared" si="7"/>
        <v>3.596568969</v>
      </c>
      <c r="L64" s="65">
        <f t="shared" si="8"/>
        <v>5575.525</v>
      </c>
      <c r="M64" s="25">
        <f t="shared" si="9"/>
        <v>0.01865264455</v>
      </c>
      <c r="N64" s="65">
        <f t="shared" si="10"/>
        <v>1562.045</v>
      </c>
      <c r="O64" s="25">
        <f t="shared" si="11"/>
        <v>0.01117617269</v>
      </c>
      <c r="P64" s="25">
        <f t="shared" si="12"/>
        <v>0.007476471857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IFERROR(__xludf.DUMMYFUNCTION("""COMPUTED_VALUE"""),46225.64583333333)</f>
        <v>46225.64583</v>
      </c>
      <c r="C65" s="1">
        <f>IFERROR(__xludf.DUMMYFUNCTION("""COMPUTED_VALUE"""),5585.0)</f>
        <v>5585</v>
      </c>
      <c r="D65" s="1"/>
      <c r="E65" s="112">
        <f>IFERROR(__xludf.DUMMYFUNCTION("""COMPUTED_VALUE"""),46225.64583333333)</f>
        <v>46225.64583</v>
      </c>
      <c r="F65" s="1">
        <f>IFERROR(__xludf.DUMMYFUNCTION("""COMPUTED_VALUE"""),1533.6)</f>
        <v>1533.6</v>
      </c>
      <c r="G65" s="1"/>
      <c r="H65" s="29">
        <f t="shared" si="4"/>
        <v>3.641757955</v>
      </c>
      <c r="I65" s="1">
        <f t="shared" si="5"/>
        <v>4051.4</v>
      </c>
      <c r="J65" s="113">
        <f t="shared" si="6"/>
        <v>0.9514373909</v>
      </c>
      <c r="K65" s="29">
        <f t="shared" si="7"/>
        <v>3.641757955</v>
      </c>
      <c r="L65" s="65">
        <f t="shared" si="8"/>
        <v>5584</v>
      </c>
      <c r="M65" s="25">
        <f t="shared" si="9"/>
        <v>0.0001790510295</v>
      </c>
      <c r="N65" s="65">
        <f t="shared" si="10"/>
        <v>1562.015</v>
      </c>
      <c r="O65" s="25">
        <f t="shared" si="11"/>
        <v>-0.01852829943</v>
      </c>
      <c r="P65" s="25">
        <f t="shared" si="12"/>
        <v>0.01870735046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IFERROR(__xludf.DUMMYFUNCTION("""COMPUTED_VALUE"""),46226.64583333333)</f>
        <v>46226.64583</v>
      </c>
      <c r="C66" s="1">
        <f>IFERROR(__xludf.DUMMYFUNCTION("""COMPUTED_VALUE"""),5602.0)</f>
        <v>5602</v>
      </c>
      <c r="D66" s="1"/>
      <c r="E66" s="112">
        <f>IFERROR(__xludf.DUMMYFUNCTION("""COMPUTED_VALUE"""),46226.64583333333)</f>
        <v>46226.64583</v>
      </c>
      <c r="F66" s="1">
        <f>IFERROR(__xludf.DUMMYFUNCTION("""COMPUTED_VALUE"""),1523.4)</f>
        <v>1523.4</v>
      </c>
      <c r="G66" s="1"/>
      <c r="H66" s="29">
        <f t="shared" si="4"/>
        <v>3.677300775</v>
      </c>
      <c r="I66" s="1">
        <f t="shared" si="5"/>
        <v>4078.6</v>
      </c>
      <c r="J66" s="113">
        <f t="shared" si="6"/>
        <v>1.085628983</v>
      </c>
      <c r="K66" s="29">
        <f t="shared" si="7"/>
        <v>3.677300775</v>
      </c>
      <c r="L66" s="65">
        <f t="shared" si="8"/>
        <v>5592.675</v>
      </c>
      <c r="M66" s="25">
        <f t="shared" si="9"/>
        <v>0.001664584077</v>
      </c>
      <c r="N66" s="65">
        <f t="shared" si="10"/>
        <v>1561.655</v>
      </c>
      <c r="O66" s="25">
        <f t="shared" si="11"/>
        <v>-0.02511159249</v>
      </c>
      <c r="P66" s="25">
        <f t="shared" si="12"/>
        <v>0.02677617657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IFERROR(__xludf.DUMMYFUNCTION("""COMPUTED_VALUE"""),46227.64583333333)</f>
        <v>46227.64583</v>
      </c>
      <c r="C67" s="1">
        <f>IFERROR(__xludf.DUMMYFUNCTION("""COMPUTED_VALUE"""),5633.5)</f>
        <v>5633.5</v>
      </c>
      <c r="D67" s="1"/>
      <c r="E67" s="112">
        <f>IFERROR(__xludf.DUMMYFUNCTION("""COMPUTED_VALUE"""),46227.64583333333)</f>
        <v>46227.64583</v>
      </c>
      <c r="F67" s="1">
        <f>IFERROR(__xludf.DUMMYFUNCTION("""COMPUTED_VALUE"""),1532.0)</f>
        <v>1532</v>
      </c>
      <c r="G67" s="1"/>
      <c r="H67" s="29">
        <f t="shared" si="4"/>
        <v>3.677219321</v>
      </c>
      <c r="I67" s="1">
        <f t="shared" si="5"/>
        <v>4101.5</v>
      </c>
      <c r="J67" s="113">
        <f t="shared" si="6"/>
        <v>1.198606463</v>
      </c>
      <c r="K67" s="29">
        <f t="shared" si="7"/>
        <v>3.677219321</v>
      </c>
      <c r="L67" s="65">
        <f t="shared" si="8"/>
        <v>5603.1</v>
      </c>
      <c r="M67" s="25">
        <f t="shared" si="9"/>
        <v>0.005396290051</v>
      </c>
      <c r="N67" s="65">
        <f t="shared" si="10"/>
        <v>1560.495</v>
      </c>
      <c r="O67" s="25">
        <f t="shared" si="11"/>
        <v>-0.01859986945</v>
      </c>
      <c r="P67" s="25">
        <f t="shared" si="12"/>
        <v>0.0239961595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IFERROR(__xludf.DUMMYFUNCTION("""COMPUTED_VALUE"""),46230.64583333333)</f>
        <v>46230.64583</v>
      </c>
      <c r="C68" s="1">
        <f>IFERROR(__xludf.DUMMYFUNCTION("""COMPUTED_VALUE"""),5613.0)</f>
        <v>5613</v>
      </c>
      <c r="D68" s="1"/>
      <c r="E68" s="112">
        <f>IFERROR(__xludf.DUMMYFUNCTION("""COMPUTED_VALUE"""),46230.64583333333)</f>
        <v>46230.64583</v>
      </c>
      <c r="F68" s="1">
        <f>IFERROR(__xludf.DUMMYFUNCTION("""COMPUTED_VALUE"""),1549.4)</f>
        <v>1549.4</v>
      </c>
      <c r="G68" s="1"/>
      <c r="H68" s="29">
        <f t="shared" si="4"/>
        <v>3.622692655</v>
      </c>
      <c r="I68" s="1">
        <f t="shared" si="5"/>
        <v>4063.6</v>
      </c>
      <c r="J68" s="113">
        <f t="shared" si="6"/>
        <v>1.011626267</v>
      </c>
      <c r="K68" s="29">
        <f t="shared" si="7"/>
        <v>3.622692655</v>
      </c>
      <c r="L68" s="65">
        <f t="shared" si="8"/>
        <v>5612.925</v>
      </c>
      <c r="M68" s="25">
        <f t="shared" si="9"/>
        <v>0.00001336183859</v>
      </c>
      <c r="N68" s="65">
        <f t="shared" si="10"/>
        <v>1560.59</v>
      </c>
      <c r="O68" s="25">
        <f t="shared" si="11"/>
        <v>-0.00722215051</v>
      </c>
      <c r="P68" s="25">
        <f t="shared" si="12"/>
        <v>0.007235512348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IFERROR(__xludf.DUMMYFUNCTION("""COMPUTED_VALUE"""),46231.64583333333)</f>
        <v>46231.64583</v>
      </c>
      <c r="C69" s="1">
        <f>IFERROR(__xludf.DUMMYFUNCTION("""COMPUTED_VALUE"""),5651.5)</f>
        <v>5651.5</v>
      </c>
      <c r="D69" s="1"/>
      <c r="E69" s="112">
        <f>IFERROR(__xludf.DUMMYFUNCTION("""COMPUTED_VALUE"""),46231.64583333333)</f>
        <v>46231.64583</v>
      </c>
      <c r="F69" s="1">
        <f>IFERROR(__xludf.DUMMYFUNCTION("""COMPUTED_VALUE"""),1549.2)</f>
        <v>1549.2</v>
      </c>
      <c r="G69" s="1"/>
      <c r="H69" s="29">
        <f t="shared" si="4"/>
        <v>3.648011877</v>
      </c>
      <c r="I69" s="1">
        <f t="shared" si="5"/>
        <v>4102.3</v>
      </c>
      <c r="J69" s="113">
        <f t="shared" si="6"/>
        <v>1.202553275</v>
      </c>
      <c r="K69" s="29">
        <f t="shared" si="7"/>
        <v>3.648011877</v>
      </c>
      <c r="L69" s="65">
        <f t="shared" si="8"/>
        <v>5617</v>
      </c>
      <c r="M69" s="25">
        <f t="shared" si="9"/>
        <v>0.006104574007</v>
      </c>
      <c r="N69" s="65">
        <f t="shared" si="10"/>
        <v>1559.115</v>
      </c>
      <c r="O69" s="25">
        <f t="shared" si="11"/>
        <v>-0.006400077459</v>
      </c>
      <c r="P69" s="25">
        <f t="shared" si="12"/>
        <v>0.01250465147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IFERROR(__xludf.DUMMYFUNCTION("""COMPUTED_VALUE"""),46232.64583333333)</f>
        <v>46232.64583</v>
      </c>
      <c r="C70" s="1">
        <f>IFERROR(__xludf.DUMMYFUNCTION("""COMPUTED_VALUE"""),5672.5)</f>
        <v>5672.5</v>
      </c>
      <c r="D70" s="1"/>
      <c r="E70" s="112">
        <f>IFERROR(__xludf.DUMMYFUNCTION("""COMPUTED_VALUE"""),46232.64583333333)</f>
        <v>46232.64583</v>
      </c>
      <c r="F70" s="1">
        <f>IFERROR(__xludf.DUMMYFUNCTION("""COMPUTED_VALUE"""),1590.7)</f>
        <v>1590.7</v>
      </c>
      <c r="G70" s="1"/>
      <c r="H70" s="29">
        <f t="shared" si="4"/>
        <v>3.566040108</v>
      </c>
      <c r="I70" s="1">
        <f t="shared" si="5"/>
        <v>4081.8</v>
      </c>
      <c r="J70" s="113">
        <f t="shared" si="6"/>
        <v>1.101416229</v>
      </c>
      <c r="K70" s="29">
        <f t="shared" si="7"/>
        <v>3.566040108</v>
      </c>
      <c r="L70" s="65">
        <f t="shared" si="8"/>
        <v>5622.25</v>
      </c>
      <c r="M70" s="25">
        <f t="shared" si="9"/>
        <v>0.008858527986</v>
      </c>
      <c r="N70" s="65">
        <f t="shared" si="10"/>
        <v>1561.02</v>
      </c>
      <c r="O70" s="25">
        <f t="shared" si="11"/>
        <v>0.01865845225</v>
      </c>
      <c r="P70" s="25">
        <f t="shared" si="12"/>
        <v>-0.009799924268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IFERROR(__xludf.DUMMYFUNCTION("""COMPUTED_VALUE"""),46233.64583333333)</f>
        <v>46233.64583</v>
      </c>
      <c r="C71" s="1">
        <f>IFERROR(__xludf.DUMMYFUNCTION("""COMPUTED_VALUE"""),5816.5)</f>
        <v>5816.5</v>
      </c>
      <c r="D71" s="1"/>
      <c r="E71" s="112">
        <f>IFERROR(__xludf.DUMMYFUNCTION("""COMPUTED_VALUE"""),46233.64583333333)</f>
        <v>46233.64583</v>
      </c>
      <c r="F71" s="1">
        <f>IFERROR(__xludf.DUMMYFUNCTION("""COMPUTED_VALUE"""),1576.3)</f>
        <v>1576.3</v>
      </c>
      <c r="G71" s="1"/>
      <c r="H71" s="29">
        <f t="shared" si="4"/>
        <v>3.689970183</v>
      </c>
      <c r="I71" s="1">
        <f t="shared" si="5"/>
        <v>4240.2</v>
      </c>
      <c r="J71" s="113">
        <f t="shared" si="6"/>
        <v>1.882884912</v>
      </c>
      <c r="K71" s="29">
        <f t="shared" si="7"/>
        <v>3.689970183</v>
      </c>
      <c r="L71" s="65">
        <f t="shared" si="8"/>
        <v>5638.05</v>
      </c>
      <c r="M71" s="25">
        <f t="shared" si="9"/>
        <v>0.03067996218</v>
      </c>
      <c r="N71" s="65">
        <f t="shared" si="10"/>
        <v>1561.785</v>
      </c>
      <c r="O71" s="25">
        <f t="shared" si="11"/>
        <v>0.009208272537</v>
      </c>
      <c r="P71" s="25">
        <f t="shared" si="12"/>
        <v>0.02147168964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IFERROR(__xludf.DUMMYFUNCTION("""COMPUTED_VALUE"""),46234.64583333333)</f>
        <v>46234.64583</v>
      </c>
      <c r="C72" s="1">
        <f>IFERROR(__xludf.DUMMYFUNCTION("""COMPUTED_VALUE"""),5751.5)</f>
        <v>5751.5</v>
      </c>
      <c r="D72" s="1"/>
      <c r="E72" s="112">
        <f>IFERROR(__xludf.DUMMYFUNCTION("""COMPUTED_VALUE"""),46234.64583333333)</f>
        <v>46234.64583</v>
      </c>
      <c r="F72" s="1">
        <f>IFERROR(__xludf.DUMMYFUNCTION("""COMPUTED_VALUE"""),1580.2)</f>
        <v>1580.2</v>
      </c>
      <c r="G72" s="1"/>
      <c r="H72" s="29">
        <f t="shared" si="4"/>
        <v>3.639729148</v>
      </c>
      <c r="I72" s="1">
        <f t="shared" si="5"/>
        <v>4171.3</v>
      </c>
      <c r="J72" s="113">
        <f t="shared" si="6"/>
        <v>1.542965769</v>
      </c>
      <c r="K72" s="29">
        <f t="shared" si="7"/>
        <v>3.639729148</v>
      </c>
      <c r="L72" s="65">
        <f t="shared" si="8"/>
        <v>5647.5</v>
      </c>
      <c r="M72" s="25">
        <f t="shared" si="9"/>
        <v>0.01808223942</v>
      </c>
      <c r="N72" s="65">
        <f t="shared" si="10"/>
        <v>1559.77</v>
      </c>
      <c r="O72" s="25">
        <f t="shared" si="11"/>
        <v>0.0129287432</v>
      </c>
      <c r="P72" s="25">
        <f t="shared" si="12"/>
        <v>0.005153496219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IFERROR(__xludf.DUMMYFUNCTION("""COMPUTED_VALUE"""),46237.64583333333)</f>
        <v>46237.64583</v>
      </c>
      <c r="C73" s="1">
        <f>IFERROR(__xludf.DUMMYFUNCTION("""COMPUTED_VALUE"""),5707.0)</f>
        <v>5707</v>
      </c>
      <c r="D73" s="1"/>
      <c r="E73" s="112">
        <f>IFERROR(__xludf.DUMMYFUNCTION("""COMPUTED_VALUE"""),46237.64583333333)</f>
        <v>46237.64583</v>
      </c>
      <c r="F73" s="1">
        <f>IFERROR(__xludf.DUMMYFUNCTION("""COMPUTED_VALUE"""),1554.7)</f>
        <v>1554.7</v>
      </c>
      <c r="G73" s="1"/>
      <c r="H73" s="29">
        <f t="shared" si="4"/>
        <v>3.670804657</v>
      </c>
      <c r="I73" s="1">
        <f t="shared" si="5"/>
        <v>4152.3</v>
      </c>
      <c r="J73" s="113">
        <f t="shared" si="6"/>
        <v>1.449228995</v>
      </c>
      <c r="K73" s="29">
        <f t="shared" si="7"/>
        <v>3.670804657</v>
      </c>
      <c r="L73" s="65">
        <f t="shared" si="8"/>
        <v>5652.925</v>
      </c>
      <c r="M73" s="25">
        <f t="shared" si="9"/>
        <v>0.009475205888</v>
      </c>
      <c r="N73" s="65">
        <f t="shared" si="10"/>
        <v>1557.775</v>
      </c>
      <c r="O73" s="25">
        <f t="shared" si="11"/>
        <v>-0.001977873545</v>
      </c>
      <c r="P73" s="25">
        <f t="shared" si="12"/>
        <v>0.01145307943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IFERROR(__xludf.DUMMYFUNCTION("""COMPUTED_VALUE"""),46238.64583333333)</f>
        <v>46238.64583</v>
      </c>
      <c r="C74" s="1">
        <f>IFERROR(__xludf.DUMMYFUNCTION("""COMPUTED_VALUE"""),5608.0)</f>
        <v>5608</v>
      </c>
      <c r="D74" s="1"/>
      <c r="E74" s="112">
        <f>IFERROR(__xludf.DUMMYFUNCTION("""COMPUTED_VALUE"""),46238.64583333333)</f>
        <v>46238.64583</v>
      </c>
      <c r="F74" s="1">
        <f>IFERROR(__xludf.DUMMYFUNCTION("""COMPUTED_VALUE"""),1585.9)</f>
        <v>1585.9</v>
      </c>
      <c r="G74" s="1"/>
      <c r="H74" s="29">
        <f t="shared" si="4"/>
        <v>3.536162431</v>
      </c>
      <c r="I74" s="1">
        <f t="shared" si="5"/>
        <v>4022.1</v>
      </c>
      <c r="J74" s="113">
        <f t="shared" si="6"/>
        <v>0.8068854186</v>
      </c>
      <c r="K74" s="29">
        <f t="shared" si="7"/>
        <v>3.536162431</v>
      </c>
      <c r="L74" s="65">
        <f t="shared" si="8"/>
        <v>5649.95</v>
      </c>
      <c r="M74" s="25">
        <f t="shared" si="9"/>
        <v>-0.007480385164</v>
      </c>
      <c r="N74" s="65">
        <f t="shared" si="10"/>
        <v>1557.915</v>
      </c>
      <c r="O74" s="25">
        <f t="shared" si="11"/>
        <v>0.01764613153</v>
      </c>
      <c r="P74" s="25">
        <f t="shared" si="12"/>
        <v>-0.0251265167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IFERROR(__xludf.DUMMYFUNCTION("""COMPUTED_VALUE"""),46239.64583333333)</f>
        <v>46239.64583</v>
      </c>
      <c r="C75" s="1">
        <f>IFERROR(__xludf.DUMMYFUNCTION("""COMPUTED_VALUE"""),5696.5)</f>
        <v>5696.5</v>
      </c>
      <c r="D75" s="1"/>
      <c r="E75" s="112">
        <f>IFERROR(__xludf.DUMMYFUNCTION("""COMPUTED_VALUE"""),46239.64583333333)</f>
        <v>46239.64583</v>
      </c>
      <c r="F75" s="1">
        <f>IFERROR(__xludf.DUMMYFUNCTION("""COMPUTED_VALUE"""),1613.4)</f>
        <v>1613.4</v>
      </c>
      <c r="G75" s="1"/>
      <c r="H75" s="29">
        <f t="shared" si="4"/>
        <v>3.530742531</v>
      </c>
      <c r="I75" s="1">
        <f t="shared" si="5"/>
        <v>4083.1</v>
      </c>
      <c r="J75" s="113">
        <f t="shared" si="6"/>
        <v>1.107829798</v>
      </c>
      <c r="K75" s="29">
        <f t="shared" si="7"/>
        <v>3.530742531</v>
      </c>
      <c r="L75" s="65">
        <f t="shared" si="8"/>
        <v>5654.475</v>
      </c>
      <c r="M75" s="25">
        <f t="shared" si="9"/>
        <v>0.007377336961</v>
      </c>
      <c r="N75" s="65">
        <f t="shared" si="10"/>
        <v>1560.715</v>
      </c>
      <c r="O75" s="25">
        <f t="shared" si="11"/>
        <v>0.03265464237</v>
      </c>
      <c r="P75" s="25">
        <f t="shared" si="12"/>
        <v>-0.02527730541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IFERROR(__xludf.DUMMYFUNCTION("""COMPUTED_VALUE"""),46240.64583333333)</f>
        <v>46240.64583</v>
      </c>
      <c r="C76" s="1">
        <f>IFERROR(__xludf.DUMMYFUNCTION("""COMPUTED_VALUE"""),5597.5)</f>
        <v>5597.5</v>
      </c>
      <c r="D76" s="1"/>
      <c r="E76" s="112">
        <f>IFERROR(__xludf.DUMMYFUNCTION("""COMPUTED_VALUE"""),46240.64583333333)</f>
        <v>46240.64583</v>
      </c>
      <c r="F76" s="1">
        <f>IFERROR(__xludf.DUMMYFUNCTION("""COMPUTED_VALUE"""),1588.9)</f>
        <v>1588.9</v>
      </c>
      <c r="G76" s="1"/>
      <c r="H76" s="29">
        <f t="shared" si="4"/>
        <v>3.522877462</v>
      </c>
      <c r="I76" s="1">
        <f t="shared" si="5"/>
        <v>4008.6</v>
      </c>
      <c r="J76" s="113">
        <f t="shared" si="6"/>
        <v>0.740282974</v>
      </c>
      <c r="K76" s="29">
        <f t="shared" si="7"/>
        <v>3.522877462</v>
      </c>
      <c r="L76" s="65">
        <f t="shared" si="8"/>
        <v>5651.925</v>
      </c>
      <c r="M76" s="25">
        <f t="shared" si="9"/>
        <v>-0.009723090665</v>
      </c>
      <c r="N76" s="65">
        <f t="shared" si="10"/>
        <v>1560.79</v>
      </c>
      <c r="O76" s="25">
        <f t="shared" si="11"/>
        <v>0.01769148467</v>
      </c>
      <c r="P76" s="25">
        <f t="shared" si="12"/>
        <v>-0.02741457534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IFERROR(__xludf.DUMMYFUNCTION("""COMPUTED_VALUE"""),46241.64583333333)</f>
        <v>46241.64583</v>
      </c>
      <c r="C77" s="1">
        <f>IFERROR(__xludf.DUMMYFUNCTION("""COMPUTED_VALUE"""),5620.0)</f>
        <v>5620</v>
      </c>
      <c r="D77" s="1"/>
      <c r="E77" s="112">
        <f>IFERROR(__xludf.DUMMYFUNCTION("""COMPUTED_VALUE"""),46241.64583333333)</f>
        <v>46241.64583</v>
      </c>
      <c r="F77" s="1">
        <f>IFERROR(__xludf.DUMMYFUNCTION("""COMPUTED_VALUE"""),1658.0)</f>
        <v>1658</v>
      </c>
      <c r="G77" s="1"/>
      <c r="H77" s="29">
        <f t="shared" si="4"/>
        <v>3.389626055</v>
      </c>
      <c r="I77" s="1">
        <f t="shared" si="5"/>
        <v>3962</v>
      </c>
      <c r="J77" s="113">
        <f t="shared" si="6"/>
        <v>0.5103812023</v>
      </c>
      <c r="K77" s="29">
        <f t="shared" si="7"/>
        <v>3.389626055</v>
      </c>
      <c r="L77" s="65">
        <f t="shared" si="8"/>
        <v>5649.45</v>
      </c>
      <c r="M77" s="25">
        <f t="shared" si="9"/>
        <v>-0.005240213523</v>
      </c>
      <c r="N77" s="65">
        <f t="shared" si="10"/>
        <v>1565.455</v>
      </c>
      <c r="O77" s="25">
        <f t="shared" si="11"/>
        <v>0.0558172497</v>
      </c>
      <c r="P77" s="25">
        <f t="shared" si="12"/>
        <v>-0.06105746322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IFERROR(__xludf.DUMMYFUNCTION("""COMPUTED_VALUE"""),46244.64583333333)</f>
        <v>46244.64583</v>
      </c>
      <c r="C78" s="1">
        <f>IFERROR(__xludf.DUMMYFUNCTION("""COMPUTED_VALUE"""),5598.5)</f>
        <v>5598.5</v>
      </c>
      <c r="D78" s="1"/>
      <c r="E78" s="112">
        <f>IFERROR(__xludf.DUMMYFUNCTION("""COMPUTED_VALUE"""),46244.64583333333)</f>
        <v>46244.64583</v>
      </c>
      <c r="F78" s="1">
        <f>IFERROR(__xludf.DUMMYFUNCTION("""COMPUTED_VALUE"""),1648.0)</f>
        <v>1648</v>
      </c>
      <c r="G78" s="1"/>
      <c r="H78" s="29">
        <f t="shared" si="4"/>
        <v>3.397148058</v>
      </c>
      <c r="I78" s="1">
        <f t="shared" si="5"/>
        <v>3950.5</v>
      </c>
      <c r="J78" s="113">
        <f t="shared" si="6"/>
        <v>0.4536457865</v>
      </c>
      <c r="K78" s="29">
        <f t="shared" si="7"/>
        <v>3.397148058</v>
      </c>
      <c r="L78" s="65">
        <f t="shared" si="8"/>
        <v>5651.025</v>
      </c>
      <c r="M78" s="25">
        <f t="shared" si="9"/>
        <v>-0.009381977315</v>
      </c>
      <c r="N78" s="65">
        <f t="shared" si="10"/>
        <v>1570.39</v>
      </c>
      <c r="O78" s="25">
        <f t="shared" si="11"/>
        <v>0.0470934466</v>
      </c>
      <c r="P78" s="25">
        <f t="shared" si="12"/>
        <v>-0.05647542392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IFERROR(__xludf.DUMMYFUNCTION("""COMPUTED_VALUE"""),46245.64583333333)</f>
        <v>46245.64583</v>
      </c>
      <c r="C79" s="1">
        <f>IFERROR(__xludf.DUMMYFUNCTION("""COMPUTED_VALUE"""),5527.5)</f>
        <v>5527.5</v>
      </c>
      <c r="D79" s="1"/>
      <c r="E79" s="112">
        <f>IFERROR(__xludf.DUMMYFUNCTION("""COMPUTED_VALUE"""),46245.64583333333)</f>
        <v>46245.64583</v>
      </c>
      <c r="F79" s="1">
        <f>IFERROR(__xludf.DUMMYFUNCTION("""COMPUTED_VALUE"""),1658.0)</f>
        <v>1658</v>
      </c>
      <c r="G79" s="1"/>
      <c r="H79" s="29">
        <f t="shared" si="4"/>
        <v>3.333835947</v>
      </c>
      <c r="I79" s="1">
        <f t="shared" si="5"/>
        <v>3869.5</v>
      </c>
      <c r="J79" s="113">
        <f t="shared" si="6"/>
        <v>0.05403111897</v>
      </c>
      <c r="K79" s="29">
        <f t="shared" si="7"/>
        <v>3.333835947</v>
      </c>
      <c r="L79" s="65">
        <f t="shared" si="8"/>
        <v>5647.325</v>
      </c>
      <c r="M79" s="25">
        <f t="shared" si="9"/>
        <v>-0.02167797377</v>
      </c>
      <c r="N79" s="65">
        <f t="shared" si="10"/>
        <v>1575.65</v>
      </c>
      <c r="O79" s="25">
        <f t="shared" si="11"/>
        <v>0.04966827503</v>
      </c>
      <c r="P79" s="25">
        <f t="shared" si="12"/>
        <v>-0.0713462488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IFERROR(__xludf.DUMMYFUNCTION("""COMPUTED_VALUE"""),46246.64583333333)</f>
        <v>46246.64583</v>
      </c>
      <c r="C80" s="1">
        <f>IFERROR(__xludf.DUMMYFUNCTION("""COMPUTED_VALUE"""),5480.0)</f>
        <v>5480</v>
      </c>
      <c r="D80" s="1"/>
      <c r="E80" s="112">
        <f>IFERROR(__xludf.DUMMYFUNCTION("""COMPUTED_VALUE"""),46246.64583333333)</f>
        <v>46246.64583</v>
      </c>
      <c r="F80" s="1">
        <f>IFERROR(__xludf.DUMMYFUNCTION("""COMPUTED_VALUE"""),1667.0)</f>
        <v>1667</v>
      </c>
      <c r="G80" s="1"/>
      <c r="H80" s="29">
        <f t="shared" si="4"/>
        <v>3.287342531</v>
      </c>
      <c r="I80" s="1">
        <f t="shared" si="5"/>
        <v>3813</v>
      </c>
      <c r="J80" s="113">
        <f t="shared" si="6"/>
        <v>-0.2247124454</v>
      </c>
      <c r="K80" s="29">
        <f t="shared" si="7"/>
        <v>3.287342531</v>
      </c>
      <c r="L80" s="65">
        <f t="shared" si="8"/>
        <v>5638.375</v>
      </c>
      <c r="M80" s="25">
        <f t="shared" si="9"/>
        <v>-0.02890054745</v>
      </c>
      <c r="N80" s="65">
        <f t="shared" si="10"/>
        <v>1581.49</v>
      </c>
      <c r="O80" s="25">
        <f t="shared" si="11"/>
        <v>0.05129574085</v>
      </c>
      <c r="P80" s="25">
        <f t="shared" si="12"/>
        <v>-0.0801962883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IFERROR(__xludf.DUMMYFUNCTION("""COMPUTED_VALUE"""),46247.64583333333)</f>
        <v>46247.64583</v>
      </c>
      <c r="C81" s="1">
        <f>IFERROR(__xludf.DUMMYFUNCTION("""COMPUTED_VALUE"""),5449.5)</f>
        <v>5449.5</v>
      </c>
      <c r="D81" s="1"/>
      <c r="E81" s="112">
        <f>IFERROR(__xludf.DUMMYFUNCTION("""COMPUTED_VALUE"""),46247.64583333333)</f>
        <v>46247.64583</v>
      </c>
      <c r="F81" s="1">
        <f>IFERROR(__xludf.DUMMYFUNCTION("""COMPUTED_VALUE"""),1663.4)</f>
        <v>1663.4</v>
      </c>
      <c r="G81" s="1"/>
      <c r="H81" s="29">
        <f t="shared" si="4"/>
        <v>3.276121198</v>
      </c>
      <c r="I81" s="1">
        <f t="shared" si="5"/>
        <v>3786.1</v>
      </c>
      <c r="J81" s="113">
        <f t="shared" si="6"/>
        <v>-0.3574239832</v>
      </c>
      <c r="K81" s="29">
        <f t="shared" si="7"/>
        <v>3.276121198</v>
      </c>
      <c r="L81" s="65">
        <f t="shared" si="8"/>
        <v>5625.4</v>
      </c>
      <c r="M81" s="25">
        <f t="shared" si="9"/>
        <v>-0.03227819066</v>
      </c>
      <c r="N81" s="65">
        <f t="shared" si="10"/>
        <v>1587.24</v>
      </c>
      <c r="O81" s="25">
        <f t="shared" si="11"/>
        <v>0.04578574005</v>
      </c>
      <c r="P81" s="25">
        <f t="shared" si="12"/>
        <v>-0.07806393071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IFERROR(__xludf.DUMMYFUNCTION("""COMPUTED_VALUE"""),46248.64583333333)</f>
        <v>46248.64583</v>
      </c>
      <c r="C82" s="1">
        <f>IFERROR(__xludf.DUMMYFUNCTION("""COMPUTED_VALUE"""),5368.0)</f>
        <v>5368</v>
      </c>
      <c r="D82" s="1"/>
      <c r="E82" s="112">
        <f>IFERROR(__xludf.DUMMYFUNCTION("""COMPUTED_VALUE"""),46248.64583333333)</f>
        <v>46248.64583</v>
      </c>
      <c r="F82" s="1">
        <f>IFERROR(__xludf.DUMMYFUNCTION("""COMPUTED_VALUE"""),1622.1)</f>
        <v>1622.1</v>
      </c>
      <c r="G82" s="1"/>
      <c r="H82" s="29">
        <f t="shared" si="4"/>
        <v>3.309290426</v>
      </c>
      <c r="I82" s="1">
        <f t="shared" si="5"/>
        <v>3745.9</v>
      </c>
      <c r="J82" s="113">
        <f t="shared" si="6"/>
        <v>-0.5557512626</v>
      </c>
      <c r="K82" s="29">
        <f t="shared" si="7"/>
        <v>3.309290426</v>
      </c>
      <c r="L82" s="65">
        <f t="shared" si="8"/>
        <v>5615.65</v>
      </c>
      <c r="M82" s="25">
        <f t="shared" si="9"/>
        <v>-0.04613450075</v>
      </c>
      <c r="N82" s="65">
        <f t="shared" si="10"/>
        <v>1591.675</v>
      </c>
      <c r="O82" s="25">
        <f t="shared" si="11"/>
        <v>0.01875655015</v>
      </c>
      <c r="P82" s="25">
        <f t="shared" si="12"/>
        <v>-0.0648910509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IFERROR(__xludf.DUMMYFUNCTION("""COMPUTED_VALUE"""),46251.64583333333)</f>
        <v>46251.64583</v>
      </c>
      <c r="C83" s="1">
        <f>IFERROR(__xludf.DUMMYFUNCTION("""COMPUTED_VALUE"""),5374.0)</f>
        <v>5374</v>
      </c>
      <c r="D83" s="1"/>
      <c r="E83" s="112">
        <f>IFERROR(__xludf.DUMMYFUNCTION("""COMPUTED_VALUE"""),46251.64583333333)</f>
        <v>46251.64583</v>
      </c>
      <c r="F83" s="1">
        <f>IFERROR(__xludf.DUMMYFUNCTION("""COMPUTED_VALUE"""),1627.2)</f>
        <v>1627.2</v>
      </c>
      <c r="G83" s="1"/>
      <c r="H83" s="29">
        <f t="shared" si="4"/>
        <v>3.302605703</v>
      </c>
      <c r="I83" s="1">
        <f t="shared" si="5"/>
        <v>3746.8</v>
      </c>
      <c r="J83" s="113">
        <f t="shared" si="6"/>
        <v>-0.5513110996</v>
      </c>
      <c r="K83" s="29">
        <f t="shared" si="7"/>
        <v>3.302605703</v>
      </c>
      <c r="L83" s="65">
        <f t="shared" si="8"/>
        <v>5601.675</v>
      </c>
      <c r="M83" s="25">
        <f t="shared" si="9"/>
        <v>-0.04236602159</v>
      </c>
      <c r="N83" s="65">
        <f t="shared" si="10"/>
        <v>1595.055</v>
      </c>
      <c r="O83" s="25">
        <f t="shared" si="11"/>
        <v>0.01975479351</v>
      </c>
      <c r="P83" s="25">
        <f t="shared" si="12"/>
        <v>-0.0621208151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IFERROR(__xludf.DUMMYFUNCTION("""COMPUTED_VALUE"""),46252.64583333333)</f>
        <v>46252.64583</v>
      </c>
      <c r="C84" s="1">
        <f>IFERROR(__xludf.DUMMYFUNCTION("""COMPUTED_VALUE"""),5475.0)</f>
        <v>5475</v>
      </c>
      <c r="D84" s="1"/>
      <c r="E84" s="112">
        <f>IFERROR(__xludf.DUMMYFUNCTION("""COMPUTED_VALUE"""),46252.64583333333)</f>
        <v>46252.64583</v>
      </c>
      <c r="F84" s="1">
        <f>IFERROR(__xludf.DUMMYFUNCTION("""COMPUTED_VALUE"""),1645.0)</f>
        <v>1645</v>
      </c>
      <c r="G84" s="1"/>
      <c r="H84" s="29">
        <f t="shared" si="4"/>
        <v>3.328267477</v>
      </c>
      <c r="I84" s="1">
        <f t="shared" si="5"/>
        <v>3830</v>
      </c>
      <c r="J84" s="113">
        <f t="shared" si="6"/>
        <v>-0.1408427004</v>
      </c>
      <c r="K84" s="29">
        <f t="shared" si="7"/>
        <v>3.328267477</v>
      </c>
      <c r="L84" s="65">
        <f t="shared" si="8"/>
        <v>5591.35</v>
      </c>
      <c r="M84" s="25">
        <f t="shared" si="9"/>
        <v>-0.02125114155</v>
      </c>
      <c r="N84" s="65">
        <f t="shared" si="10"/>
        <v>1598.32</v>
      </c>
      <c r="O84" s="25">
        <f t="shared" si="11"/>
        <v>0.0283768997</v>
      </c>
      <c r="P84" s="25">
        <f t="shared" si="12"/>
        <v>-0.04962804125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IFERROR(__xludf.DUMMYFUNCTION("""COMPUTED_VALUE"""),46253.64583333333)</f>
        <v>46253.64583</v>
      </c>
      <c r="C85" s="1">
        <f>IFERROR(__xludf.DUMMYFUNCTION("""COMPUTED_VALUE"""),5382.5)</f>
        <v>5382.5</v>
      </c>
      <c r="D85" s="1"/>
      <c r="E85" s="112">
        <f>IFERROR(__xludf.DUMMYFUNCTION("""COMPUTED_VALUE"""),46253.64583333333)</f>
        <v>46253.64583</v>
      </c>
      <c r="F85" s="1">
        <f>IFERROR(__xludf.DUMMYFUNCTION("""COMPUTED_VALUE"""),1624.5)</f>
        <v>1624.5</v>
      </c>
      <c r="G85" s="1"/>
      <c r="H85" s="29">
        <f t="shared" si="4"/>
        <v>3.313327178</v>
      </c>
      <c r="I85" s="1">
        <f t="shared" si="5"/>
        <v>3758</v>
      </c>
      <c r="J85" s="113">
        <f t="shared" si="6"/>
        <v>-0.4960557382</v>
      </c>
      <c r="K85" s="29">
        <f t="shared" si="7"/>
        <v>3.313327178</v>
      </c>
      <c r="L85" s="65">
        <f t="shared" si="8"/>
        <v>5581.225</v>
      </c>
      <c r="M85" s="25">
        <f t="shared" si="9"/>
        <v>-0.03692057594</v>
      </c>
      <c r="N85" s="65">
        <f t="shared" si="10"/>
        <v>1602.865</v>
      </c>
      <c r="O85" s="25">
        <f t="shared" si="11"/>
        <v>0.01331794398</v>
      </c>
      <c r="P85" s="25">
        <f t="shared" si="12"/>
        <v>-0.05023851992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IFERROR(__xludf.DUMMYFUNCTION("""COMPUTED_VALUE"""),46254.64583333333)</f>
        <v>46254.64583</v>
      </c>
      <c r="C86" s="1">
        <f>IFERROR(__xludf.DUMMYFUNCTION("""COMPUTED_VALUE"""),5400.0)</f>
        <v>5400</v>
      </c>
      <c r="D86" s="1"/>
      <c r="E86" s="112">
        <f>IFERROR(__xludf.DUMMYFUNCTION("""COMPUTED_VALUE"""),46254.64583333333)</f>
        <v>46254.64583</v>
      </c>
      <c r="F86" s="1">
        <f>IFERROR(__xludf.DUMMYFUNCTION("""COMPUTED_VALUE"""),1608.0)</f>
        <v>1608</v>
      </c>
      <c r="G86" s="1"/>
      <c r="H86" s="29">
        <f t="shared" si="4"/>
        <v>3.358208955</v>
      </c>
      <c r="I86" s="1">
        <f t="shared" si="5"/>
        <v>3792</v>
      </c>
      <c r="J86" s="113">
        <f t="shared" si="6"/>
        <v>-0.3283162481</v>
      </c>
      <c r="K86" s="29">
        <f t="shared" si="7"/>
        <v>3.358208955</v>
      </c>
      <c r="L86" s="65">
        <f t="shared" si="8"/>
        <v>5571.125</v>
      </c>
      <c r="M86" s="25">
        <f t="shared" si="9"/>
        <v>-0.03168981481</v>
      </c>
      <c r="N86" s="65">
        <f t="shared" si="10"/>
        <v>1607.095</v>
      </c>
      <c r="O86" s="25">
        <f t="shared" si="11"/>
        <v>0.0005628109453</v>
      </c>
      <c r="P86" s="25">
        <f t="shared" si="12"/>
        <v>-0.03225262576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IFERROR(__xludf.DUMMYFUNCTION("""COMPUTED_VALUE"""),46255.64583333333)</f>
        <v>46255.64583</v>
      </c>
      <c r="C87" s="1">
        <f>IFERROR(__xludf.DUMMYFUNCTION("""COMPUTED_VALUE"""),5400.0)</f>
        <v>5400</v>
      </c>
      <c r="D87" s="1"/>
      <c r="E87" s="112">
        <f>IFERROR(__xludf.DUMMYFUNCTION("""COMPUTED_VALUE"""),46255.64583333333)</f>
        <v>46255.64583</v>
      </c>
      <c r="F87" s="1">
        <f>IFERROR(__xludf.DUMMYFUNCTION("""COMPUTED_VALUE"""),1621.3)</f>
        <v>1621.3</v>
      </c>
      <c r="G87" s="1"/>
      <c r="H87" s="29">
        <f t="shared" si="4"/>
        <v>3.330660581</v>
      </c>
      <c r="I87" s="1">
        <f t="shared" si="5"/>
        <v>3778.7</v>
      </c>
      <c r="J87" s="113">
        <f t="shared" si="6"/>
        <v>-0.3939319898</v>
      </c>
      <c r="K87" s="29">
        <f t="shared" si="7"/>
        <v>3.330660581</v>
      </c>
      <c r="L87" s="65">
        <f t="shared" si="8"/>
        <v>5559.45</v>
      </c>
      <c r="M87" s="25">
        <f t="shared" si="9"/>
        <v>-0.02952777778</v>
      </c>
      <c r="N87" s="65">
        <f t="shared" si="10"/>
        <v>1611.56</v>
      </c>
      <c r="O87" s="25">
        <f t="shared" si="11"/>
        <v>0.006007524826</v>
      </c>
      <c r="P87" s="25">
        <f t="shared" si="12"/>
        <v>-0.0355353026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IFERROR(__xludf.DUMMYFUNCTION("""COMPUTED_VALUE"""),46258.64583333333)</f>
        <v>46258.64583</v>
      </c>
      <c r="C88" s="1">
        <f>IFERROR(__xludf.DUMMYFUNCTION("""COMPUTED_VALUE"""),5350.0)</f>
        <v>5350</v>
      </c>
      <c r="D88" s="1"/>
      <c r="E88" s="112">
        <f>IFERROR(__xludf.DUMMYFUNCTION("""COMPUTED_VALUE"""),46258.64583333333)</f>
        <v>46258.64583</v>
      </c>
      <c r="F88" s="1">
        <f>IFERROR(__xludf.DUMMYFUNCTION("""COMPUTED_VALUE"""),1608.0)</f>
        <v>1608</v>
      </c>
      <c r="G88" s="1"/>
      <c r="H88" s="29">
        <f t="shared" si="4"/>
        <v>3.327114428</v>
      </c>
      <c r="I88" s="1">
        <f t="shared" si="5"/>
        <v>3742</v>
      </c>
      <c r="J88" s="113">
        <f t="shared" si="6"/>
        <v>-0.5749919688</v>
      </c>
      <c r="K88" s="29">
        <f t="shared" si="7"/>
        <v>3.327114428</v>
      </c>
      <c r="L88" s="65">
        <f t="shared" si="8"/>
        <v>5546.3</v>
      </c>
      <c r="M88" s="25">
        <f t="shared" si="9"/>
        <v>-0.03669158879</v>
      </c>
      <c r="N88" s="65">
        <f t="shared" si="10"/>
        <v>1614.49</v>
      </c>
      <c r="O88" s="25">
        <f t="shared" si="11"/>
        <v>-0.004036069652</v>
      </c>
      <c r="P88" s="25">
        <f t="shared" si="12"/>
        <v>-0.03265551913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IFERROR(__xludf.DUMMYFUNCTION("""COMPUTED_VALUE"""),46259.64583333333)</f>
        <v>46259.64583</v>
      </c>
      <c r="C89" s="1">
        <f>IFERROR(__xludf.DUMMYFUNCTION("""COMPUTED_VALUE"""),5368.0)</f>
        <v>5368</v>
      </c>
      <c r="D89" s="1"/>
      <c r="E89" s="112">
        <f>IFERROR(__xludf.DUMMYFUNCTION("""COMPUTED_VALUE"""),46259.64583333333)</f>
        <v>46259.64583</v>
      </c>
      <c r="F89" s="1">
        <f>IFERROR(__xludf.DUMMYFUNCTION("""COMPUTED_VALUE"""),1617.8)</f>
        <v>1617.8</v>
      </c>
      <c r="G89" s="1"/>
      <c r="H89" s="29">
        <f t="shared" si="4"/>
        <v>3.31808629</v>
      </c>
      <c r="I89" s="1">
        <f t="shared" si="5"/>
        <v>3750.2</v>
      </c>
      <c r="J89" s="113">
        <f t="shared" si="6"/>
        <v>-0.5345371506</v>
      </c>
      <c r="K89" s="29">
        <f t="shared" si="7"/>
        <v>3.31808629</v>
      </c>
      <c r="L89" s="65">
        <f t="shared" si="8"/>
        <v>5532.125</v>
      </c>
      <c r="M89" s="25">
        <f t="shared" si="9"/>
        <v>-0.03057470194</v>
      </c>
      <c r="N89" s="65">
        <f t="shared" si="10"/>
        <v>1617.92</v>
      </c>
      <c r="O89" s="25">
        <f t="shared" si="11"/>
        <v>-0.00007417480529</v>
      </c>
      <c r="P89" s="25">
        <f t="shared" si="12"/>
        <v>-0.03050052713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IFERROR(__xludf.DUMMYFUNCTION("""COMPUTED_VALUE"""),46260.64583333333)</f>
        <v>46260.64583</v>
      </c>
      <c r="C90" s="1">
        <f>IFERROR(__xludf.DUMMYFUNCTION("""COMPUTED_VALUE"""),5303.5)</f>
        <v>5303.5</v>
      </c>
      <c r="D90" s="25"/>
      <c r="E90" s="112">
        <f>IFERROR(__xludf.DUMMYFUNCTION("""COMPUTED_VALUE"""),46260.64583333333)</f>
        <v>46260.64583</v>
      </c>
      <c r="F90" s="1">
        <f>IFERROR(__xludf.DUMMYFUNCTION("""COMPUTED_VALUE"""),1623.0)</f>
        <v>1623</v>
      </c>
      <c r="G90" s="1"/>
      <c r="H90" s="29">
        <f t="shared" si="4"/>
        <v>3.26771411</v>
      </c>
      <c r="I90" s="1">
        <f t="shared" si="5"/>
        <v>3680.5</v>
      </c>
      <c r="J90" s="113">
        <f t="shared" si="6"/>
        <v>-0.8784031053</v>
      </c>
      <c r="K90" s="29">
        <f t="shared" si="7"/>
        <v>3.26771411</v>
      </c>
      <c r="L90" s="65">
        <f t="shared" si="8"/>
        <v>5513.675</v>
      </c>
      <c r="M90" s="25">
        <f t="shared" si="9"/>
        <v>-0.03962948996</v>
      </c>
      <c r="N90" s="65">
        <f t="shared" si="10"/>
        <v>1619.535</v>
      </c>
      <c r="O90" s="25">
        <f t="shared" si="11"/>
        <v>0.002134935305</v>
      </c>
      <c r="P90" s="25">
        <f t="shared" si="12"/>
        <v>-0.04176442526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IFERROR(__xludf.DUMMYFUNCTION("""COMPUTED_VALUE"""),46261.64583333333)</f>
        <v>46261.64583</v>
      </c>
      <c r="C91" s="1">
        <f>IFERROR(__xludf.DUMMYFUNCTION("""COMPUTED_VALUE"""),5320.0)</f>
        <v>5320</v>
      </c>
      <c r="D91" s="1"/>
      <c r="E91" s="112">
        <f>IFERROR(__xludf.DUMMYFUNCTION("""COMPUTED_VALUE"""),46261.64583333333)</f>
        <v>46261.64583</v>
      </c>
      <c r="F91" s="1">
        <f>IFERROR(__xludf.DUMMYFUNCTION("""COMPUTED_VALUE"""),1637.0)</f>
        <v>1637</v>
      </c>
      <c r="G91" s="1"/>
      <c r="H91" s="29">
        <f t="shared" si="4"/>
        <v>3.249847282</v>
      </c>
      <c r="I91" s="1">
        <f t="shared" si="5"/>
        <v>3683</v>
      </c>
      <c r="J91" s="113">
        <f t="shared" si="6"/>
        <v>-0.8660693193</v>
      </c>
      <c r="K91" s="29">
        <f t="shared" si="7"/>
        <v>3.249847282</v>
      </c>
      <c r="L91" s="65">
        <f t="shared" si="8"/>
        <v>5488.85</v>
      </c>
      <c r="M91" s="25">
        <f t="shared" si="9"/>
        <v>-0.0317387218</v>
      </c>
      <c r="N91" s="65">
        <f t="shared" si="10"/>
        <v>1622.57</v>
      </c>
      <c r="O91" s="25">
        <f t="shared" si="11"/>
        <v>0.008814905315</v>
      </c>
      <c r="P91" s="25">
        <f t="shared" si="12"/>
        <v>-0.04055362712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IFERROR(__xludf.DUMMYFUNCTION("""COMPUTED_VALUE"""),46262.64583333333)</f>
        <v>46262.64583</v>
      </c>
      <c r="C92" s="1">
        <f>IFERROR(__xludf.DUMMYFUNCTION("""COMPUTED_VALUE"""),5355.0)</f>
        <v>5355</v>
      </c>
      <c r="D92" s="1"/>
      <c r="E92" s="112">
        <f>IFERROR(__xludf.DUMMYFUNCTION("""COMPUTED_VALUE"""),46262.64583333333)</f>
        <v>46262.64583</v>
      </c>
      <c r="F92" s="1">
        <f>IFERROR(__xludf.DUMMYFUNCTION("""COMPUTED_VALUE"""),1645.3)</f>
        <v>1645.3</v>
      </c>
      <c r="G92" s="1"/>
      <c r="H92" s="29">
        <f t="shared" si="4"/>
        <v>3.254725582</v>
      </c>
      <c r="I92" s="1">
        <f t="shared" si="5"/>
        <v>3709.7</v>
      </c>
      <c r="J92" s="113">
        <f t="shared" si="6"/>
        <v>-0.7343444844</v>
      </c>
      <c r="K92" s="29">
        <f t="shared" si="7"/>
        <v>3.254725582</v>
      </c>
      <c r="L92" s="65">
        <f t="shared" si="8"/>
        <v>5469.025</v>
      </c>
      <c r="M92" s="25">
        <f t="shared" si="9"/>
        <v>-0.02129318394</v>
      </c>
      <c r="N92" s="65">
        <f t="shared" si="10"/>
        <v>1625.825</v>
      </c>
      <c r="O92" s="25">
        <f t="shared" si="11"/>
        <v>0.0118367471</v>
      </c>
      <c r="P92" s="25">
        <f t="shared" si="12"/>
        <v>-0.03312993104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IFERROR(__xludf.DUMMYFUNCTION("""COMPUTED_VALUE"""),46265.64583333333)</f>
        <v>46265.64583</v>
      </c>
      <c r="C93" s="1">
        <f>IFERROR(__xludf.DUMMYFUNCTION("""COMPUTED_VALUE"""),5329.5)</f>
        <v>5329.5</v>
      </c>
      <c r="D93" s="1"/>
      <c r="E93" s="112">
        <f>IFERROR(__xludf.DUMMYFUNCTION("""COMPUTED_VALUE"""),46265.64583333333)</f>
        <v>46265.64583</v>
      </c>
      <c r="F93" s="1">
        <f>IFERROR(__xludf.DUMMYFUNCTION("""COMPUTED_VALUE"""),1717.0)</f>
        <v>1717</v>
      </c>
      <c r="G93" s="1"/>
      <c r="H93" s="29">
        <f t="shared" si="4"/>
        <v>3.103960396</v>
      </c>
      <c r="I93" s="1">
        <f t="shared" si="5"/>
        <v>3612.5</v>
      </c>
      <c r="J93" s="113">
        <f t="shared" si="6"/>
        <v>-1.213882085</v>
      </c>
      <c r="K93" s="29">
        <f t="shared" si="7"/>
        <v>3.103960396</v>
      </c>
      <c r="L93" s="65">
        <f t="shared" si="8"/>
        <v>5450.15</v>
      </c>
      <c r="M93" s="25">
        <f t="shared" si="9"/>
        <v>-0.02263814617</v>
      </c>
      <c r="N93" s="65">
        <f t="shared" si="10"/>
        <v>1633.94</v>
      </c>
      <c r="O93" s="25">
        <f t="shared" si="11"/>
        <v>0.0483750728</v>
      </c>
      <c r="P93" s="25">
        <f t="shared" si="12"/>
        <v>-0.07101321897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IFERROR(__xludf.DUMMYFUNCTION("""COMPUTED_VALUE"""),46266.64583333333)</f>
        <v>46266.64583</v>
      </c>
      <c r="C94" s="1">
        <f>IFERROR(__xludf.DUMMYFUNCTION("""COMPUTED_VALUE"""),5300.0)</f>
        <v>5300</v>
      </c>
      <c r="D94" s="1"/>
      <c r="E94" s="112">
        <f>IFERROR(__xludf.DUMMYFUNCTION("""COMPUTED_VALUE"""),46266.64583333333)</f>
        <v>46266.64583</v>
      </c>
      <c r="F94" s="1">
        <f>IFERROR(__xludf.DUMMYFUNCTION("""COMPUTED_VALUE"""),1683.3)</f>
        <v>1683.3</v>
      </c>
      <c r="G94" s="1"/>
      <c r="H94" s="29">
        <f t="shared" si="4"/>
        <v>3.1485772</v>
      </c>
      <c r="I94" s="1">
        <f t="shared" si="5"/>
        <v>3616.7</v>
      </c>
      <c r="J94" s="113">
        <f t="shared" si="6"/>
        <v>-1.193161325</v>
      </c>
      <c r="K94" s="29">
        <f t="shared" si="7"/>
        <v>3.1485772</v>
      </c>
      <c r="L94" s="65">
        <f t="shared" si="8"/>
        <v>5434.75</v>
      </c>
      <c r="M94" s="25">
        <f t="shared" si="9"/>
        <v>-0.0254245283</v>
      </c>
      <c r="N94" s="65">
        <f t="shared" si="10"/>
        <v>1638.81</v>
      </c>
      <c r="O94" s="25">
        <f t="shared" si="11"/>
        <v>0.02643022634</v>
      </c>
      <c r="P94" s="25">
        <f t="shared" si="12"/>
        <v>-0.05185475464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IFERROR(__xludf.DUMMYFUNCTION("""COMPUTED_VALUE"""),46267.64583333333)</f>
        <v>46267.64583</v>
      </c>
      <c r="C95" s="1">
        <f>IFERROR(__xludf.DUMMYFUNCTION("""COMPUTED_VALUE"""),5210.0)</f>
        <v>5210</v>
      </c>
      <c r="D95" s="1"/>
      <c r="E95" s="112">
        <f>IFERROR(__xludf.DUMMYFUNCTION("""COMPUTED_VALUE"""),46267.64583333333)</f>
        <v>46267.64583</v>
      </c>
      <c r="F95" s="1">
        <f>IFERROR(__xludf.DUMMYFUNCTION("""COMPUTED_VALUE"""),1648.2)</f>
        <v>1648.2</v>
      </c>
      <c r="G95" s="1"/>
      <c r="H95" s="29">
        <f t="shared" si="4"/>
        <v>3.161024148</v>
      </c>
      <c r="I95" s="1">
        <f t="shared" si="5"/>
        <v>3561.8</v>
      </c>
      <c r="J95" s="113">
        <f t="shared" si="6"/>
        <v>-1.464011266</v>
      </c>
      <c r="K95" s="29">
        <f t="shared" si="7"/>
        <v>3.161024148</v>
      </c>
      <c r="L95" s="65">
        <f t="shared" si="8"/>
        <v>5410.425</v>
      </c>
      <c r="M95" s="25">
        <f t="shared" si="9"/>
        <v>-0.03846928983</v>
      </c>
      <c r="N95" s="65">
        <f t="shared" si="10"/>
        <v>1640.55</v>
      </c>
      <c r="O95" s="25">
        <f t="shared" si="11"/>
        <v>0.004641427011</v>
      </c>
      <c r="P95" s="25">
        <f t="shared" si="12"/>
        <v>-0.04311071684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IFERROR(__xludf.DUMMYFUNCTION("""COMPUTED_VALUE"""),46268.64583333333)</f>
        <v>46268.64583</v>
      </c>
      <c r="C96" s="1">
        <f>IFERROR(__xludf.DUMMYFUNCTION("""COMPUTED_VALUE"""),5193.0)</f>
        <v>5193</v>
      </c>
      <c r="D96" s="1"/>
      <c r="E96" s="112">
        <f>IFERROR(__xludf.DUMMYFUNCTION("""COMPUTED_VALUE"""),46268.64583333333)</f>
        <v>46268.64583</v>
      </c>
      <c r="F96" s="1">
        <f>IFERROR(__xludf.DUMMYFUNCTION("""COMPUTED_VALUE"""),1637.3)</f>
        <v>1637.3</v>
      </c>
      <c r="G96" s="1"/>
      <c r="H96" s="29">
        <f t="shared" si="4"/>
        <v>3.171685091</v>
      </c>
      <c r="I96" s="1">
        <f t="shared" si="5"/>
        <v>3555.7</v>
      </c>
      <c r="J96" s="113">
        <f t="shared" si="6"/>
        <v>-1.494105704</v>
      </c>
      <c r="K96" s="29">
        <f t="shared" si="7"/>
        <v>3.171685091</v>
      </c>
      <c r="L96" s="65">
        <f t="shared" si="8"/>
        <v>5390.2</v>
      </c>
      <c r="M96" s="25">
        <f t="shared" si="9"/>
        <v>-0.03797419603</v>
      </c>
      <c r="N96" s="65">
        <f t="shared" si="10"/>
        <v>1642.97</v>
      </c>
      <c r="O96" s="25">
        <f t="shared" si="11"/>
        <v>-0.003463018384</v>
      </c>
      <c r="P96" s="25">
        <f t="shared" si="12"/>
        <v>-0.03451117765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IFERROR(__xludf.DUMMYFUNCTION("""COMPUTED_VALUE"""),46269.64583333333)</f>
        <v>46269.64583</v>
      </c>
      <c r="C97" s="1">
        <f>IFERROR(__xludf.DUMMYFUNCTION("""COMPUTED_VALUE"""),5190.0)</f>
        <v>5190</v>
      </c>
      <c r="D97" s="1"/>
      <c r="E97" s="112">
        <f>IFERROR(__xludf.DUMMYFUNCTION("""COMPUTED_VALUE"""),46269.64583333333)</f>
        <v>46269.64583</v>
      </c>
      <c r="F97" s="1">
        <f>IFERROR(__xludf.DUMMYFUNCTION("""COMPUTED_VALUE"""),1653.1)</f>
        <v>1653.1</v>
      </c>
      <c r="G97" s="1"/>
      <c r="H97" s="29">
        <f t="shared" si="4"/>
        <v>3.139555986</v>
      </c>
      <c r="I97" s="1">
        <f t="shared" si="5"/>
        <v>3536.9</v>
      </c>
      <c r="J97" s="113">
        <f t="shared" si="6"/>
        <v>-1.586855775</v>
      </c>
      <c r="K97" s="29">
        <f t="shared" si="7"/>
        <v>3.139555986</v>
      </c>
      <c r="L97" s="65">
        <f t="shared" si="8"/>
        <v>5368.7</v>
      </c>
      <c r="M97" s="25">
        <f t="shared" si="9"/>
        <v>-0.03443159923</v>
      </c>
      <c r="N97" s="65">
        <f t="shared" si="10"/>
        <v>1642.725</v>
      </c>
      <c r="O97" s="25">
        <f t="shared" si="11"/>
        <v>0.006276087351</v>
      </c>
      <c r="P97" s="25">
        <f t="shared" si="12"/>
        <v>-0.04070768658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IFERROR(__xludf.DUMMYFUNCTION("""COMPUTED_VALUE"""),46272.64583333333)</f>
        <v>46272.64583</v>
      </c>
      <c r="C98" s="1">
        <f>IFERROR(__xludf.DUMMYFUNCTION("""COMPUTED_VALUE"""),5242.5)</f>
        <v>5242.5</v>
      </c>
      <c r="D98" s="1"/>
      <c r="E98" s="112">
        <f>IFERROR(__xludf.DUMMYFUNCTION("""COMPUTED_VALUE"""),46272.64583333333)</f>
        <v>46272.64583</v>
      </c>
      <c r="F98" s="1">
        <f>IFERROR(__xludf.DUMMYFUNCTION("""COMPUTED_VALUE"""),1660.0)</f>
        <v>1660</v>
      </c>
      <c r="G98" s="1"/>
      <c r="H98" s="29">
        <f t="shared" si="4"/>
        <v>3.15813253</v>
      </c>
      <c r="I98" s="1">
        <f t="shared" si="5"/>
        <v>3582.5</v>
      </c>
      <c r="J98" s="113">
        <f t="shared" si="6"/>
        <v>-1.361887518</v>
      </c>
      <c r="K98" s="29">
        <f t="shared" si="7"/>
        <v>3.15813253</v>
      </c>
      <c r="L98" s="65">
        <f t="shared" si="8"/>
        <v>5350.9</v>
      </c>
      <c r="M98" s="25">
        <f t="shared" si="9"/>
        <v>-0.02067715784</v>
      </c>
      <c r="N98" s="65">
        <f t="shared" si="10"/>
        <v>1643.325</v>
      </c>
      <c r="O98" s="25">
        <f t="shared" si="11"/>
        <v>0.01004518072</v>
      </c>
      <c r="P98" s="25">
        <f t="shared" si="12"/>
        <v>-0.03072233857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IFERROR(__xludf.DUMMYFUNCTION("""COMPUTED_VALUE"""),46273.64583333333)</f>
        <v>46273.64583</v>
      </c>
      <c r="C99" s="1">
        <f>IFERROR(__xludf.DUMMYFUNCTION("""COMPUTED_VALUE"""),5181.0)</f>
        <v>5181</v>
      </c>
      <c r="D99" s="1"/>
      <c r="E99" s="112">
        <f>IFERROR(__xludf.DUMMYFUNCTION("""COMPUTED_VALUE"""),46273.64583333333)</f>
        <v>46273.64583</v>
      </c>
      <c r="F99" s="1">
        <f>IFERROR(__xludf.DUMMYFUNCTION("""COMPUTED_VALUE"""),1692.0)</f>
        <v>1692</v>
      </c>
      <c r="G99" s="1"/>
      <c r="H99" s="29">
        <f t="shared" si="4"/>
        <v>3.062056738</v>
      </c>
      <c r="I99" s="1">
        <f t="shared" si="5"/>
        <v>3489</v>
      </c>
      <c r="J99" s="113">
        <f t="shared" si="6"/>
        <v>-1.823171116</v>
      </c>
      <c r="K99" s="29">
        <f t="shared" si="7"/>
        <v>3.062056738</v>
      </c>
      <c r="L99" s="65">
        <f t="shared" si="8"/>
        <v>5333.575</v>
      </c>
      <c r="M99" s="25">
        <f t="shared" si="9"/>
        <v>-0.02944894808</v>
      </c>
      <c r="N99" s="65">
        <f t="shared" si="10"/>
        <v>1645.025</v>
      </c>
      <c r="O99" s="25">
        <f t="shared" si="11"/>
        <v>0.02776300236</v>
      </c>
      <c r="P99" s="25">
        <f t="shared" si="12"/>
        <v>-0.05721195044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IFERROR(__xludf.DUMMYFUNCTION("""COMPUTED_VALUE"""),46274.64583333333)</f>
        <v>46274.64583</v>
      </c>
      <c r="C100" s="1">
        <f>IFERROR(__xludf.DUMMYFUNCTION("""COMPUTED_VALUE"""),5139.0)</f>
        <v>5139</v>
      </c>
      <c r="D100" s="1"/>
      <c r="E100" s="112">
        <f>IFERROR(__xludf.DUMMYFUNCTION("""COMPUTED_VALUE"""),46274.64583333333)</f>
        <v>46274.64583</v>
      </c>
      <c r="F100" s="1">
        <f>IFERROR(__xludf.DUMMYFUNCTION("""COMPUTED_VALUE"""),1698.9)</f>
        <v>1698.9</v>
      </c>
      <c r="G100" s="1"/>
      <c r="H100" s="29">
        <f t="shared" si="4"/>
        <v>3.024898464</v>
      </c>
      <c r="I100" s="1">
        <f t="shared" si="5"/>
        <v>3440.1</v>
      </c>
      <c r="J100" s="113">
        <f t="shared" si="6"/>
        <v>-2.06441997</v>
      </c>
      <c r="K100" s="29">
        <f t="shared" si="7"/>
        <v>3.024898464</v>
      </c>
      <c r="L100" s="65">
        <f t="shared" si="8"/>
        <v>5316.525</v>
      </c>
      <c r="M100" s="25">
        <f t="shared" si="9"/>
        <v>-0.03454465849</v>
      </c>
      <c r="N100" s="65">
        <f t="shared" si="10"/>
        <v>1646.62</v>
      </c>
      <c r="O100" s="25">
        <f t="shared" si="11"/>
        <v>0.03077285302</v>
      </c>
      <c r="P100" s="25">
        <f t="shared" si="12"/>
        <v>-0.06531751152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IFERROR(__xludf.DUMMYFUNCTION("""COMPUTED_VALUE"""),46275.64583333333)</f>
        <v>46275.64583</v>
      </c>
      <c r="C101" s="1">
        <f>IFERROR(__xludf.DUMMYFUNCTION("""COMPUTED_VALUE"""),5138.0)</f>
        <v>5138</v>
      </c>
      <c r="D101" s="1"/>
      <c r="E101" s="112">
        <f>IFERROR(__xludf.DUMMYFUNCTION("""COMPUTED_VALUE"""),46275.64583333333)</f>
        <v>46275.64583</v>
      </c>
      <c r="F101" s="1">
        <f>IFERROR(__xludf.DUMMYFUNCTION("""COMPUTED_VALUE"""),1668.4)</f>
        <v>1668.4</v>
      </c>
      <c r="G101" s="1"/>
      <c r="H101" s="29">
        <f t="shared" si="4"/>
        <v>3.079597219</v>
      </c>
      <c r="I101" s="1">
        <f t="shared" si="5"/>
        <v>3469.6</v>
      </c>
      <c r="J101" s="113">
        <f t="shared" si="6"/>
        <v>-1.918881295</v>
      </c>
      <c r="K101" s="29">
        <f t="shared" si="7"/>
        <v>3.079597219</v>
      </c>
      <c r="L101" s="65">
        <f t="shared" si="8"/>
        <v>5300.95</v>
      </c>
      <c r="M101" s="25">
        <f t="shared" si="9"/>
        <v>-0.03171467497</v>
      </c>
      <c r="N101" s="65">
        <f t="shared" si="10"/>
        <v>1646.87</v>
      </c>
      <c r="O101" s="25">
        <f t="shared" si="11"/>
        <v>0.01290457924</v>
      </c>
      <c r="P101" s="25">
        <f t="shared" si="12"/>
        <v>-0.04461925421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IFERROR(__xludf.DUMMYFUNCTION("""COMPUTED_VALUE"""),46276.64583333333)</f>
        <v>46276.64583</v>
      </c>
      <c r="C102" s="1">
        <f>IFERROR(__xludf.DUMMYFUNCTION("""COMPUTED_VALUE"""),5087.5)</f>
        <v>5087.5</v>
      </c>
      <c r="D102" s="1"/>
      <c r="E102" s="112">
        <f>IFERROR(__xludf.DUMMYFUNCTION("""COMPUTED_VALUE"""),46276.64583333333)</f>
        <v>46276.64583</v>
      </c>
      <c r="F102" s="1">
        <f>IFERROR(__xludf.DUMMYFUNCTION("""COMPUTED_VALUE"""),1679.8)</f>
        <v>1679.8</v>
      </c>
      <c r="G102" s="1"/>
      <c r="H102" s="29">
        <f t="shared" si="4"/>
        <v>3.028634361</v>
      </c>
      <c r="I102" s="1">
        <f t="shared" si="5"/>
        <v>3407.7</v>
      </c>
      <c r="J102" s="113">
        <f t="shared" si="6"/>
        <v>-2.224265838</v>
      </c>
      <c r="K102" s="29">
        <f t="shared" si="7"/>
        <v>3.028634361</v>
      </c>
      <c r="L102" s="65">
        <f t="shared" si="8"/>
        <v>5286.925</v>
      </c>
      <c r="M102" s="25">
        <f t="shared" si="9"/>
        <v>-0.0391990172</v>
      </c>
      <c r="N102" s="65">
        <f t="shared" si="10"/>
        <v>1649.755</v>
      </c>
      <c r="O102" s="25">
        <f t="shared" si="11"/>
        <v>0.01788605786</v>
      </c>
      <c r="P102" s="25">
        <f t="shared" si="12"/>
        <v>-0.05708507506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IFERROR(__xludf.DUMMYFUNCTION("""COMPUTED_VALUE"""),46280.64583333333)</f>
        <v>46280.64583</v>
      </c>
      <c r="C103" s="1">
        <f>IFERROR(__xludf.DUMMYFUNCTION("""COMPUTED_VALUE"""),5161.0)</f>
        <v>5161</v>
      </c>
      <c r="D103" s="1"/>
      <c r="E103" s="112">
        <f>IFERROR(__xludf.DUMMYFUNCTION("""COMPUTED_VALUE"""),46280.64583333333)</f>
        <v>46280.64583</v>
      </c>
      <c r="F103" s="1">
        <f>IFERROR(__xludf.DUMMYFUNCTION("""COMPUTED_VALUE"""),1660.0)</f>
        <v>1660</v>
      </c>
      <c r="G103" s="1"/>
      <c r="H103" s="29">
        <f t="shared" si="4"/>
        <v>3.109036145</v>
      </c>
      <c r="I103" s="1">
        <f t="shared" si="5"/>
        <v>3501</v>
      </c>
      <c r="J103" s="113">
        <f t="shared" si="6"/>
        <v>-1.763968943</v>
      </c>
      <c r="K103" s="29">
        <f t="shared" si="7"/>
        <v>3.109036145</v>
      </c>
      <c r="L103" s="65">
        <f t="shared" si="8"/>
        <v>5276.275</v>
      </c>
      <c r="M103" s="25">
        <f t="shared" si="9"/>
        <v>-0.02233578764</v>
      </c>
      <c r="N103" s="65">
        <f t="shared" si="10"/>
        <v>1651.395</v>
      </c>
      <c r="O103" s="25">
        <f t="shared" si="11"/>
        <v>0.00518373494</v>
      </c>
      <c r="P103" s="25">
        <f t="shared" si="12"/>
        <v>-0.02751952258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IFERROR(__xludf.DUMMYFUNCTION("""COMPUTED_VALUE"""),46281.64583333333)</f>
        <v>46281.64583</v>
      </c>
      <c r="C104" s="1">
        <f>IFERROR(__xludf.DUMMYFUNCTION("""COMPUTED_VALUE"""),5175.0)</f>
        <v>5175</v>
      </c>
      <c r="D104" s="1"/>
      <c r="E104" s="112">
        <f>IFERROR(__xludf.DUMMYFUNCTION("""COMPUTED_VALUE"""),46281.64583333333)</f>
        <v>46281.64583</v>
      </c>
      <c r="F104" s="1">
        <f>IFERROR(__xludf.DUMMYFUNCTION("""COMPUTED_VALUE"""),1643.0)</f>
        <v>1643</v>
      </c>
      <c r="G104" s="1"/>
      <c r="H104" s="29">
        <f t="shared" si="4"/>
        <v>3.149726111</v>
      </c>
      <c r="I104" s="1">
        <f t="shared" si="5"/>
        <v>3532</v>
      </c>
      <c r="J104" s="113">
        <f t="shared" si="6"/>
        <v>-1.611029996</v>
      </c>
      <c r="K104" s="29">
        <f t="shared" si="7"/>
        <v>3.149726111</v>
      </c>
      <c r="L104" s="65">
        <f t="shared" si="8"/>
        <v>5261.275</v>
      </c>
      <c r="M104" s="25">
        <f t="shared" si="9"/>
        <v>-0.01667149758</v>
      </c>
      <c r="N104" s="65">
        <f t="shared" si="10"/>
        <v>1651.295</v>
      </c>
      <c r="O104" s="25">
        <f t="shared" si="11"/>
        <v>-0.005048691418</v>
      </c>
      <c r="P104" s="25">
        <f t="shared" si="12"/>
        <v>-0.01162280617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IFERROR(__xludf.DUMMYFUNCTION("""COMPUTED_VALUE"""),46282.64583333333)</f>
        <v>46282.64583</v>
      </c>
      <c r="C105" s="1">
        <f>IFERROR(__xludf.DUMMYFUNCTION("""COMPUTED_VALUE"""),5348.5)</f>
        <v>5348.5</v>
      </c>
      <c r="D105" s="1"/>
      <c r="E105" s="112">
        <f>IFERROR(__xludf.DUMMYFUNCTION("""COMPUTED_VALUE"""),46282.64583333333)</f>
        <v>46282.64583</v>
      </c>
      <c r="F105" s="1">
        <f>IFERROR(__xludf.DUMMYFUNCTION("""COMPUTED_VALUE"""),1690.0)</f>
        <v>1690</v>
      </c>
      <c r="G105" s="1"/>
      <c r="H105" s="29">
        <f t="shared" si="4"/>
        <v>3.164792899</v>
      </c>
      <c r="I105" s="1">
        <f t="shared" si="5"/>
        <v>3658.5</v>
      </c>
      <c r="J105" s="113">
        <f t="shared" si="6"/>
        <v>-0.9869404224</v>
      </c>
      <c r="K105" s="29">
        <f t="shared" si="7"/>
        <v>3.164792899</v>
      </c>
      <c r="L105" s="65">
        <f t="shared" si="8"/>
        <v>5259.575</v>
      </c>
      <c r="M105" s="25">
        <f t="shared" si="9"/>
        <v>0.01662615687</v>
      </c>
      <c r="N105" s="65">
        <f t="shared" si="10"/>
        <v>1654.57</v>
      </c>
      <c r="O105" s="25">
        <f t="shared" si="11"/>
        <v>0.02096449704</v>
      </c>
      <c r="P105" s="25">
        <f t="shared" si="12"/>
        <v>-0.004338340175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IFERROR(__xludf.DUMMYFUNCTION("""COMPUTED_VALUE"""),46283.64583333333)</f>
        <v>46283.64583</v>
      </c>
      <c r="C106" s="1">
        <f>IFERROR(__xludf.DUMMYFUNCTION("""COMPUTED_VALUE"""),5466.5)</f>
        <v>5466.5</v>
      </c>
      <c r="D106" s="1"/>
      <c r="E106" s="112">
        <f>IFERROR(__xludf.DUMMYFUNCTION("""COMPUTED_VALUE"""),46283.64583333333)</f>
        <v>46283.64583</v>
      </c>
      <c r="F106" s="1">
        <f>IFERROR(__xludf.DUMMYFUNCTION("""COMPUTED_VALUE"""),1734.0)</f>
        <v>1734</v>
      </c>
      <c r="G106" s="1"/>
      <c r="H106" s="29">
        <f t="shared" si="4"/>
        <v>3.152537486</v>
      </c>
      <c r="I106" s="1">
        <f t="shared" si="5"/>
        <v>3732.5</v>
      </c>
      <c r="J106" s="113">
        <f t="shared" si="6"/>
        <v>-0.6218603558</v>
      </c>
      <c r="K106" s="29">
        <f t="shared" si="7"/>
        <v>3.152537486</v>
      </c>
      <c r="L106" s="65">
        <f t="shared" si="8"/>
        <v>5262.9</v>
      </c>
      <c r="M106" s="25">
        <f t="shared" si="9"/>
        <v>0.03724503796</v>
      </c>
      <c r="N106" s="65">
        <f t="shared" si="10"/>
        <v>1660.87</v>
      </c>
      <c r="O106" s="25">
        <f t="shared" si="11"/>
        <v>0.04217416378</v>
      </c>
      <c r="P106" s="25">
        <f t="shared" si="12"/>
        <v>-0.004929125825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IFERROR(__xludf.DUMMYFUNCTION("""COMPUTED_VALUE"""),46286.64583333333)</f>
        <v>46286.64583</v>
      </c>
      <c r="C107" s="1">
        <f>IFERROR(__xludf.DUMMYFUNCTION("""COMPUTED_VALUE"""),5364.0)</f>
        <v>5364</v>
      </c>
      <c r="D107" s="1"/>
      <c r="E107" s="112">
        <f>IFERROR(__xludf.DUMMYFUNCTION("""COMPUTED_VALUE"""),46286.64583333333)</f>
        <v>46286.64583</v>
      </c>
      <c r="F107" s="1">
        <f>IFERROR(__xludf.DUMMYFUNCTION("""COMPUTED_VALUE"""),1713.4)</f>
        <v>1713.4</v>
      </c>
      <c r="G107" s="1"/>
      <c r="H107" s="29">
        <f t="shared" si="4"/>
        <v>3.130617486</v>
      </c>
      <c r="I107" s="1">
        <f t="shared" si="5"/>
        <v>3650.6</v>
      </c>
      <c r="J107" s="113">
        <f t="shared" si="6"/>
        <v>-1.025915186</v>
      </c>
      <c r="K107" s="29">
        <f t="shared" si="7"/>
        <v>3.130617486</v>
      </c>
      <c r="L107" s="65">
        <f t="shared" si="8"/>
        <v>5261.1</v>
      </c>
      <c r="M107" s="25">
        <f t="shared" si="9"/>
        <v>0.01918344519</v>
      </c>
      <c r="N107" s="65">
        <f t="shared" si="10"/>
        <v>1665.475</v>
      </c>
      <c r="O107" s="25">
        <f t="shared" si="11"/>
        <v>0.02797070153</v>
      </c>
      <c r="P107" s="25">
        <f t="shared" si="12"/>
        <v>-0.008787256339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IFERROR(__xludf.DUMMYFUNCTION("""COMPUTED_VALUE"""),46287.64583333333)</f>
        <v>46287.64583</v>
      </c>
      <c r="C108" s="1">
        <f>IFERROR(__xludf.DUMMYFUNCTION("""COMPUTED_VALUE"""),5331.5)</f>
        <v>5331.5</v>
      </c>
      <c r="D108" s="1"/>
      <c r="E108" s="112">
        <f>IFERROR(__xludf.DUMMYFUNCTION("""COMPUTED_VALUE"""),46287.64583333333)</f>
        <v>46287.64583</v>
      </c>
      <c r="F108" s="1">
        <f>IFERROR(__xludf.DUMMYFUNCTION("""COMPUTED_VALUE"""),1700.0)</f>
        <v>1700</v>
      </c>
      <c r="G108" s="1"/>
      <c r="H108" s="29">
        <f t="shared" si="4"/>
        <v>3.136176471</v>
      </c>
      <c r="I108" s="1">
        <f t="shared" si="5"/>
        <v>3631.5</v>
      </c>
      <c r="J108" s="113">
        <f t="shared" si="6"/>
        <v>-1.120145312</v>
      </c>
      <c r="K108" s="29">
        <f t="shared" si="7"/>
        <v>3.136176471</v>
      </c>
      <c r="L108" s="65">
        <f t="shared" si="8"/>
        <v>5260.175</v>
      </c>
      <c r="M108" s="25">
        <f t="shared" si="9"/>
        <v>0.0133780362</v>
      </c>
      <c r="N108" s="65">
        <f t="shared" si="10"/>
        <v>1670.075</v>
      </c>
      <c r="O108" s="25">
        <f t="shared" si="11"/>
        <v>0.01760294118</v>
      </c>
      <c r="P108" s="25">
        <f t="shared" si="12"/>
        <v>-0.004224904977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IFERROR(__xludf.DUMMYFUNCTION("""COMPUTED_VALUE"""),46288.64583333333)</f>
        <v>46288.64583</v>
      </c>
      <c r="C109" s="1">
        <f>IFERROR(__xludf.DUMMYFUNCTION("""COMPUTED_VALUE"""),5417.5)</f>
        <v>5417.5</v>
      </c>
      <c r="D109" s="1"/>
      <c r="E109" s="112">
        <f>IFERROR(__xludf.DUMMYFUNCTION("""COMPUTED_VALUE"""),46288.64583333333)</f>
        <v>46288.64583</v>
      </c>
      <c r="F109" s="1">
        <f>IFERROR(__xludf.DUMMYFUNCTION("""COMPUTED_VALUE"""),1721.5)</f>
        <v>1721.5</v>
      </c>
      <c r="G109" s="1"/>
      <c r="H109" s="29">
        <f t="shared" si="4"/>
        <v>3.146964856</v>
      </c>
      <c r="I109" s="1">
        <f t="shared" si="5"/>
        <v>3696</v>
      </c>
      <c r="J109" s="113">
        <f t="shared" si="6"/>
        <v>-0.8019336319</v>
      </c>
      <c r="K109" s="29">
        <f t="shared" si="7"/>
        <v>3.146964856</v>
      </c>
      <c r="L109" s="65">
        <f t="shared" si="8"/>
        <v>5262.65</v>
      </c>
      <c r="M109" s="25">
        <f t="shared" si="9"/>
        <v>0.02858329488</v>
      </c>
      <c r="N109" s="65">
        <f t="shared" si="10"/>
        <v>1675.26</v>
      </c>
      <c r="O109" s="25">
        <f t="shared" si="11"/>
        <v>0.02686029625</v>
      </c>
      <c r="P109" s="25">
        <f t="shared" si="12"/>
        <v>0.001722998624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IFERROR(__xludf.DUMMYFUNCTION("""COMPUTED_VALUE"""),46289.64583333333)</f>
        <v>46289.64583</v>
      </c>
      <c r="C110" s="1">
        <f>IFERROR(__xludf.DUMMYFUNCTION("""COMPUTED_VALUE"""),5326.0)</f>
        <v>5326</v>
      </c>
      <c r="D110" s="1"/>
      <c r="E110" s="112">
        <f>IFERROR(__xludf.DUMMYFUNCTION("""COMPUTED_VALUE"""),46289.64583333333)</f>
        <v>46289.64583</v>
      </c>
      <c r="F110" s="1">
        <f>IFERROR(__xludf.DUMMYFUNCTION("""COMPUTED_VALUE"""),1716.0)</f>
        <v>1716</v>
      </c>
      <c r="G110" s="1"/>
      <c r="H110" s="29">
        <f t="shared" si="4"/>
        <v>3.103729604</v>
      </c>
      <c r="I110" s="1">
        <f t="shared" si="5"/>
        <v>3610</v>
      </c>
      <c r="J110" s="113">
        <f t="shared" si="6"/>
        <v>-1.226215872</v>
      </c>
      <c r="K110" s="29">
        <f t="shared" si="7"/>
        <v>3.103729604</v>
      </c>
      <c r="L110" s="65">
        <f t="shared" si="8"/>
        <v>5263.775</v>
      </c>
      <c r="M110" s="25">
        <f t="shared" si="9"/>
        <v>0.01168325197</v>
      </c>
      <c r="N110" s="65">
        <f t="shared" si="10"/>
        <v>1679.91</v>
      </c>
      <c r="O110" s="25">
        <f t="shared" si="11"/>
        <v>0.02103146853</v>
      </c>
      <c r="P110" s="25">
        <f t="shared" si="12"/>
        <v>-0.00934821656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IFERROR(__xludf.DUMMYFUNCTION("""COMPUTED_VALUE"""),46290.64583333333)</f>
        <v>46290.64583</v>
      </c>
      <c r="C111" s="1">
        <f>IFERROR(__xludf.DUMMYFUNCTION("""COMPUTED_VALUE"""),5274.0)</f>
        <v>5274</v>
      </c>
      <c r="D111" s="1"/>
      <c r="E111" s="112">
        <f>IFERROR(__xludf.DUMMYFUNCTION("""COMPUTED_VALUE"""),46290.64583333333)</f>
        <v>46290.64583</v>
      </c>
      <c r="F111" s="1">
        <f>IFERROR(__xludf.DUMMYFUNCTION("""COMPUTED_VALUE"""),1712.0)</f>
        <v>1712</v>
      </c>
      <c r="G111" s="1"/>
      <c r="H111" s="29">
        <f t="shared" si="4"/>
        <v>3.080607477</v>
      </c>
      <c r="I111" s="1">
        <f t="shared" si="5"/>
        <v>3562</v>
      </c>
      <c r="J111" s="113">
        <f t="shared" si="6"/>
        <v>-1.463024563</v>
      </c>
      <c r="K111" s="29">
        <f t="shared" si="7"/>
        <v>3.080607477</v>
      </c>
      <c r="L111" s="65">
        <f t="shared" si="8"/>
        <v>5261.475</v>
      </c>
      <c r="M111" s="25">
        <f t="shared" si="9"/>
        <v>0.002374857793</v>
      </c>
      <c r="N111" s="65">
        <f t="shared" si="10"/>
        <v>1683.66</v>
      </c>
      <c r="O111" s="25">
        <f t="shared" si="11"/>
        <v>0.01655373832</v>
      </c>
      <c r="P111" s="25">
        <f t="shared" si="12"/>
        <v>-0.01417888052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IFERROR(__xludf.DUMMYFUNCTION("""COMPUTED_VALUE"""),46293.64583333333)</f>
        <v>46293.64583</v>
      </c>
      <c r="C112" s="1">
        <f>IFERROR(__xludf.DUMMYFUNCTION("""COMPUTED_VALUE"""),5175.0)</f>
        <v>5175</v>
      </c>
      <c r="D112" s="1"/>
      <c r="E112" s="112">
        <f>IFERROR(__xludf.DUMMYFUNCTION("""COMPUTED_VALUE"""),46293.64583333333)</f>
        <v>46293.64583</v>
      </c>
      <c r="F112" s="1">
        <f>IFERROR(__xludf.DUMMYFUNCTION("""COMPUTED_VALUE"""),1697.5)</f>
        <v>1697.5</v>
      </c>
      <c r="G112" s="1"/>
      <c r="H112" s="29">
        <f t="shared" si="4"/>
        <v>3.048600884</v>
      </c>
      <c r="I112" s="1">
        <f t="shared" si="5"/>
        <v>3477.5</v>
      </c>
      <c r="J112" s="113">
        <f t="shared" si="6"/>
        <v>-1.879906531</v>
      </c>
      <c r="K112" s="29">
        <f t="shared" si="7"/>
        <v>3.048600884</v>
      </c>
      <c r="L112" s="65">
        <f t="shared" si="8"/>
        <v>5252.475</v>
      </c>
      <c r="M112" s="25">
        <f t="shared" si="9"/>
        <v>-0.01497101449</v>
      </c>
      <c r="N112" s="65">
        <f t="shared" si="10"/>
        <v>1686.27</v>
      </c>
      <c r="O112" s="25">
        <f t="shared" si="11"/>
        <v>0.006615611193</v>
      </c>
      <c r="P112" s="25">
        <f t="shared" si="12"/>
        <v>-0.02158662569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IFERROR(__xludf.DUMMYFUNCTION("""COMPUTED_VALUE"""),46294.64583333333)</f>
        <v>46294.64583</v>
      </c>
      <c r="C113" s="1">
        <f>IFERROR(__xludf.DUMMYFUNCTION("""COMPUTED_VALUE"""),5250.0)</f>
        <v>5250</v>
      </c>
      <c r="D113" s="1"/>
      <c r="E113" s="112">
        <f>IFERROR(__xludf.DUMMYFUNCTION("""COMPUTED_VALUE"""),46294.64583333333)</f>
        <v>46294.64583</v>
      </c>
      <c r="F113" s="1">
        <f>IFERROR(__xludf.DUMMYFUNCTION("""COMPUTED_VALUE"""),1697.7)</f>
        <v>1697.7</v>
      </c>
      <c r="G113" s="1"/>
      <c r="H113" s="29">
        <f t="shared" si="4"/>
        <v>3.092419155</v>
      </c>
      <c r="I113" s="1">
        <f t="shared" si="5"/>
        <v>3552.3</v>
      </c>
      <c r="J113" s="113">
        <f t="shared" si="6"/>
        <v>-1.510879653</v>
      </c>
      <c r="K113" s="29">
        <f t="shared" si="7"/>
        <v>3.092419155</v>
      </c>
      <c r="L113" s="65">
        <f t="shared" si="8"/>
        <v>5248.5</v>
      </c>
      <c r="M113" s="25">
        <f t="shared" si="9"/>
        <v>0.0002857142857</v>
      </c>
      <c r="N113" s="65">
        <f t="shared" si="10"/>
        <v>1685.305</v>
      </c>
      <c r="O113" s="25">
        <f t="shared" si="11"/>
        <v>0.007301054368</v>
      </c>
      <c r="P113" s="25">
        <f t="shared" si="12"/>
        <v>-0.007015340082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IFERROR(__xludf.DUMMYFUNCTION("""COMPUTED_VALUE"""),46295.64583333333)</f>
        <v>46295.64583</v>
      </c>
      <c r="C114" s="1">
        <f>IFERROR(__xludf.DUMMYFUNCTION("""COMPUTED_VALUE"""),5163.5)</f>
        <v>5163.5</v>
      </c>
      <c r="D114" s="1"/>
      <c r="E114" s="112">
        <f>IFERROR(__xludf.DUMMYFUNCTION("""COMPUTED_VALUE"""),46295.64583333333)</f>
        <v>46295.64583</v>
      </c>
      <c r="F114" s="1">
        <f>IFERROR(__xludf.DUMMYFUNCTION("""COMPUTED_VALUE"""),1672.0)</f>
        <v>1672</v>
      </c>
      <c r="G114" s="1"/>
      <c r="H114" s="29">
        <f t="shared" si="4"/>
        <v>3.088217703</v>
      </c>
      <c r="I114" s="1">
        <f t="shared" si="5"/>
        <v>3491.5</v>
      </c>
      <c r="J114" s="113">
        <f t="shared" si="6"/>
        <v>-1.81083733</v>
      </c>
      <c r="K114" s="29">
        <f t="shared" si="7"/>
        <v>3.088217703</v>
      </c>
      <c r="L114" s="65">
        <f t="shared" si="8"/>
        <v>5241.675</v>
      </c>
      <c r="M114" s="25">
        <f t="shared" si="9"/>
        <v>-0.01513992447</v>
      </c>
      <c r="N114" s="65">
        <f t="shared" si="10"/>
        <v>1684.74</v>
      </c>
      <c r="O114" s="25">
        <f t="shared" si="11"/>
        <v>-0.007619617225</v>
      </c>
      <c r="P114" s="25">
        <f t="shared" si="12"/>
        <v>-0.007520307245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IFERROR(__xludf.DUMMYFUNCTION("""COMPUTED_VALUE"""),46296.64583333333)</f>
        <v>46296.64583</v>
      </c>
      <c r="C115" s="1">
        <f>IFERROR(__xludf.DUMMYFUNCTION("""COMPUTED_VALUE"""),5220.0)</f>
        <v>5220</v>
      </c>
      <c r="D115" s="1"/>
      <c r="E115" s="112">
        <f>IFERROR(__xludf.DUMMYFUNCTION("""COMPUTED_VALUE"""),46296.64583333333)</f>
        <v>46296.64583</v>
      </c>
      <c r="F115" s="1">
        <f>IFERROR(__xludf.DUMMYFUNCTION("""COMPUTED_VALUE"""),1676.8)</f>
        <v>1676.8</v>
      </c>
      <c r="G115" s="1"/>
      <c r="H115" s="29">
        <f t="shared" si="4"/>
        <v>3.113072519</v>
      </c>
      <c r="I115" s="1">
        <f t="shared" si="5"/>
        <v>3543.2</v>
      </c>
      <c r="J115" s="113">
        <f t="shared" si="6"/>
        <v>-1.555774634</v>
      </c>
      <c r="K115" s="269">
        <f t="shared" ref="K115:K117" si="13">C116/F115</f>
        <v>3.096672233</v>
      </c>
      <c r="L115" s="65">
        <f t="shared" si="8"/>
        <v>5242.175</v>
      </c>
      <c r="M115" s="25">
        <f t="shared" si="9"/>
        <v>-0.004248084291</v>
      </c>
      <c r="N115" s="65">
        <f t="shared" si="10"/>
        <v>1686.17</v>
      </c>
      <c r="O115" s="25">
        <f t="shared" si="11"/>
        <v>-0.005588024809</v>
      </c>
      <c r="P115" s="25">
        <f t="shared" si="12"/>
        <v>0.001339940518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IFERROR(__xludf.DUMMYFUNCTION("""COMPUTED_VALUE"""),46300.64583333333)</f>
        <v>46300.64583</v>
      </c>
      <c r="C116" s="1">
        <f>IFERROR(__xludf.DUMMYFUNCTION("""COMPUTED_VALUE"""),5192.5)</f>
        <v>5192.5</v>
      </c>
      <c r="D116" s="1"/>
      <c r="E116" s="112">
        <f>IFERROR(__xludf.DUMMYFUNCTION("""COMPUTED_VALUE"""),46300.64583333333)</f>
        <v>46300.64583</v>
      </c>
      <c r="F116" s="1">
        <f>IFERROR(__xludf.DUMMYFUNCTION("""COMPUTED_VALUE"""),1674.9)</f>
        <v>1674.9</v>
      </c>
      <c r="G116" s="1"/>
      <c r="H116" s="29">
        <f t="shared" si="4"/>
        <v>3.100185086</v>
      </c>
      <c r="I116" s="1">
        <f t="shared" si="5"/>
        <v>3517.6</v>
      </c>
      <c r="J116" s="113">
        <f t="shared" si="6"/>
        <v>-1.682072603</v>
      </c>
      <c r="K116" s="269">
        <f t="shared" si="13"/>
        <v>3.159591617</v>
      </c>
      <c r="L116" s="65">
        <f t="shared" si="8"/>
        <v>5242.15</v>
      </c>
      <c r="M116" s="25">
        <f t="shared" si="9"/>
        <v>-0.009561868079</v>
      </c>
      <c r="N116" s="65">
        <f t="shared" si="10"/>
        <v>1688.05</v>
      </c>
      <c r="O116" s="25">
        <f t="shared" si="11"/>
        <v>-0.007851214998</v>
      </c>
      <c r="P116" s="25">
        <f t="shared" si="12"/>
        <v>-0.001710653081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IFERROR(__xludf.DUMMYFUNCTION("""COMPUTED_VALUE"""),46301.64583333333)</f>
        <v>46301.64583</v>
      </c>
      <c r="C117" s="1">
        <f>IFERROR(__xludf.DUMMYFUNCTION("""COMPUTED_VALUE"""),5292.0)</f>
        <v>5292</v>
      </c>
      <c r="D117" s="1"/>
      <c r="E117" s="112">
        <f>IFERROR(__xludf.DUMMYFUNCTION("""COMPUTED_VALUE"""),46301.64583333333)</f>
        <v>46301.64583</v>
      </c>
      <c r="F117" s="1">
        <f>IFERROR(__xludf.DUMMYFUNCTION("""COMPUTED_VALUE"""),1692.8)</f>
        <v>1692.8</v>
      </c>
      <c r="G117" s="1"/>
      <c r="H117" s="29">
        <f t="shared" si="4"/>
        <v>3.126181474</v>
      </c>
      <c r="I117" s="1">
        <f t="shared" si="5"/>
        <v>3599.2</v>
      </c>
      <c r="J117" s="113">
        <f t="shared" si="6"/>
        <v>-1.279497827</v>
      </c>
      <c r="K117" s="269">
        <f t="shared" si="13"/>
        <v>3.160739603</v>
      </c>
      <c r="L117" s="65">
        <f t="shared" si="8"/>
        <v>5247.25</v>
      </c>
      <c r="M117" s="25">
        <f t="shared" si="9"/>
        <v>0.008456160242</v>
      </c>
      <c r="N117" s="65">
        <f t="shared" si="10"/>
        <v>1690.035</v>
      </c>
      <c r="O117" s="25">
        <f t="shared" si="11"/>
        <v>0.001633388469</v>
      </c>
      <c r="P117" s="25">
        <f t="shared" si="12"/>
        <v>0.006822771773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IFERROR(__xludf.DUMMYFUNCTION("""COMPUTED_VALUE"""),46302.64583333333)</f>
        <v>46302.64583</v>
      </c>
      <c r="C118" s="1">
        <f>IFERROR(__xludf.DUMMYFUNCTION("""COMPUTED_VALUE"""),5350.5)</f>
        <v>5350.5</v>
      </c>
      <c r="D118" s="1"/>
      <c r="E118" s="112">
        <f>IFERROR(__xludf.DUMMYFUNCTION("""COMPUTED_VALUE"""),46302.64583333333)</f>
        <v>46302.64583</v>
      </c>
      <c r="F118" s="1">
        <f>IFERROR(__xludf.DUMMYFUNCTION("""COMPUTED_VALUE"""),1682.0)</f>
        <v>1682</v>
      </c>
      <c r="G118" s="1"/>
      <c r="H118" s="29">
        <f t="shared" si="4"/>
        <v>3.181034483</v>
      </c>
      <c r="I118" s="1">
        <f t="shared" si="5"/>
        <v>3668.5</v>
      </c>
      <c r="J118" s="113">
        <f t="shared" si="6"/>
        <v>-0.9376052783</v>
      </c>
      <c r="K118" s="269">
        <f t="shared" ref="K118:K119" si="14">C118/F118</f>
        <v>3.181034483</v>
      </c>
      <c r="L118" s="65">
        <f t="shared" si="8"/>
        <v>5252.65</v>
      </c>
      <c r="M118" s="25">
        <f t="shared" si="9"/>
        <v>0.01828801047</v>
      </c>
      <c r="N118" s="65">
        <f t="shared" si="10"/>
        <v>1691.135</v>
      </c>
      <c r="O118" s="25">
        <f t="shared" si="11"/>
        <v>-0.005431034483</v>
      </c>
      <c r="P118" s="25">
        <f t="shared" si="12"/>
        <v>0.02371904495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IFERROR(__xludf.DUMMYFUNCTION("""COMPUTED_VALUE"""),46303.64583333333)</f>
        <v>46303.64583</v>
      </c>
      <c r="C119" s="1">
        <f>IFERROR(__xludf.DUMMYFUNCTION("""COMPUTED_VALUE"""),5249.5)</f>
        <v>5249.5</v>
      </c>
      <c r="D119" s="1"/>
      <c r="E119" s="112">
        <f>IFERROR(__xludf.DUMMYFUNCTION("""COMPUTED_VALUE"""),46303.64583333333)</f>
        <v>46303.64583</v>
      </c>
      <c r="F119" s="1">
        <f>IFERROR(__xludf.DUMMYFUNCTION("""COMPUTED_VALUE"""),1645.0)</f>
        <v>1645</v>
      </c>
      <c r="G119" s="1"/>
      <c r="H119" s="29">
        <f t="shared" si="4"/>
        <v>3.19118541</v>
      </c>
      <c r="I119" s="1">
        <f t="shared" si="5"/>
        <v>3604.5</v>
      </c>
      <c r="J119" s="113">
        <f t="shared" si="6"/>
        <v>-1.253350201</v>
      </c>
      <c r="K119" s="269">
        <f t="shared" si="14"/>
        <v>3.19118541</v>
      </c>
      <c r="L119" s="65">
        <f t="shared" si="8"/>
        <v>5256.075</v>
      </c>
      <c r="M119" s="25">
        <f t="shared" si="9"/>
        <v>-0.001252500238</v>
      </c>
      <c r="N119" s="65"/>
      <c r="O119" s="2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12">
        <f>IFERROR(__xludf.DUMMYFUNCTION("""COMPUTED_VALUE"""),46304.64583333333)</f>
        <v>46304.64583</v>
      </c>
      <c r="C120" s="1">
        <f>IFERROR(__xludf.DUMMYFUNCTION("""COMPUTED_VALUE"""),5279.0)</f>
        <v>5279</v>
      </c>
      <c r="D120" s="1"/>
      <c r="E120" s="112">
        <f>IFERROR(__xludf.DUMMYFUNCTION("""COMPUTED_VALUE"""),46304.64583333333)</f>
        <v>46304.64583</v>
      </c>
      <c r="F120" s="1">
        <f>IFERROR(__xludf.DUMMYFUNCTION("""COMPUTED_VALUE"""),1693.0)</f>
        <v>1693</v>
      </c>
      <c r="G120" s="1"/>
      <c r="H120" s="179"/>
      <c r="I120" s="175"/>
      <c r="J120" s="176"/>
      <c r="K120" s="269"/>
      <c r="L120" s="65"/>
      <c r="M120" s="25"/>
      <c r="N120" s="65"/>
      <c r="O120" s="2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73"/>
      <c r="B121" s="174">
        <f>IFERROR(__xludf.DUMMYFUNCTION("""COMPUTED_VALUE"""),46307.64583333333)</f>
        <v>46307.64583</v>
      </c>
      <c r="C121" s="175">
        <f>IFERROR(__xludf.DUMMYFUNCTION("""COMPUTED_VALUE"""),5205.0)</f>
        <v>5205</v>
      </c>
      <c r="D121" s="175"/>
      <c r="E121" s="174">
        <f>IFERROR(__xludf.DUMMYFUNCTION("""COMPUTED_VALUE"""),46307.64583333333)</f>
        <v>46307.64583</v>
      </c>
      <c r="F121" s="175">
        <f>IFERROR(__xludf.DUMMYFUNCTION("""COMPUTED_VALUE"""),1706.9)</f>
        <v>1706.9</v>
      </c>
      <c r="G121" s="175"/>
      <c r="H121" s="179"/>
      <c r="I121" s="175"/>
      <c r="J121" s="176"/>
      <c r="K121" s="179"/>
      <c r="L121" s="177"/>
      <c r="M121" s="178"/>
      <c r="N121" s="177"/>
      <c r="O121" s="178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</row>
    <row r="122">
      <c r="A122" s="173"/>
      <c r="B122" s="174">
        <f>IFERROR(__xludf.DUMMYFUNCTION("""COMPUTED_VALUE"""),46308.64583333333)</f>
        <v>46308.64583</v>
      </c>
      <c r="C122" s="175">
        <f>IFERROR(__xludf.DUMMYFUNCTION("""COMPUTED_VALUE"""),5250.0)</f>
        <v>5250</v>
      </c>
      <c r="D122" s="175"/>
      <c r="E122" s="174">
        <f>IFERROR(__xludf.DUMMYFUNCTION("""COMPUTED_VALUE"""),46308.64583333333)</f>
        <v>46308.64583</v>
      </c>
      <c r="F122" s="175">
        <f>IFERROR(__xludf.DUMMYFUNCTION("""COMPUTED_VALUE"""),1684.6)</f>
        <v>1684.6</v>
      </c>
      <c r="G122" s="175"/>
      <c r="H122" s="179"/>
      <c r="I122" s="175"/>
      <c r="J122" s="176"/>
      <c r="K122" s="179"/>
      <c r="L122" s="177"/>
      <c r="M122" s="178"/>
      <c r="N122" s="177"/>
      <c r="O122" s="178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</row>
    <row r="123">
      <c r="A123" s="173"/>
      <c r="B123" s="174">
        <f>IFERROR(__xludf.DUMMYFUNCTION("""COMPUTED_VALUE"""),46309.64583333333)</f>
        <v>46309.64583</v>
      </c>
      <c r="C123" s="175">
        <f>IFERROR(__xludf.DUMMYFUNCTION("""COMPUTED_VALUE"""),5201.0)</f>
        <v>5201</v>
      </c>
      <c r="D123" s="175"/>
      <c r="E123" s="174">
        <f>IFERROR(__xludf.DUMMYFUNCTION("""COMPUTED_VALUE"""),46309.64583333333)</f>
        <v>46309.64583</v>
      </c>
      <c r="F123" s="175">
        <f>IFERROR(__xludf.DUMMYFUNCTION("""COMPUTED_VALUE"""),1662.9)</f>
        <v>1662.9</v>
      </c>
      <c r="G123" s="175"/>
      <c r="H123" s="179"/>
      <c r="I123" s="175"/>
      <c r="J123" s="176"/>
      <c r="K123" s="179"/>
      <c r="L123" s="177"/>
      <c r="M123" s="178"/>
      <c r="N123" s="177"/>
      <c r="O123" s="178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</row>
    <row r="124">
      <c r="A124" s="173"/>
      <c r="B124" s="174">
        <f>IFERROR(__xludf.DUMMYFUNCTION("""COMPUTED_VALUE"""),46310.64583333333)</f>
        <v>46310.64583</v>
      </c>
      <c r="C124" s="175">
        <f>IFERROR(__xludf.DUMMYFUNCTION("""COMPUTED_VALUE"""),5120.5)</f>
        <v>5120.5</v>
      </c>
      <c r="D124" s="175"/>
      <c r="E124" s="174">
        <f>IFERROR(__xludf.DUMMYFUNCTION("""COMPUTED_VALUE"""),46310.64583333333)</f>
        <v>46310.64583</v>
      </c>
      <c r="F124" s="175">
        <f>IFERROR(__xludf.DUMMYFUNCTION("""COMPUTED_VALUE"""),1677.9)</f>
        <v>1677.9</v>
      </c>
      <c r="G124" s="175"/>
      <c r="H124" s="179"/>
      <c r="I124" s="175"/>
      <c r="J124" s="176"/>
      <c r="K124" s="179"/>
      <c r="L124" s="177"/>
      <c r="M124" s="178"/>
      <c r="N124" s="177"/>
      <c r="O124" s="178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</row>
    <row r="125">
      <c r="B125" s="166">
        <f>IFERROR(__xludf.DUMMYFUNCTION("""COMPUTED_VALUE"""),46311.64583333333)</f>
        <v>46311.64583</v>
      </c>
      <c r="C125" s="230">
        <f>IFERROR(__xludf.DUMMYFUNCTION("""COMPUTED_VALUE"""),5050.0)</f>
        <v>5050</v>
      </c>
      <c r="E125" s="166">
        <f>IFERROR(__xludf.DUMMYFUNCTION("""COMPUTED_VALUE"""),46311.64583333333)</f>
        <v>46311.64583</v>
      </c>
      <c r="F125" s="230">
        <f>IFERROR(__xludf.DUMMYFUNCTION("""COMPUTED_VALUE"""),1666.9)</f>
        <v>1666.9</v>
      </c>
    </row>
    <row r="129">
      <c r="A129" s="173" t="s">
        <v>9</v>
      </c>
      <c r="B129" s="174">
        <f>IFERROR(__xludf.DUMMYFUNCTION("GOOGLEFINANCE(B9,""TRADETIME"")"),46311.64583333333)</f>
        <v>46311.64583</v>
      </c>
      <c r="C129" s="175">
        <f>IFERROR(__xludf.DUMMYFUNCTION("GOOGLEFINANCE(B9,""PRICE"")"),5050.0)</f>
        <v>5050</v>
      </c>
      <c r="D129" s="175"/>
      <c r="E129" s="174">
        <f>IFERROR(__xludf.DUMMYFUNCTION("GOOGLEFINANCE(E9,""TRADETIME"")"),46311.64583333333)</f>
        <v>46311.64583</v>
      </c>
      <c r="F129" s="175">
        <f>IFERROR(__xludf.DUMMYFUNCTION("GOOGLEFINANCE(E9,""PRICE"")"),1666.9)</f>
        <v>1666.9</v>
      </c>
      <c r="G129" s="175"/>
      <c r="H129" s="179">
        <f>C129/F129</f>
        <v>3.029575859</v>
      </c>
      <c r="I129" s="175">
        <f>C129-F129</f>
        <v>3383.1</v>
      </c>
      <c r="J129" s="176">
        <f>((I129-$I$131)/$I$132)</f>
        <v>-2.345630292</v>
      </c>
      <c r="K129" s="179">
        <f>C129/F129</f>
        <v>3.029575859</v>
      </c>
      <c r="L129" s="177">
        <f>AVERAGE(C73:C109)</f>
        <v>5369.054054</v>
      </c>
      <c r="M129" s="178">
        <f>(C129-L129)/C129</f>
        <v>-0.0631790206</v>
      </c>
      <c r="N129" s="177">
        <f>AVERAGE(F73:F109)</f>
        <v>1651.794595</v>
      </c>
      <c r="O129" s="178">
        <f>(F129-N129)/F129</f>
        <v>0.009061974567</v>
      </c>
      <c r="P129" s="178">
        <f>M129-O129</f>
        <v>-0.07224099517</v>
      </c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</row>
    <row r="131">
      <c r="A131" s="1"/>
      <c r="B131" s="1"/>
      <c r="C131" s="1"/>
      <c r="D131" s="1"/>
      <c r="E131" s="1"/>
      <c r="F131" s="1"/>
      <c r="G131" s="1"/>
      <c r="H131" s="96" t="s">
        <v>138</v>
      </c>
      <c r="I131" s="177">
        <f>AVERAGE(I11:I118)</f>
        <v>3858.548148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96" t="s">
        <v>139</v>
      </c>
      <c r="I132" s="189">
        <f>_xlfn.STDEV.P(I11:I117)</f>
        <v>202.6952627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88"/>
    <col customWidth="1" min="5" max="5" width="20.63"/>
    <col customWidth="1" min="7" max="7" width="17.5"/>
    <col customWidth="1" min="8" max="11" width="13.38"/>
    <col customWidth="1" min="12" max="12" width="19.38"/>
    <col customWidth="1" min="13" max="13" width="20.5"/>
    <col customWidth="1" min="14" max="14" width="15.38"/>
    <col customWidth="1" min="15" max="15" width="21.63"/>
    <col customWidth="1" min="16" max="16" width="16.0"/>
    <col customWidth="1" min="18" max="18" width="20.88"/>
    <col customWidth="1" min="19" max="19" width="18.88"/>
    <col customWidth="1" min="20" max="20" width="26.0"/>
    <col customWidth="1" min="21" max="21" width="18.5"/>
    <col customWidth="1" min="24" max="24" width="13.38"/>
  </cols>
  <sheetData>
    <row r="1">
      <c r="A1" s="1"/>
      <c r="B1" s="2" t="s">
        <v>0</v>
      </c>
      <c r="C1" s="4">
        <f>AVERAGE(C98:C118)</f>
        <v>485.3833333</v>
      </c>
      <c r="D1" s="1"/>
      <c r="E1" s="2" t="s">
        <v>0</v>
      </c>
      <c r="F1" s="4">
        <f>AVERAGE(F98:F118)</f>
        <v>549.6928571</v>
      </c>
      <c r="G1" s="1">
        <f>STDEV(F74:F93)</f>
        <v>7.463688854</v>
      </c>
      <c r="H1" s="1"/>
      <c r="I1" s="1"/>
      <c r="J1" s="1"/>
      <c r="K1" s="1"/>
      <c r="L1" s="1"/>
      <c r="M1" s="1"/>
      <c r="N1" s="1"/>
      <c r="O1" s="1"/>
      <c r="P1" s="7" t="s">
        <v>1</v>
      </c>
      <c r="Q1" s="7" t="s">
        <v>2</v>
      </c>
      <c r="R1" s="7" t="s">
        <v>3</v>
      </c>
      <c r="S1" s="9"/>
      <c r="T1" s="7" t="s">
        <v>5</v>
      </c>
      <c r="U1" s="7" t="s">
        <v>29</v>
      </c>
      <c r="V1" s="7" t="s">
        <v>31</v>
      </c>
      <c r="W1" s="7" t="s">
        <v>11</v>
      </c>
      <c r="X1" s="13" t="s">
        <v>12</v>
      </c>
      <c r="Y1" s="1"/>
      <c r="Z1" s="1"/>
      <c r="AA1" s="1"/>
      <c r="AB1" s="1"/>
      <c r="AC1" s="1"/>
    </row>
    <row r="2">
      <c r="A2" s="1"/>
      <c r="B2" s="17" t="s">
        <v>20</v>
      </c>
      <c r="C2" s="19">
        <f>AVERAGE(C18:C88)</f>
        <v>484.2408451</v>
      </c>
      <c r="D2" s="1"/>
      <c r="E2" s="17" t="s">
        <v>20</v>
      </c>
      <c r="F2" s="19">
        <f>AVERAGE(F88:F118)</f>
        <v>558.5209677</v>
      </c>
      <c r="G2" s="1"/>
      <c r="H2" s="1"/>
      <c r="I2" s="1"/>
      <c r="J2" s="1"/>
      <c r="K2" s="1"/>
      <c r="L2" s="1"/>
      <c r="M2" s="7" t="s">
        <v>23</v>
      </c>
      <c r="N2" s="25">
        <f>CORREL(C88:C118,F88:F118)</f>
        <v>0.59040994</v>
      </c>
      <c r="O2" s="7" t="s">
        <v>25</v>
      </c>
      <c r="P2" s="29">
        <f>AVERAGE(K88:K117)</f>
        <v>0.8911601867</v>
      </c>
      <c r="Q2" s="29">
        <f>MAX(K88:K117)</f>
        <v>0.9640859582</v>
      </c>
      <c r="R2" s="29">
        <f>MIN(K88:K117)</f>
        <v>0.8357703281</v>
      </c>
      <c r="S2" s="40">
        <f t="shared" ref="S2:S5" si="1">Q2-R2</f>
        <v>0.1283156301</v>
      </c>
      <c r="T2" s="1">
        <f>MATCH(MAX(K11:K116), K11:K116, 0)</f>
        <v>106</v>
      </c>
      <c r="U2" s="1">
        <f t="array" ref="U2">INDEX(C11:C116, MATCH(MAX(K11:K116), K11:K116, 0))</f>
        <v>470.85</v>
      </c>
      <c r="V2" s="1">
        <f t="array" ref="V2">INDEX(F11:F116, MATCH(MAX(K11:K116), K11:K116, 0))</f>
        <v>502.5</v>
      </c>
      <c r="W2" s="54">
        <f t="shared" ref="W2:W3" si="2">U2/V2</f>
        <v>0.9370149254</v>
      </c>
      <c r="X2" s="7" t="s">
        <v>2</v>
      </c>
      <c r="Y2" s="1"/>
      <c r="Z2" s="1"/>
      <c r="AA2" s="1"/>
      <c r="AB2" s="1"/>
      <c r="AC2" s="1"/>
    </row>
    <row r="3">
      <c r="A3" s="1">
        <f>STDEV(C75:C93)</f>
        <v>17.02099409</v>
      </c>
      <c r="B3" s="58" t="s">
        <v>61</v>
      </c>
      <c r="C3" s="61">
        <f>max(C98:C118)</f>
        <v>504.05</v>
      </c>
      <c r="D3" s="65">
        <f>C1+A3*2</f>
        <v>519.4253215</v>
      </c>
      <c r="E3" s="58" t="s">
        <v>61</v>
      </c>
      <c r="F3" s="61">
        <f>max(F98:F118)</f>
        <v>580</v>
      </c>
      <c r="G3" s="65">
        <f>F1+G1*2</f>
        <v>564.6202349</v>
      </c>
      <c r="H3" s="1"/>
      <c r="I3" s="1"/>
      <c r="J3" s="1"/>
      <c r="K3" s="1"/>
      <c r="L3" s="1"/>
      <c r="M3" s="7" t="s">
        <v>64</v>
      </c>
      <c r="N3" s="25">
        <f>CORREL(C58:C118,F58:F118)</f>
        <v>0.1133288497</v>
      </c>
      <c r="O3" s="7" t="s">
        <v>67</v>
      </c>
      <c r="P3" s="29">
        <f>AVERAGE((K58:K117))</f>
        <v>0.8712648887</v>
      </c>
      <c r="Q3" s="29">
        <f>MAX(K58:K117)</f>
        <v>0.9640859582</v>
      </c>
      <c r="R3" s="29">
        <f>MIN(K58:K117)</f>
        <v>0.7851612903</v>
      </c>
      <c r="S3" s="40">
        <f t="shared" si="1"/>
        <v>0.1789246679</v>
      </c>
      <c r="T3" s="1">
        <f>MATCH(Min(K11:K116), K11:K116, 0)</f>
        <v>24</v>
      </c>
      <c r="U3" s="1">
        <f t="array" ref="U3">INDEX(C11:C116, MATCH(Min(K11:K116), K11:K116, 0))</f>
        <v>432.55</v>
      </c>
      <c r="V3" s="1">
        <f t="array" ref="V3">INDEX(F11:F116, MATCH(MIN(K11:K116), K11:K116, 0))</f>
        <v>624.95</v>
      </c>
      <c r="W3" s="54">
        <f t="shared" si="2"/>
        <v>0.6921353708</v>
      </c>
      <c r="X3" s="7" t="s">
        <v>3</v>
      </c>
      <c r="Y3" s="1"/>
      <c r="Z3" s="1"/>
      <c r="AA3" s="1"/>
      <c r="AB3" s="1"/>
      <c r="AC3" s="1"/>
    </row>
    <row r="4">
      <c r="A4" s="1"/>
      <c r="B4" s="58" t="s">
        <v>73</v>
      </c>
      <c r="C4" s="61">
        <f>MIN(C98:C118)</f>
        <v>465.1</v>
      </c>
      <c r="D4" s="65">
        <f>C1-A3*2</f>
        <v>451.3413452</v>
      </c>
      <c r="E4" s="58" t="s">
        <v>73</v>
      </c>
      <c r="F4" s="61">
        <f>MIN(F98:F118)</f>
        <v>495</v>
      </c>
      <c r="G4" s="65">
        <f>F1-G1*2</f>
        <v>534.7654794</v>
      </c>
      <c r="H4" s="1"/>
      <c r="I4" s="1"/>
      <c r="J4" s="1"/>
      <c r="K4" s="1"/>
      <c r="L4" s="1"/>
      <c r="M4" s="7" t="s">
        <v>77</v>
      </c>
      <c r="N4" s="25">
        <f>CORREL(C28:C118,F28:F118)</f>
        <v>-0.2555591142</v>
      </c>
      <c r="O4" s="7" t="s">
        <v>79</v>
      </c>
      <c r="P4" s="29">
        <f>AVERAGE(K28:K117)</f>
        <v>0.8377924921</v>
      </c>
      <c r="Q4" s="29">
        <f>MAX(K28:K117)</f>
        <v>0.9640859582</v>
      </c>
      <c r="R4" s="29">
        <f>MIN(K28:K117)</f>
        <v>0.6921353708</v>
      </c>
      <c r="S4" s="40">
        <f t="shared" si="1"/>
        <v>0.2719505874</v>
      </c>
      <c r="T4" s="1"/>
      <c r="U4" s="1"/>
      <c r="V4" s="1"/>
      <c r="W4" s="54"/>
      <c r="X4" s="1"/>
      <c r="Y4" s="1"/>
      <c r="Z4" s="1"/>
      <c r="AA4" s="1"/>
      <c r="AB4" s="1"/>
      <c r="AC4" s="1"/>
    </row>
    <row r="5">
      <c r="A5" s="1"/>
      <c r="B5" s="58" t="s">
        <v>81</v>
      </c>
      <c r="C5" s="61">
        <f>max(C108:C118)</f>
        <v>496</v>
      </c>
      <c r="D5" s="65">
        <f>C1+A3</f>
        <v>502.4043274</v>
      </c>
      <c r="E5" s="58" t="s">
        <v>81</v>
      </c>
      <c r="F5" s="61">
        <f>max(F108:F118)</f>
        <v>559.9</v>
      </c>
      <c r="G5" s="65">
        <f>F1+G1</f>
        <v>557.156546</v>
      </c>
      <c r="H5" s="1"/>
      <c r="I5" s="1"/>
      <c r="J5" s="1"/>
      <c r="K5" s="1"/>
      <c r="L5" s="1"/>
      <c r="M5" s="7" t="s">
        <v>82</v>
      </c>
      <c r="N5" s="25">
        <f>CORREL(C11:C118,F11:F118)</f>
        <v>-0.2669501175</v>
      </c>
      <c r="O5" s="7" t="s">
        <v>83</v>
      </c>
      <c r="P5" s="29">
        <f>AVERAGE(K11:K117)</f>
        <v>0.823146628</v>
      </c>
      <c r="Q5" s="29">
        <f>MAX(K11:K117)</f>
        <v>0.9640859582</v>
      </c>
      <c r="R5" s="29">
        <f>MIN(K11:K117)</f>
        <v>0.6921353708</v>
      </c>
      <c r="S5" s="40">
        <f t="shared" si="1"/>
        <v>0.2719505874</v>
      </c>
      <c r="T5" s="96" t="s">
        <v>206</v>
      </c>
      <c r="U5" s="96" t="str">
        <f t="shared" ref="U5:U6" si="3">#REF!</f>
        <v>#REF!</v>
      </c>
      <c r="V5" s="99" t="str">
        <f>U2*U7*U5</f>
        <v>#REF!</v>
      </c>
      <c r="W5" s="109" t="str">
        <f>V2*U6*U8</f>
        <v>#REF!</v>
      </c>
      <c r="X5" s="99"/>
      <c r="Y5" s="1"/>
      <c r="Z5" s="1"/>
      <c r="AA5" s="1"/>
      <c r="AB5" s="1"/>
      <c r="AC5" s="1"/>
    </row>
    <row r="6">
      <c r="A6" s="1"/>
      <c r="B6" s="58" t="s">
        <v>87</v>
      </c>
      <c r="C6" s="61">
        <f>MIN(C108:C118)</f>
        <v>465.1</v>
      </c>
      <c r="D6" s="65">
        <f>C1-A3</f>
        <v>468.3623392</v>
      </c>
      <c r="E6" s="58" t="s">
        <v>87</v>
      </c>
      <c r="F6" s="61">
        <f>MIN(F108:F118)</f>
        <v>495</v>
      </c>
      <c r="G6" s="65">
        <f>F1-G1</f>
        <v>542.2291683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  <c r="T6" s="96" t="s">
        <v>207</v>
      </c>
      <c r="U6" s="96" t="str">
        <f t="shared" si="3"/>
        <v>#REF!</v>
      </c>
      <c r="V6" s="99" t="str">
        <f>U3*U5*U7</f>
        <v>#REF!</v>
      </c>
      <c r="W6" s="99" t="str">
        <f>V3*U6*U8</f>
        <v>#REF!</v>
      </c>
      <c r="X6" s="99"/>
      <c r="Y6" s="109"/>
      <c r="Z6" s="1"/>
      <c r="AA6" s="1"/>
      <c r="AB6" s="1"/>
      <c r="AC6" s="1"/>
    </row>
    <row r="7">
      <c r="A7" s="1"/>
      <c r="B7" s="7" t="s">
        <v>88</v>
      </c>
      <c r="C7" s="1">
        <f>max(C88:C118)</f>
        <v>543.15</v>
      </c>
      <c r="D7" s="1"/>
      <c r="E7" s="7" t="s">
        <v>88</v>
      </c>
      <c r="F7" s="1">
        <f>max(F88:F118)</f>
        <v>589.3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  <c r="T7" s="96" t="s">
        <v>206</v>
      </c>
      <c r="U7" s="7">
        <v>2000.0</v>
      </c>
      <c r="V7" s="1"/>
      <c r="W7" s="1"/>
      <c r="X7" s="1"/>
      <c r="Y7" s="1"/>
      <c r="Z7" s="1"/>
      <c r="AA7" s="1"/>
      <c r="AB7" s="1"/>
      <c r="AC7" s="1"/>
    </row>
    <row r="8">
      <c r="A8" s="1"/>
      <c r="B8" s="58" t="s">
        <v>90</v>
      </c>
      <c r="C8" s="107">
        <f>AVERAGE(C98:C118)</f>
        <v>485.3833333</v>
      </c>
      <c r="D8" s="1"/>
      <c r="E8" s="58" t="s">
        <v>90</v>
      </c>
      <c r="F8" s="107">
        <f>AVERAGE(F98:F118)</f>
        <v>549.6928571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  <c r="T8" s="96" t="s">
        <v>207</v>
      </c>
      <c r="U8" s="7">
        <v>1300.0</v>
      </c>
      <c r="V8" s="1"/>
      <c r="W8" s="1"/>
      <c r="X8" s="1"/>
      <c r="Y8" s="1"/>
      <c r="Z8" s="1"/>
      <c r="AA8" s="1"/>
      <c r="AB8" s="1"/>
      <c r="AC8" s="1"/>
    </row>
    <row r="9">
      <c r="A9" s="1"/>
      <c r="B9" s="13" t="s">
        <v>208</v>
      </c>
      <c r="C9" s="1"/>
      <c r="D9" s="1"/>
      <c r="E9" s="13" t="s">
        <v>209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1" t="str">
        <f>IFERROR(__xludf.DUMMYFUNCTION("GOOGLEFINANCE(B9,""price"",TODAY()-165,TODAY())"),"Date")</f>
        <v>Date</v>
      </c>
      <c r="C10" s="1" t="str">
        <f>IFERROR(__xludf.DUMMYFUNCTION("""COMPUTED_VALUE"""),"Close")</f>
        <v>Close</v>
      </c>
      <c r="D10" s="1"/>
      <c r="E10" s="1" t="str">
        <f>IFERROR(__xludf.DUMMYFUNCTION("GOOGLEFINANCE(E9,""price"",TODAY()-165,TODAY())"),"Date")</f>
        <v>Date</v>
      </c>
      <c r="F10" s="1" t="str">
        <f>IFERROR(__xludf.DUMMYFUNCTION("""COMPUTED_VALUE"""),"Close")</f>
        <v>Close</v>
      </c>
      <c r="G10" s="1"/>
      <c r="H10" s="7" t="s">
        <v>92</v>
      </c>
      <c r="I10" s="7" t="s">
        <v>93</v>
      </c>
      <c r="J10" s="7" t="s">
        <v>94</v>
      </c>
      <c r="K10" s="7" t="s">
        <v>92</v>
      </c>
      <c r="L10" s="7" t="s">
        <v>210</v>
      </c>
      <c r="M10" s="7" t="s">
        <v>211</v>
      </c>
      <c r="N10" s="7" t="s">
        <v>212</v>
      </c>
      <c r="O10" s="7" t="s">
        <v>213</v>
      </c>
      <c r="P10" s="7" t="s">
        <v>99</v>
      </c>
      <c r="Q10" s="1"/>
      <c r="R10" s="1"/>
      <c r="S10" s="9"/>
      <c r="T10" s="1"/>
      <c r="U10" s="1"/>
      <c r="V10" s="1"/>
      <c r="W10" s="1"/>
      <c r="X10" s="1"/>
      <c r="Y10" s="110" t="s">
        <v>1</v>
      </c>
      <c r="Z10" s="111" t="s">
        <v>29</v>
      </c>
      <c r="AA10" s="111" t="s">
        <v>110</v>
      </c>
      <c r="AB10" s="1"/>
      <c r="AC10" s="1"/>
    </row>
    <row r="11">
      <c r="A11" s="1"/>
      <c r="B11" s="112">
        <f>IFERROR(__xludf.DUMMYFUNCTION("""COMPUTED_VALUE"""),46147.64583333333)</f>
        <v>46147.64583</v>
      </c>
      <c r="C11" s="1">
        <f>IFERROR(__xludf.DUMMYFUNCTION("""COMPUTED_VALUE"""),488.0)</f>
        <v>488</v>
      </c>
      <c r="D11" s="1"/>
      <c r="E11" s="112">
        <f>IFERROR(__xludf.DUMMYFUNCTION("""COMPUTED_VALUE"""),46147.64583333333)</f>
        <v>46147.64583</v>
      </c>
      <c r="F11" s="1">
        <f>IFERROR(__xludf.DUMMYFUNCTION("""COMPUTED_VALUE"""),642.05)</f>
        <v>642.05</v>
      </c>
      <c r="G11" s="1"/>
      <c r="H11" s="29">
        <f t="shared" ref="H11:H118" si="4">C11/F11</f>
        <v>0.7600654155</v>
      </c>
      <c r="I11" s="1">
        <f t="shared" ref="I11:I118" si="5">C11-F11</f>
        <v>-154.05</v>
      </c>
      <c r="J11" s="113">
        <f t="shared" ref="J11:J118" si="6">((I11-$I$131)/$I$132)</f>
        <v>-1.015187105</v>
      </c>
      <c r="K11" s="29">
        <f t="shared" ref="K11:K114" si="7">C11/F11</f>
        <v>0.7600654155</v>
      </c>
      <c r="L11" s="1"/>
      <c r="M11" s="1"/>
      <c r="N11" s="1"/>
      <c r="O11" s="1"/>
      <c r="P11" s="1"/>
      <c r="Q11" s="1"/>
      <c r="R11" s="1"/>
      <c r="S11" s="9"/>
      <c r="T11" s="1"/>
      <c r="U11" s="1"/>
      <c r="V11" s="1" t="str">
        <f>V5-V6</f>
        <v>#REF!</v>
      </c>
      <c r="W11" s="120" t="str">
        <f>W6-W5</f>
        <v>#REF!</v>
      </c>
      <c r="X11" s="99" t="str">
        <f>V11+W11</f>
        <v>#REF!</v>
      </c>
      <c r="Y11" s="110" t="s">
        <v>101</v>
      </c>
      <c r="Z11" s="115">
        <f>AVERAGE(C88,C118)</f>
        <v>517.2</v>
      </c>
      <c r="AA11" s="115">
        <f>AVERAGE(F88,F118)</f>
        <v>533.45</v>
      </c>
      <c r="AB11" s="1"/>
      <c r="AC11" s="1"/>
    </row>
    <row r="12">
      <c r="A12" s="1"/>
      <c r="B12" s="112">
        <f>IFERROR(__xludf.DUMMYFUNCTION("""COMPUTED_VALUE"""),46148.64583333333)</f>
        <v>46148.64583</v>
      </c>
      <c r="C12" s="1">
        <f>IFERROR(__xludf.DUMMYFUNCTION("""COMPUTED_VALUE"""),497.85)</f>
        <v>497.85</v>
      </c>
      <c r="D12" s="1"/>
      <c r="E12" s="112">
        <f>IFERROR(__xludf.DUMMYFUNCTION("""COMPUTED_VALUE"""),46148.64583333333)</f>
        <v>46148.64583</v>
      </c>
      <c r="F12" s="1">
        <f>IFERROR(__xludf.DUMMYFUNCTION("""COMPUTED_VALUE"""),660.0)</f>
        <v>660</v>
      </c>
      <c r="G12" s="1"/>
      <c r="H12" s="29">
        <f t="shared" si="4"/>
        <v>0.7543181818</v>
      </c>
      <c r="I12" s="1">
        <f t="shared" si="5"/>
        <v>-162.15</v>
      </c>
      <c r="J12" s="113">
        <f t="shared" si="6"/>
        <v>-1.188350479</v>
      </c>
      <c r="K12" s="29">
        <f t="shared" si="7"/>
        <v>0.7543181818</v>
      </c>
      <c r="L12" s="1"/>
      <c r="M12" s="1"/>
      <c r="N12" s="1"/>
      <c r="O12" s="1"/>
      <c r="P12" s="1"/>
      <c r="Q12" s="1"/>
      <c r="R12" s="1"/>
      <c r="S12" s="9"/>
      <c r="T12" s="7" t="s">
        <v>103</v>
      </c>
      <c r="U12" s="116">
        <f>S2/3</f>
        <v>0.0427718767</v>
      </c>
      <c r="V12" s="1"/>
      <c r="W12" s="1"/>
      <c r="X12" s="1"/>
      <c r="Y12" s="110" t="s">
        <v>104</v>
      </c>
      <c r="Z12" s="115">
        <f>AVERAGE(C58,C118)</f>
        <v>487.775</v>
      </c>
      <c r="AA12" s="115">
        <f>AVERAGE(F58,F118)</f>
        <v>543.375</v>
      </c>
      <c r="AB12" s="1"/>
      <c r="AC12" s="1"/>
    </row>
    <row r="13">
      <c r="A13" s="1"/>
      <c r="B13" s="112">
        <f>IFERROR(__xludf.DUMMYFUNCTION("""COMPUTED_VALUE"""),46149.64583333333)</f>
        <v>46149.64583</v>
      </c>
      <c r="C13" s="1">
        <f>IFERROR(__xludf.DUMMYFUNCTION("""COMPUTED_VALUE"""),488.15)</f>
        <v>488.15</v>
      </c>
      <c r="D13" s="1"/>
      <c r="E13" s="112">
        <f>IFERROR(__xludf.DUMMYFUNCTION("""COMPUTED_VALUE"""),46149.64583333333)</f>
        <v>46149.64583</v>
      </c>
      <c r="F13" s="1">
        <f>IFERROR(__xludf.DUMMYFUNCTION("""COMPUTED_VALUE"""),650.45)</f>
        <v>650.45</v>
      </c>
      <c r="G13" s="1"/>
      <c r="H13" s="29">
        <f t="shared" si="4"/>
        <v>0.7504804366</v>
      </c>
      <c r="I13" s="1">
        <f t="shared" si="5"/>
        <v>-162.3</v>
      </c>
      <c r="J13" s="113">
        <f t="shared" si="6"/>
        <v>-1.191557209</v>
      </c>
      <c r="K13" s="29">
        <f t="shared" si="7"/>
        <v>0.7504804366</v>
      </c>
      <c r="L13" s="1"/>
      <c r="M13" s="1"/>
      <c r="N13" s="1"/>
      <c r="O13" s="25"/>
      <c r="P13" s="1"/>
      <c r="Q13" s="1"/>
      <c r="R13" s="1"/>
      <c r="S13" s="9"/>
      <c r="T13" s="117"/>
      <c r="U13" s="118" t="str">
        <f>(X11*U12)/S2</f>
        <v>#REF!</v>
      </c>
      <c r="V13" s="117"/>
      <c r="W13" s="117"/>
      <c r="X13" s="119" t="str">
        <f>X11/(R2/U12)</f>
        <v>#REF!</v>
      </c>
      <c r="Y13" s="110" t="s">
        <v>105</v>
      </c>
      <c r="Z13" s="115">
        <f>AVERAGE(C28,C118)</f>
        <v>483.125</v>
      </c>
      <c r="AA13" s="115">
        <f>AVERAGE(F28,F118)</f>
        <v>569.9</v>
      </c>
      <c r="AB13" s="1"/>
      <c r="AC13" s="1"/>
    </row>
    <row r="14">
      <c r="A14" s="1"/>
      <c r="B14" s="112">
        <f>IFERROR(__xludf.DUMMYFUNCTION("""COMPUTED_VALUE"""),46150.64583333333)</f>
        <v>46150.64583</v>
      </c>
      <c r="C14" s="1">
        <f>IFERROR(__xludf.DUMMYFUNCTION("""COMPUTED_VALUE"""),485.45)</f>
        <v>485.45</v>
      </c>
      <c r="D14" s="1"/>
      <c r="E14" s="112">
        <f>IFERROR(__xludf.DUMMYFUNCTION("""COMPUTED_VALUE"""),46150.64583333333)</f>
        <v>46150.64583</v>
      </c>
      <c r="F14" s="1">
        <f>IFERROR(__xludf.DUMMYFUNCTION("""COMPUTED_VALUE"""),646.0)</f>
        <v>646</v>
      </c>
      <c r="G14" s="1"/>
      <c r="H14" s="29">
        <f t="shared" si="4"/>
        <v>0.7514705882</v>
      </c>
      <c r="I14" s="1">
        <f t="shared" si="5"/>
        <v>-160.55</v>
      </c>
      <c r="J14" s="113">
        <f t="shared" si="6"/>
        <v>-1.154145368</v>
      </c>
      <c r="K14" s="29">
        <f t="shared" si="7"/>
        <v>0.7514705882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3"/>
      <c r="Z14" s="1"/>
      <c r="AA14" s="1"/>
      <c r="AB14" s="1"/>
      <c r="AC14" s="1"/>
    </row>
    <row r="15">
      <c r="A15" s="1"/>
      <c r="B15" s="112">
        <f>IFERROR(__xludf.DUMMYFUNCTION("""COMPUTED_VALUE"""),46153.64583333333)</f>
        <v>46153.64583</v>
      </c>
      <c r="C15" s="1">
        <f>IFERROR(__xludf.DUMMYFUNCTION("""COMPUTED_VALUE"""),487.45)</f>
        <v>487.45</v>
      </c>
      <c r="D15" s="1"/>
      <c r="E15" s="112">
        <f>IFERROR(__xludf.DUMMYFUNCTION("""COMPUTED_VALUE"""),46153.64583333333)</f>
        <v>46153.64583</v>
      </c>
      <c r="F15" s="1">
        <f>IFERROR(__xludf.DUMMYFUNCTION("""COMPUTED_VALUE"""),669.0)</f>
        <v>669</v>
      </c>
      <c r="G15" s="1"/>
      <c r="H15" s="29">
        <f t="shared" si="4"/>
        <v>0.7286248132</v>
      </c>
      <c r="I15" s="1">
        <f t="shared" si="5"/>
        <v>-181.55</v>
      </c>
      <c r="J15" s="113">
        <f t="shared" si="6"/>
        <v>-1.603087449</v>
      </c>
      <c r="K15" s="29">
        <f t="shared" si="7"/>
        <v>0.7286248132</v>
      </c>
      <c r="L15" s="1"/>
      <c r="M15" s="1"/>
      <c r="N15" s="1"/>
      <c r="O15" s="1"/>
      <c r="P15" s="1"/>
      <c r="Q15" s="1"/>
      <c r="R15" s="1"/>
      <c r="S15" s="123"/>
      <c r="T15" s="123"/>
      <c r="U15" s="123"/>
      <c r="V15" s="123"/>
      <c r="W15" s="123"/>
      <c r="X15" s="123"/>
      <c r="Y15" s="123"/>
      <c r="Z15" s="1"/>
      <c r="AA15" s="1"/>
      <c r="AB15" s="1"/>
      <c r="AC15" s="1"/>
    </row>
    <row r="16">
      <c r="A16" s="1"/>
      <c r="B16" s="112">
        <f>IFERROR(__xludf.DUMMYFUNCTION("""COMPUTED_VALUE"""),46154.64583333333)</f>
        <v>46154.64583</v>
      </c>
      <c r="C16" s="1">
        <f>IFERROR(__xludf.DUMMYFUNCTION("""COMPUTED_VALUE"""),468.5)</f>
        <v>468.5</v>
      </c>
      <c r="D16" s="1"/>
      <c r="E16" s="112">
        <f>IFERROR(__xludf.DUMMYFUNCTION("""COMPUTED_VALUE"""),46154.64583333333)</f>
        <v>46154.64583</v>
      </c>
      <c r="F16" s="1">
        <f>IFERROR(__xludf.DUMMYFUNCTION("""COMPUTED_VALUE"""),626.15)</f>
        <v>626.15</v>
      </c>
      <c r="G16" s="1"/>
      <c r="H16" s="29">
        <f t="shared" si="4"/>
        <v>0.7482232692</v>
      </c>
      <c r="I16" s="1">
        <f t="shared" si="5"/>
        <v>-157.65</v>
      </c>
      <c r="J16" s="113">
        <f t="shared" si="6"/>
        <v>-1.092148605</v>
      </c>
      <c r="K16" s="29">
        <f t="shared" si="7"/>
        <v>0.7482232692</v>
      </c>
      <c r="L16" s="1"/>
      <c r="M16" s="1"/>
      <c r="N16" s="1"/>
      <c r="O16" s="1"/>
      <c r="P16" s="1"/>
      <c r="Q16" s="1"/>
      <c r="R16" s="1"/>
      <c r="S16" s="117"/>
      <c r="T16" s="125"/>
      <c r="U16" s="126"/>
      <c r="V16" s="123"/>
      <c r="W16" s="123"/>
      <c r="X16" s="123"/>
      <c r="Y16" s="123"/>
      <c r="Z16" s="1"/>
      <c r="AA16" s="1"/>
      <c r="AB16" s="1"/>
      <c r="AC16" s="1"/>
    </row>
    <row r="17">
      <c r="A17" s="1"/>
      <c r="B17" s="112">
        <f>IFERROR(__xludf.DUMMYFUNCTION("""COMPUTED_VALUE"""),46155.64583333333)</f>
        <v>46155.64583</v>
      </c>
      <c r="C17" s="1">
        <f>IFERROR(__xludf.DUMMYFUNCTION("""COMPUTED_VALUE"""),468.55)</f>
        <v>468.55</v>
      </c>
      <c r="D17" s="1"/>
      <c r="E17" s="112">
        <f>IFERROR(__xludf.DUMMYFUNCTION("""COMPUTED_VALUE"""),46155.64583333333)</f>
        <v>46155.64583</v>
      </c>
      <c r="F17" s="1">
        <f>IFERROR(__xludf.DUMMYFUNCTION("""COMPUTED_VALUE"""),630.1)</f>
        <v>630.1</v>
      </c>
      <c r="G17" s="1"/>
      <c r="H17" s="29">
        <f t="shared" si="4"/>
        <v>0.7436121251</v>
      </c>
      <c r="I17" s="1">
        <f t="shared" si="5"/>
        <v>-161.55</v>
      </c>
      <c r="J17" s="113">
        <f t="shared" si="6"/>
        <v>-1.175523563</v>
      </c>
      <c r="K17" s="29">
        <f t="shared" si="7"/>
        <v>0.7436121251</v>
      </c>
      <c r="L17" s="1"/>
      <c r="M17" s="1"/>
      <c r="N17" s="1"/>
      <c r="O17" s="1"/>
      <c r="P17" s="1"/>
      <c r="Q17" s="1"/>
      <c r="R17" s="1"/>
      <c r="S17" s="123"/>
      <c r="T17" s="123"/>
      <c r="U17" s="123"/>
      <c r="V17" s="123"/>
      <c r="W17" s="123"/>
      <c r="X17" s="123"/>
      <c r="Y17" s="123"/>
      <c r="Z17" s="1"/>
      <c r="AA17" s="1"/>
      <c r="AB17" s="1"/>
      <c r="AC17" s="1"/>
    </row>
    <row r="18">
      <c r="A18" s="1"/>
      <c r="B18" s="112">
        <f>IFERROR(__xludf.DUMMYFUNCTION("""COMPUTED_VALUE"""),46156.64583333333)</f>
        <v>46156.64583</v>
      </c>
      <c r="C18" s="1">
        <f>IFERROR(__xludf.DUMMYFUNCTION("""COMPUTED_VALUE"""),468.0)</f>
        <v>468</v>
      </c>
      <c r="D18" s="1"/>
      <c r="E18" s="112">
        <f>IFERROR(__xludf.DUMMYFUNCTION("""COMPUTED_VALUE"""),46156.64583333333)</f>
        <v>46156.64583</v>
      </c>
      <c r="F18" s="1">
        <f>IFERROR(__xludf.DUMMYFUNCTION("""COMPUTED_VALUE"""),638.4)</f>
        <v>638.4</v>
      </c>
      <c r="G18" s="1"/>
      <c r="H18" s="29">
        <f t="shared" si="4"/>
        <v>0.7330827068</v>
      </c>
      <c r="I18" s="1">
        <f t="shared" si="5"/>
        <v>-170.4</v>
      </c>
      <c r="J18" s="113">
        <f t="shared" si="6"/>
        <v>-1.364720583</v>
      </c>
      <c r="K18" s="29">
        <f t="shared" si="7"/>
        <v>0.7330827068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12">
        <f>IFERROR(__xludf.DUMMYFUNCTION("""COMPUTED_VALUE"""),46157.64583333333)</f>
        <v>46157.64583</v>
      </c>
      <c r="C19" s="1">
        <f>IFERROR(__xludf.DUMMYFUNCTION("""COMPUTED_VALUE"""),466.25)</f>
        <v>466.25</v>
      </c>
      <c r="D19" s="1"/>
      <c r="E19" s="112">
        <f>IFERROR(__xludf.DUMMYFUNCTION("""COMPUTED_VALUE"""),46157.64583333333)</f>
        <v>46157.64583</v>
      </c>
      <c r="F19" s="1">
        <f>IFERROR(__xludf.DUMMYFUNCTION("""COMPUTED_VALUE"""),632.25)</f>
        <v>632.25</v>
      </c>
      <c r="G19" s="1"/>
      <c r="H19" s="29">
        <f t="shared" si="4"/>
        <v>0.7374456307</v>
      </c>
      <c r="I19" s="1">
        <f t="shared" si="5"/>
        <v>-166</v>
      </c>
      <c r="J19" s="113">
        <f t="shared" si="6"/>
        <v>-1.270656528</v>
      </c>
      <c r="K19" s="29">
        <f t="shared" si="7"/>
        <v>0.7374456307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12">
        <f>IFERROR(__xludf.DUMMYFUNCTION("""COMPUTED_VALUE"""),46160.64583333333)</f>
        <v>46160.64583</v>
      </c>
      <c r="C20" s="1">
        <f>IFERROR(__xludf.DUMMYFUNCTION("""COMPUTED_VALUE"""),461.2)</f>
        <v>461.2</v>
      </c>
      <c r="D20" s="1"/>
      <c r="E20" s="112">
        <f>IFERROR(__xludf.DUMMYFUNCTION("""COMPUTED_VALUE"""),46160.64583333333)</f>
        <v>46160.64583</v>
      </c>
      <c r="F20" s="1">
        <f>IFERROR(__xludf.DUMMYFUNCTION("""COMPUTED_VALUE"""),637.85)</f>
        <v>637.85</v>
      </c>
      <c r="G20" s="1"/>
      <c r="H20" s="29">
        <f t="shared" si="4"/>
        <v>0.7230540096</v>
      </c>
      <c r="I20" s="1">
        <f t="shared" si="5"/>
        <v>-176.65</v>
      </c>
      <c r="J20" s="113">
        <f t="shared" si="6"/>
        <v>-1.498334297</v>
      </c>
      <c r="K20" s="29">
        <f t="shared" si="7"/>
        <v>0.7230540096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12">
        <f>IFERROR(__xludf.DUMMYFUNCTION("""COMPUTED_VALUE"""),46161.64583333333)</f>
        <v>46161.64583</v>
      </c>
      <c r="C21" s="1">
        <f>IFERROR(__xludf.DUMMYFUNCTION("""COMPUTED_VALUE"""),469.25)</f>
        <v>469.25</v>
      </c>
      <c r="D21" s="1"/>
      <c r="E21" s="112">
        <f>IFERROR(__xludf.DUMMYFUNCTION("""COMPUTED_VALUE"""),46161.64583333333)</f>
        <v>46161.64583</v>
      </c>
      <c r="F21" s="1">
        <f>IFERROR(__xludf.DUMMYFUNCTION("""COMPUTED_VALUE"""),633.3)</f>
        <v>633.3</v>
      </c>
      <c r="G21" s="1"/>
      <c r="H21" s="29">
        <f t="shared" si="4"/>
        <v>0.7409600505</v>
      </c>
      <c r="I21" s="1">
        <f t="shared" si="5"/>
        <v>-164.05</v>
      </c>
      <c r="J21" s="113">
        <f t="shared" si="6"/>
        <v>-1.228969049</v>
      </c>
      <c r="K21" s="29">
        <f t="shared" si="7"/>
        <v>0.7409600505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12">
        <f>IFERROR(__xludf.DUMMYFUNCTION("""COMPUTED_VALUE"""),46162.64583333333)</f>
        <v>46162.64583</v>
      </c>
      <c r="C22" s="1">
        <f>IFERROR(__xludf.DUMMYFUNCTION("""COMPUTED_VALUE"""),463.35)</f>
        <v>463.35</v>
      </c>
      <c r="D22" s="1"/>
      <c r="E22" s="112">
        <f>IFERROR(__xludf.DUMMYFUNCTION("""COMPUTED_VALUE"""),46162.64583333333)</f>
        <v>46162.64583</v>
      </c>
      <c r="F22" s="1">
        <f>IFERROR(__xludf.DUMMYFUNCTION("""COMPUTED_VALUE"""),634.35)</f>
        <v>634.35</v>
      </c>
      <c r="G22" s="1"/>
      <c r="H22" s="29">
        <f t="shared" si="4"/>
        <v>0.7304327264</v>
      </c>
      <c r="I22" s="1">
        <f t="shared" si="5"/>
        <v>-171</v>
      </c>
      <c r="J22" s="113">
        <f t="shared" si="6"/>
        <v>-1.377547499</v>
      </c>
      <c r="K22" s="29">
        <f t="shared" si="7"/>
        <v>0.7304327264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12">
        <f>IFERROR(__xludf.DUMMYFUNCTION("""COMPUTED_VALUE"""),46163.64583333333)</f>
        <v>46163.64583</v>
      </c>
      <c r="C23" s="1">
        <f>IFERROR(__xludf.DUMMYFUNCTION("""COMPUTED_VALUE"""),482.75)</f>
        <v>482.75</v>
      </c>
      <c r="D23" s="1"/>
      <c r="E23" s="112">
        <f>IFERROR(__xludf.DUMMYFUNCTION("""COMPUTED_VALUE"""),46163.64583333333)</f>
        <v>46163.64583</v>
      </c>
      <c r="F23" s="1">
        <f>IFERROR(__xludf.DUMMYFUNCTION("""COMPUTED_VALUE"""),629.0)</f>
        <v>629</v>
      </c>
      <c r="G23" s="1"/>
      <c r="H23" s="29">
        <f t="shared" si="4"/>
        <v>0.7674880763</v>
      </c>
      <c r="I23" s="1">
        <f t="shared" si="5"/>
        <v>-146.25</v>
      </c>
      <c r="J23" s="113">
        <f t="shared" si="6"/>
        <v>-0.8484371897</v>
      </c>
      <c r="K23" s="29">
        <f t="shared" si="7"/>
        <v>0.7674880763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12">
        <f>IFERROR(__xludf.DUMMYFUNCTION("""COMPUTED_VALUE"""),46164.64583333333)</f>
        <v>46164.64583</v>
      </c>
      <c r="C24" s="1">
        <f>IFERROR(__xludf.DUMMYFUNCTION("""COMPUTED_VALUE"""),476.2)</f>
        <v>476.2</v>
      </c>
      <c r="D24" s="1"/>
      <c r="E24" s="112">
        <f>IFERROR(__xludf.DUMMYFUNCTION("""COMPUTED_VALUE"""),46164.64583333333)</f>
        <v>46164.64583</v>
      </c>
      <c r="F24" s="1">
        <f>IFERROR(__xludf.DUMMYFUNCTION("""COMPUTED_VALUE"""),632.0)</f>
        <v>632</v>
      </c>
      <c r="G24" s="1"/>
      <c r="H24" s="29">
        <f t="shared" si="4"/>
        <v>0.7534810127</v>
      </c>
      <c r="I24" s="1">
        <f t="shared" si="5"/>
        <v>-155.8</v>
      </c>
      <c r="J24" s="113">
        <f t="shared" si="6"/>
        <v>-1.052598945</v>
      </c>
      <c r="K24" s="29">
        <f t="shared" si="7"/>
        <v>0.7534810127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12">
        <f>IFERROR(__xludf.DUMMYFUNCTION("""COMPUTED_VALUE"""),46167.64583333333)</f>
        <v>46167.64583</v>
      </c>
      <c r="C25" s="1">
        <f>IFERROR(__xludf.DUMMYFUNCTION("""COMPUTED_VALUE"""),482.6)</f>
        <v>482.6</v>
      </c>
      <c r="D25" s="1"/>
      <c r="E25" s="112">
        <f>IFERROR(__xludf.DUMMYFUNCTION("""COMPUTED_VALUE"""),46167.64583333333)</f>
        <v>46167.64583</v>
      </c>
      <c r="F25" s="1">
        <f>IFERROR(__xludf.DUMMYFUNCTION("""COMPUTED_VALUE"""),652.3)</f>
        <v>652.3</v>
      </c>
      <c r="G25" s="1"/>
      <c r="H25" s="29">
        <f t="shared" si="4"/>
        <v>0.7398436302</v>
      </c>
      <c r="I25" s="1">
        <f t="shared" si="5"/>
        <v>-169.7</v>
      </c>
      <c r="J25" s="113">
        <f t="shared" si="6"/>
        <v>-1.349755846</v>
      </c>
      <c r="K25" s="29">
        <f t="shared" si="7"/>
        <v>0.7398436302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12">
        <f>IFERROR(__xludf.DUMMYFUNCTION("""COMPUTED_VALUE"""),46168.64583333333)</f>
        <v>46168.64583</v>
      </c>
      <c r="C26" s="1">
        <f>IFERROR(__xludf.DUMMYFUNCTION("""COMPUTED_VALUE"""),491.0)</f>
        <v>491</v>
      </c>
      <c r="D26" s="1"/>
      <c r="E26" s="112">
        <f>IFERROR(__xludf.DUMMYFUNCTION("""COMPUTED_VALUE"""),46168.64583333333)</f>
        <v>46168.64583</v>
      </c>
      <c r="F26" s="1">
        <f>IFERROR(__xludf.DUMMYFUNCTION("""COMPUTED_VALUE"""),655.0)</f>
        <v>655</v>
      </c>
      <c r="G26" s="1"/>
      <c r="H26" s="29">
        <f t="shared" si="4"/>
        <v>0.7496183206</v>
      </c>
      <c r="I26" s="1">
        <f t="shared" si="5"/>
        <v>-164</v>
      </c>
      <c r="J26" s="113">
        <f t="shared" si="6"/>
        <v>-1.227900139</v>
      </c>
      <c r="K26" s="29">
        <f t="shared" si="7"/>
        <v>0.7496183206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12">
        <f>IFERROR(__xludf.DUMMYFUNCTION("""COMPUTED_VALUE"""),46169.64583333333)</f>
        <v>46169.64583</v>
      </c>
      <c r="C27" s="1">
        <f>IFERROR(__xludf.DUMMYFUNCTION("""COMPUTED_VALUE"""),500.75)</f>
        <v>500.75</v>
      </c>
      <c r="D27" s="1"/>
      <c r="E27" s="112">
        <f>IFERROR(__xludf.DUMMYFUNCTION("""COMPUTED_VALUE"""),46169.64583333333)</f>
        <v>46169.64583</v>
      </c>
      <c r="F27" s="1">
        <f>IFERROR(__xludf.DUMMYFUNCTION("""COMPUTED_VALUE"""),656.15)</f>
        <v>656.15</v>
      </c>
      <c r="G27" s="1"/>
      <c r="H27" s="29">
        <f t="shared" si="4"/>
        <v>0.7631639107</v>
      </c>
      <c r="I27" s="1">
        <f t="shared" si="5"/>
        <v>-155.4</v>
      </c>
      <c r="J27" s="113">
        <f t="shared" si="6"/>
        <v>-1.044047668</v>
      </c>
      <c r="K27" s="29">
        <f t="shared" si="7"/>
        <v>0.7631639107</v>
      </c>
      <c r="L27" s="1"/>
      <c r="M27" s="1"/>
      <c r="N27" s="1"/>
      <c r="O27" s="1"/>
      <c r="P27" s="1"/>
      <c r="Q27" s="1"/>
      <c r="R27" s="58" t="s">
        <v>112</v>
      </c>
      <c r="S27" s="124">
        <f>AVERAGE(K88:K118)</f>
        <v>0.8935665541</v>
      </c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12">
        <f>IFERROR(__xludf.DUMMYFUNCTION("""COMPUTED_VALUE"""),46171.64583333333)</f>
        <v>46171.64583</v>
      </c>
      <c r="C28" s="1">
        <f>IFERROR(__xludf.DUMMYFUNCTION("""COMPUTED_VALUE"""),475.0)</f>
        <v>475</v>
      </c>
      <c r="D28" s="1"/>
      <c r="E28" s="112">
        <f>IFERROR(__xludf.DUMMYFUNCTION("""COMPUTED_VALUE"""),46171.64583333333)</f>
        <v>46171.64583</v>
      </c>
      <c r="F28" s="1">
        <f>IFERROR(__xludf.DUMMYFUNCTION("""COMPUTED_VALUE"""),644.8)</f>
        <v>644.8</v>
      </c>
      <c r="G28" s="1"/>
      <c r="H28" s="29">
        <f t="shared" si="4"/>
        <v>0.736662531</v>
      </c>
      <c r="I28" s="1">
        <f t="shared" si="5"/>
        <v>-169.8</v>
      </c>
      <c r="J28" s="113">
        <f t="shared" si="6"/>
        <v>-1.351893666</v>
      </c>
      <c r="K28" s="29">
        <f t="shared" si="7"/>
        <v>0.736662531</v>
      </c>
      <c r="L28" s="1"/>
      <c r="M28" s="1"/>
      <c r="N28" s="1"/>
      <c r="O28" s="1"/>
      <c r="P28" s="1"/>
      <c r="Q28" s="1"/>
      <c r="R28" s="58" t="s">
        <v>113</v>
      </c>
      <c r="S28" s="124">
        <f>MAX(K88:K118)</f>
        <v>0.9657575758</v>
      </c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12">
        <f>IFERROR(__xludf.DUMMYFUNCTION("""COMPUTED_VALUE"""),46174.64583333333)</f>
        <v>46174.64583</v>
      </c>
      <c r="C29" s="1">
        <f>IFERROR(__xludf.DUMMYFUNCTION("""COMPUTED_VALUE"""),470.9)</f>
        <v>470.9</v>
      </c>
      <c r="D29" s="1"/>
      <c r="E29" s="112">
        <f>IFERROR(__xludf.DUMMYFUNCTION("""COMPUTED_VALUE"""),46174.64583333333)</f>
        <v>46174.64583</v>
      </c>
      <c r="F29" s="1">
        <f>IFERROR(__xludf.DUMMYFUNCTION("""COMPUTED_VALUE"""),645.25)</f>
        <v>645.25</v>
      </c>
      <c r="G29" s="1"/>
      <c r="H29" s="29">
        <f t="shared" si="4"/>
        <v>0.7297946532</v>
      </c>
      <c r="I29" s="1">
        <f t="shared" si="5"/>
        <v>-174.35</v>
      </c>
      <c r="J29" s="113">
        <f t="shared" si="6"/>
        <v>-1.44916445</v>
      </c>
      <c r="K29" s="29">
        <f t="shared" si="7"/>
        <v>0.7297946532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12">
        <f>IFERROR(__xludf.DUMMYFUNCTION("""COMPUTED_VALUE"""),46175.64583333333)</f>
        <v>46175.64583</v>
      </c>
      <c r="C30" s="1">
        <f>IFERROR(__xludf.DUMMYFUNCTION("""COMPUTED_VALUE"""),469.75)</f>
        <v>469.75</v>
      </c>
      <c r="D30" s="1"/>
      <c r="E30" s="112">
        <f>IFERROR(__xludf.DUMMYFUNCTION("""COMPUTED_VALUE"""),46175.64583333333)</f>
        <v>46175.64583</v>
      </c>
      <c r="F30" s="1">
        <f>IFERROR(__xludf.DUMMYFUNCTION("""COMPUTED_VALUE"""),641.65)</f>
        <v>641.65</v>
      </c>
      <c r="G30" s="1"/>
      <c r="H30" s="29">
        <f t="shared" si="4"/>
        <v>0.7320969376</v>
      </c>
      <c r="I30" s="1">
        <f t="shared" si="5"/>
        <v>-171.9</v>
      </c>
      <c r="J30" s="113">
        <f t="shared" si="6"/>
        <v>-1.396787874</v>
      </c>
      <c r="K30" s="29">
        <f t="shared" si="7"/>
        <v>0.7320969376</v>
      </c>
      <c r="L30" s="1">
        <f t="shared" ref="L30:L118" si="8">AVERAGE(C11:C30)</f>
        <v>478.0475</v>
      </c>
      <c r="M30" s="25">
        <f t="shared" ref="M30:M118" si="9">(C30-L30)/C30</f>
        <v>-0.01766365088</v>
      </c>
      <c r="N30" s="65">
        <f t="shared" ref="N30:N118" si="10">AVERAGE(F11:F30)</f>
        <v>642.8025</v>
      </c>
      <c r="O30" s="25">
        <f t="shared" ref="O30:O118" si="11">(F30-N30)/F30</f>
        <v>-0.001796150549</v>
      </c>
      <c r="P30" s="25">
        <f t="shared" ref="P30:P118" si="12">M30-O30</f>
        <v>-0.01586750033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12">
        <f>IFERROR(__xludf.DUMMYFUNCTION("""COMPUTED_VALUE"""),46176.64583333333)</f>
        <v>46176.64583</v>
      </c>
      <c r="C31" s="1">
        <f>IFERROR(__xludf.DUMMYFUNCTION("""COMPUTED_VALUE"""),463.8)</f>
        <v>463.8</v>
      </c>
      <c r="D31" s="1"/>
      <c r="E31" s="112">
        <f>IFERROR(__xludf.DUMMYFUNCTION("""COMPUTED_VALUE"""),46176.64583333333)</f>
        <v>46176.64583</v>
      </c>
      <c r="F31" s="1">
        <f>IFERROR(__xludf.DUMMYFUNCTION("""COMPUTED_VALUE"""),646.05)</f>
        <v>646.05</v>
      </c>
      <c r="G31" s="1"/>
      <c r="H31" s="29">
        <f t="shared" si="4"/>
        <v>0.7179010912</v>
      </c>
      <c r="I31" s="1">
        <f t="shared" si="5"/>
        <v>-182.25</v>
      </c>
      <c r="J31" s="113">
        <f t="shared" si="6"/>
        <v>-1.618052185</v>
      </c>
      <c r="K31" s="29">
        <f t="shared" si="7"/>
        <v>0.7179010912</v>
      </c>
      <c r="L31" s="65">
        <f t="shared" si="8"/>
        <v>476.8375</v>
      </c>
      <c r="M31" s="25">
        <f t="shared" si="9"/>
        <v>-0.0281101768</v>
      </c>
      <c r="N31" s="65">
        <f t="shared" si="10"/>
        <v>643.0025</v>
      </c>
      <c r="O31" s="25">
        <f t="shared" si="11"/>
        <v>0.004717127157</v>
      </c>
      <c r="P31" s="25">
        <f t="shared" si="12"/>
        <v>-0.03282730396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12">
        <f>IFERROR(__xludf.DUMMYFUNCTION("""COMPUTED_VALUE"""),46177.64583333333)</f>
        <v>46177.64583</v>
      </c>
      <c r="C32" s="1">
        <f>IFERROR(__xludf.DUMMYFUNCTION("""COMPUTED_VALUE"""),460.1)</f>
        <v>460.1</v>
      </c>
      <c r="D32" s="1"/>
      <c r="E32" s="112">
        <f>IFERROR(__xludf.DUMMYFUNCTION("""COMPUTED_VALUE"""),46177.64583333333)</f>
        <v>46177.64583</v>
      </c>
      <c r="F32" s="1">
        <f>IFERROR(__xludf.DUMMYFUNCTION("""COMPUTED_VALUE"""),639.15)</f>
        <v>639.15</v>
      </c>
      <c r="G32" s="1"/>
      <c r="H32" s="29">
        <f t="shared" si="4"/>
        <v>0.7198623171</v>
      </c>
      <c r="I32" s="1">
        <f t="shared" si="5"/>
        <v>-179.05</v>
      </c>
      <c r="J32" s="113">
        <f t="shared" si="6"/>
        <v>-1.549641963</v>
      </c>
      <c r="K32" s="29">
        <f t="shared" si="7"/>
        <v>0.7198623171</v>
      </c>
      <c r="L32" s="65">
        <f t="shared" si="8"/>
        <v>474.95</v>
      </c>
      <c r="M32" s="25">
        <f t="shared" si="9"/>
        <v>-0.03227559226</v>
      </c>
      <c r="N32" s="65">
        <f t="shared" si="10"/>
        <v>641.96</v>
      </c>
      <c r="O32" s="25">
        <f t="shared" si="11"/>
        <v>-0.004396464054</v>
      </c>
      <c r="P32" s="25">
        <f t="shared" si="12"/>
        <v>-0.02787912821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12">
        <f>IFERROR(__xludf.DUMMYFUNCTION("""COMPUTED_VALUE"""),46178.64583333333)</f>
        <v>46178.64583</v>
      </c>
      <c r="C33" s="1">
        <f>IFERROR(__xludf.DUMMYFUNCTION("""COMPUTED_VALUE"""),458.05)</f>
        <v>458.05</v>
      </c>
      <c r="D33" s="1"/>
      <c r="E33" s="112">
        <f>IFERROR(__xludf.DUMMYFUNCTION("""COMPUTED_VALUE"""),46178.64583333333)</f>
        <v>46178.64583</v>
      </c>
      <c r="F33" s="1">
        <f>IFERROR(__xludf.DUMMYFUNCTION("""COMPUTED_VALUE"""),637.45)</f>
        <v>637.45</v>
      </c>
      <c r="G33" s="1"/>
      <c r="H33" s="29">
        <f t="shared" si="4"/>
        <v>0.7185661621</v>
      </c>
      <c r="I33" s="1">
        <f t="shared" si="5"/>
        <v>-179.4</v>
      </c>
      <c r="J33" s="113">
        <f t="shared" si="6"/>
        <v>-1.557124331</v>
      </c>
      <c r="K33" s="29">
        <f t="shared" si="7"/>
        <v>0.7185661621</v>
      </c>
      <c r="L33" s="65">
        <f t="shared" si="8"/>
        <v>473.445</v>
      </c>
      <c r="M33" s="25">
        <f t="shared" si="9"/>
        <v>-0.03360986792</v>
      </c>
      <c r="N33" s="65">
        <f t="shared" si="10"/>
        <v>641.31</v>
      </c>
      <c r="O33" s="25">
        <f t="shared" si="11"/>
        <v>-0.006055376892</v>
      </c>
      <c r="P33" s="25">
        <f t="shared" si="12"/>
        <v>-0.02755449103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7"/>
      <c r="B34" s="112">
        <f>IFERROR(__xludf.DUMMYFUNCTION("""COMPUTED_VALUE"""),46181.64583333333)</f>
        <v>46181.64583</v>
      </c>
      <c r="C34" s="1">
        <f>IFERROR(__xludf.DUMMYFUNCTION("""COMPUTED_VALUE"""),432.55)</f>
        <v>432.55</v>
      </c>
      <c r="D34" s="1"/>
      <c r="E34" s="112">
        <f>IFERROR(__xludf.DUMMYFUNCTION("""COMPUTED_VALUE"""),46181.64583333333)</f>
        <v>46181.64583</v>
      </c>
      <c r="F34" s="1">
        <f>IFERROR(__xludf.DUMMYFUNCTION("""COMPUTED_VALUE"""),624.95)</f>
        <v>624.95</v>
      </c>
      <c r="G34" s="1"/>
      <c r="H34" s="29">
        <f t="shared" si="4"/>
        <v>0.6921353708</v>
      </c>
      <c r="I34" s="1">
        <f t="shared" si="5"/>
        <v>-192.4</v>
      </c>
      <c r="J34" s="113">
        <f t="shared" si="6"/>
        <v>-1.835040858</v>
      </c>
      <c r="K34" s="29">
        <f t="shared" si="7"/>
        <v>0.6921353708</v>
      </c>
      <c r="L34" s="65">
        <f t="shared" si="8"/>
        <v>470.8</v>
      </c>
      <c r="M34" s="25">
        <f t="shared" si="9"/>
        <v>-0.08842908334</v>
      </c>
      <c r="N34" s="65">
        <f t="shared" si="10"/>
        <v>640.2575</v>
      </c>
      <c r="O34" s="25">
        <f t="shared" si="11"/>
        <v>-0.02449395952</v>
      </c>
      <c r="P34" s="25">
        <f t="shared" si="12"/>
        <v>-0.06393512383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12">
        <f>IFERROR(__xludf.DUMMYFUNCTION("""COMPUTED_VALUE"""),46182.64583333333)</f>
        <v>46182.64583</v>
      </c>
      <c r="C35" s="1">
        <f>IFERROR(__xludf.DUMMYFUNCTION("""COMPUTED_VALUE"""),440.4)</f>
        <v>440.4</v>
      </c>
      <c r="D35" s="1"/>
      <c r="E35" s="112">
        <f>IFERROR(__xludf.DUMMYFUNCTION("""COMPUTED_VALUE"""),46182.64583333333)</f>
        <v>46182.64583</v>
      </c>
      <c r="F35" s="1">
        <f>IFERROR(__xludf.DUMMYFUNCTION("""COMPUTED_VALUE"""),628.4)</f>
        <v>628.4</v>
      </c>
      <c r="G35" s="1"/>
      <c r="H35" s="29">
        <f t="shared" si="4"/>
        <v>0.7008274984</v>
      </c>
      <c r="I35" s="1">
        <f t="shared" si="5"/>
        <v>-188</v>
      </c>
      <c r="J35" s="113">
        <f t="shared" si="6"/>
        <v>-1.740976803</v>
      </c>
      <c r="K35" s="29">
        <f t="shared" si="7"/>
        <v>0.7008274984</v>
      </c>
      <c r="L35" s="65">
        <f t="shared" si="8"/>
        <v>468.4475</v>
      </c>
      <c r="M35" s="25">
        <f t="shared" si="9"/>
        <v>-0.06368642144</v>
      </c>
      <c r="N35" s="65">
        <f t="shared" si="10"/>
        <v>638.2275</v>
      </c>
      <c r="O35" s="25">
        <f t="shared" si="11"/>
        <v>-0.01563892425</v>
      </c>
      <c r="P35" s="25">
        <f t="shared" si="12"/>
        <v>-0.04804749718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12">
        <f>IFERROR(__xludf.DUMMYFUNCTION("""COMPUTED_VALUE"""),46183.64583333333)</f>
        <v>46183.64583</v>
      </c>
      <c r="C36" s="1">
        <f>IFERROR(__xludf.DUMMYFUNCTION("""COMPUTED_VALUE"""),433.65)</f>
        <v>433.65</v>
      </c>
      <c r="D36" s="1"/>
      <c r="E36" s="112">
        <f>IFERROR(__xludf.DUMMYFUNCTION("""COMPUTED_VALUE"""),46183.64583333333)</f>
        <v>46183.64583</v>
      </c>
      <c r="F36" s="1">
        <f>IFERROR(__xludf.DUMMYFUNCTION("""COMPUTED_VALUE"""),611.0)</f>
        <v>611</v>
      </c>
      <c r="G36" s="1"/>
      <c r="H36" s="29">
        <f t="shared" si="4"/>
        <v>0.7097381342</v>
      </c>
      <c r="I36" s="1">
        <f t="shared" si="5"/>
        <v>-177.35</v>
      </c>
      <c r="J36" s="113">
        <f t="shared" si="6"/>
        <v>-1.513299033</v>
      </c>
      <c r="K36" s="29">
        <f t="shared" si="7"/>
        <v>0.7097381342</v>
      </c>
      <c r="L36" s="65">
        <f t="shared" si="8"/>
        <v>466.705</v>
      </c>
      <c r="M36" s="25">
        <f t="shared" si="9"/>
        <v>-0.0762250663</v>
      </c>
      <c r="N36" s="65">
        <f t="shared" si="10"/>
        <v>637.47</v>
      </c>
      <c r="O36" s="25">
        <f t="shared" si="11"/>
        <v>-0.04332242226</v>
      </c>
      <c r="P36" s="25">
        <f t="shared" si="12"/>
        <v>-0.03290264404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12">
        <f>IFERROR(__xludf.DUMMYFUNCTION("""COMPUTED_VALUE"""),46184.64583333333)</f>
        <v>46184.64583</v>
      </c>
      <c r="C37" s="1">
        <f>IFERROR(__xludf.DUMMYFUNCTION("""COMPUTED_VALUE"""),427.85)</f>
        <v>427.85</v>
      </c>
      <c r="D37" s="1"/>
      <c r="E37" s="112">
        <f>IFERROR(__xludf.DUMMYFUNCTION("""COMPUTED_VALUE"""),46184.64583333333)</f>
        <v>46184.64583</v>
      </c>
      <c r="F37" s="1">
        <f>IFERROR(__xludf.DUMMYFUNCTION("""COMPUTED_VALUE"""),593.75)</f>
        <v>593.75</v>
      </c>
      <c r="G37" s="1"/>
      <c r="H37" s="29">
        <f t="shared" si="4"/>
        <v>0.7205894737</v>
      </c>
      <c r="I37" s="1">
        <f t="shared" si="5"/>
        <v>-165.9</v>
      </c>
      <c r="J37" s="113">
        <f t="shared" si="6"/>
        <v>-1.268518708</v>
      </c>
      <c r="K37" s="29">
        <f t="shared" si="7"/>
        <v>0.7205894737</v>
      </c>
      <c r="L37" s="65">
        <f t="shared" si="8"/>
        <v>464.67</v>
      </c>
      <c r="M37" s="25">
        <f t="shared" si="9"/>
        <v>-0.08605819797</v>
      </c>
      <c r="N37" s="65">
        <f t="shared" si="10"/>
        <v>635.6525</v>
      </c>
      <c r="O37" s="25">
        <f t="shared" si="11"/>
        <v>-0.07057263158</v>
      </c>
      <c r="P37" s="25">
        <f t="shared" si="12"/>
        <v>-0.01548556639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12">
        <f>IFERROR(__xludf.DUMMYFUNCTION("""COMPUTED_VALUE"""),46185.64583333333)</f>
        <v>46185.64583</v>
      </c>
      <c r="C38" s="1">
        <f>IFERROR(__xludf.DUMMYFUNCTION("""COMPUTED_VALUE"""),440.6)</f>
        <v>440.6</v>
      </c>
      <c r="D38" s="1"/>
      <c r="E38" s="112">
        <f>IFERROR(__xludf.DUMMYFUNCTION("""COMPUTED_VALUE"""),46185.64583333333)</f>
        <v>46185.64583</v>
      </c>
      <c r="F38" s="1">
        <f>IFERROR(__xludf.DUMMYFUNCTION("""COMPUTED_VALUE"""),610.1)</f>
        <v>610.1</v>
      </c>
      <c r="G38" s="1"/>
      <c r="H38" s="29">
        <f t="shared" si="4"/>
        <v>0.7221766923</v>
      </c>
      <c r="I38" s="1">
        <f t="shared" si="5"/>
        <v>-169.5</v>
      </c>
      <c r="J38" s="113">
        <f t="shared" si="6"/>
        <v>-1.345480208</v>
      </c>
      <c r="K38" s="29">
        <f t="shared" si="7"/>
        <v>0.7221766923</v>
      </c>
      <c r="L38" s="65">
        <f t="shared" si="8"/>
        <v>463.3</v>
      </c>
      <c r="M38" s="25">
        <f t="shared" si="9"/>
        <v>-0.05152065365</v>
      </c>
      <c r="N38" s="65">
        <f t="shared" si="10"/>
        <v>634.2375</v>
      </c>
      <c r="O38" s="25">
        <f t="shared" si="11"/>
        <v>-0.03956318636</v>
      </c>
      <c r="P38" s="25">
        <f t="shared" si="12"/>
        <v>-0.01195746729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12">
        <f>IFERROR(__xludf.DUMMYFUNCTION("""COMPUTED_VALUE"""),46188.64583333333)</f>
        <v>46188.64583</v>
      </c>
      <c r="C39" s="1">
        <f>IFERROR(__xludf.DUMMYFUNCTION("""COMPUTED_VALUE"""),498.15)</f>
        <v>498.15</v>
      </c>
      <c r="D39" s="1"/>
      <c r="E39" s="112">
        <f>IFERROR(__xludf.DUMMYFUNCTION("""COMPUTED_VALUE"""),46188.64583333333)</f>
        <v>46188.64583</v>
      </c>
      <c r="F39" s="1">
        <f>IFERROR(__xludf.DUMMYFUNCTION("""COMPUTED_VALUE"""),616.6)</f>
        <v>616.6</v>
      </c>
      <c r="G39" s="1"/>
      <c r="H39" s="29">
        <f t="shared" si="4"/>
        <v>0.8078981512</v>
      </c>
      <c r="I39" s="1">
        <f t="shared" si="5"/>
        <v>-118.45</v>
      </c>
      <c r="J39" s="113">
        <f t="shared" si="6"/>
        <v>-0.2541233877</v>
      </c>
      <c r="K39" s="29">
        <f t="shared" si="7"/>
        <v>0.8078981512</v>
      </c>
      <c r="L39" s="65">
        <f t="shared" si="8"/>
        <v>464.895</v>
      </c>
      <c r="M39" s="25">
        <f t="shared" si="9"/>
        <v>0.0667570009</v>
      </c>
      <c r="N39" s="65">
        <f t="shared" si="10"/>
        <v>633.455</v>
      </c>
      <c r="O39" s="25">
        <f t="shared" si="11"/>
        <v>-0.02733538761</v>
      </c>
      <c r="P39" s="25">
        <f t="shared" si="12"/>
        <v>0.09409238851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12">
        <f>IFERROR(__xludf.DUMMYFUNCTION("""COMPUTED_VALUE"""),46189.64583333333)</f>
        <v>46189.64583</v>
      </c>
      <c r="C40" s="1">
        <f>IFERROR(__xludf.DUMMYFUNCTION("""COMPUTED_VALUE"""),496.7)</f>
        <v>496.7</v>
      </c>
      <c r="D40" s="1"/>
      <c r="E40" s="112">
        <f>IFERROR(__xludf.DUMMYFUNCTION("""COMPUTED_VALUE"""),46189.64583333333)</f>
        <v>46189.64583</v>
      </c>
      <c r="F40" s="1">
        <f>IFERROR(__xludf.DUMMYFUNCTION("""COMPUTED_VALUE"""),615.35)</f>
        <v>615.35</v>
      </c>
      <c r="G40" s="1"/>
      <c r="H40" s="29">
        <f t="shared" si="4"/>
        <v>0.807182904</v>
      </c>
      <c r="I40" s="1">
        <f t="shared" si="5"/>
        <v>-118.65</v>
      </c>
      <c r="J40" s="113">
        <f t="shared" si="6"/>
        <v>-0.2583990265</v>
      </c>
      <c r="K40" s="29">
        <f t="shared" si="7"/>
        <v>0.807182904</v>
      </c>
      <c r="L40" s="65">
        <f t="shared" si="8"/>
        <v>466.67</v>
      </c>
      <c r="M40" s="25">
        <f t="shared" si="9"/>
        <v>0.0604590296</v>
      </c>
      <c r="N40" s="65">
        <f t="shared" si="10"/>
        <v>632.33</v>
      </c>
      <c r="O40" s="25">
        <f t="shared" si="11"/>
        <v>-0.02759405217</v>
      </c>
      <c r="P40" s="25">
        <f t="shared" si="12"/>
        <v>0.08805308176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12">
        <f>IFERROR(__xludf.DUMMYFUNCTION("""COMPUTED_VALUE"""),46190.64583333333)</f>
        <v>46190.64583</v>
      </c>
      <c r="C41" s="1">
        <f>IFERROR(__xludf.DUMMYFUNCTION("""COMPUTED_VALUE"""),479.2)</f>
        <v>479.2</v>
      </c>
      <c r="D41" s="1"/>
      <c r="E41" s="112">
        <f>IFERROR(__xludf.DUMMYFUNCTION("""COMPUTED_VALUE"""),46190.64583333333)</f>
        <v>46190.64583</v>
      </c>
      <c r="F41" s="1">
        <f>IFERROR(__xludf.DUMMYFUNCTION("""COMPUTED_VALUE"""),614.4)</f>
        <v>614.4</v>
      </c>
      <c r="G41" s="1"/>
      <c r="H41" s="29">
        <f t="shared" si="4"/>
        <v>0.7799479167</v>
      </c>
      <c r="I41" s="1">
        <f t="shared" si="5"/>
        <v>-135.2</v>
      </c>
      <c r="J41" s="113">
        <f t="shared" si="6"/>
        <v>-0.6122081425</v>
      </c>
      <c r="K41" s="29">
        <f t="shared" si="7"/>
        <v>0.7799479167</v>
      </c>
      <c r="L41" s="65">
        <f t="shared" si="8"/>
        <v>467.1675</v>
      </c>
      <c r="M41" s="25">
        <f t="shared" si="9"/>
        <v>0.0251095576</v>
      </c>
      <c r="N41" s="65">
        <f t="shared" si="10"/>
        <v>631.385</v>
      </c>
      <c r="O41" s="25">
        <f t="shared" si="11"/>
        <v>-0.02764485677</v>
      </c>
      <c r="P41" s="25">
        <f t="shared" si="12"/>
        <v>0.05275441437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12">
        <f>IFERROR(__xludf.DUMMYFUNCTION("""COMPUTED_VALUE"""),46191.64583333333)</f>
        <v>46191.64583</v>
      </c>
      <c r="C42" s="1">
        <f>IFERROR(__xludf.DUMMYFUNCTION("""COMPUTED_VALUE"""),486.45)</f>
        <v>486.45</v>
      </c>
      <c r="D42" s="1"/>
      <c r="E42" s="112">
        <f>IFERROR(__xludf.DUMMYFUNCTION("""COMPUTED_VALUE"""),46191.64583333333)</f>
        <v>46191.64583</v>
      </c>
      <c r="F42" s="1">
        <f>IFERROR(__xludf.DUMMYFUNCTION("""COMPUTED_VALUE"""),610.8)</f>
        <v>610.8</v>
      </c>
      <c r="G42" s="1"/>
      <c r="H42" s="29">
        <f t="shared" si="4"/>
        <v>0.7964145383</v>
      </c>
      <c r="I42" s="1">
        <f t="shared" si="5"/>
        <v>-124.35</v>
      </c>
      <c r="J42" s="113">
        <f t="shared" si="6"/>
        <v>-0.3802547341</v>
      </c>
      <c r="K42" s="29">
        <f t="shared" si="7"/>
        <v>0.7964145383</v>
      </c>
      <c r="L42" s="65">
        <f t="shared" si="8"/>
        <v>468.3225</v>
      </c>
      <c r="M42" s="25">
        <f t="shared" si="9"/>
        <v>0.0372648782</v>
      </c>
      <c r="N42" s="65">
        <f t="shared" si="10"/>
        <v>630.2075</v>
      </c>
      <c r="O42" s="25">
        <f t="shared" si="11"/>
        <v>-0.03177390308</v>
      </c>
      <c r="P42" s="25">
        <f t="shared" si="12"/>
        <v>0.06903878128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12">
        <f>IFERROR(__xludf.DUMMYFUNCTION("""COMPUTED_VALUE"""),46192.64583333333)</f>
        <v>46192.64583</v>
      </c>
      <c r="C43" s="1">
        <f>IFERROR(__xludf.DUMMYFUNCTION("""COMPUTED_VALUE"""),484.5)</f>
        <v>484.5</v>
      </c>
      <c r="D43" s="1"/>
      <c r="E43" s="112">
        <f>IFERROR(__xludf.DUMMYFUNCTION("""COMPUTED_VALUE"""),46192.64583333333)</f>
        <v>46192.64583</v>
      </c>
      <c r="F43" s="1">
        <f>IFERROR(__xludf.DUMMYFUNCTION("""COMPUTED_VALUE"""),608.65)</f>
        <v>608.65</v>
      </c>
      <c r="G43" s="1"/>
      <c r="H43" s="29">
        <f t="shared" si="4"/>
        <v>0.7960239875</v>
      </c>
      <c r="I43" s="1">
        <f t="shared" si="5"/>
        <v>-124.15</v>
      </c>
      <c r="J43" s="113">
        <f t="shared" si="6"/>
        <v>-0.3759790953</v>
      </c>
      <c r="K43" s="29">
        <f t="shared" si="7"/>
        <v>0.7960239875</v>
      </c>
      <c r="L43" s="65">
        <f t="shared" si="8"/>
        <v>468.41</v>
      </c>
      <c r="M43" s="25">
        <f t="shared" si="9"/>
        <v>0.03320949432</v>
      </c>
      <c r="N43" s="65">
        <f t="shared" si="10"/>
        <v>629.19</v>
      </c>
      <c r="O43" s="25">
        <f t="shared" si="11"/>
        <v>-0.03374681673</v>
      </c>
      <c r="P43" s="25">
        <f t="shared" si="12"/>
        <v>0.06695631105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12">
        <f>IFERROR(__xludf.DUMMYFUNCTION("""COMPUTED_VALUE"""),46195.64583333333)</f>
        <v>46195.64583</v>
      </c>
      <c r="C44" s="1">
        <f>IFERROR(__xludf.DUMMYFUNCTION("""COMPUTED_VALUE"""),486.2)</f>
        <v>486.2</v>
      </c>
      <c r="D44" s="1"/>
      <c r="E44" s="112">
        <f>IFERROR(__xludf.DUMMYFUNCTION("""COMPUTED_VALUE"""),46195.64583333333)</f>
        <v>46195.64583</v>
      </c>
      <c r="F44" s="1">
        <f>IFERROR(__xludf.DUMMYFUNCTION("""COMPUTED_VALUE"""),605.5)</f>
        <v>605.5</v>
      </c>
      <c r="G44" s="1"/>
      <c r="H44" s="29">
        <f t="shared" si="4"/>
        <v>0.8029727498</v>
      </c>
      <c r="I44" s="1">
        <f t="shared" si="5"/>
        <v>-119.3</v>
      </c>
      <c r="J44" s="113">
        <f t="shared" si="6"/>
        <v>-0.2722948528</v>
      </c>
      <c r="K44" s="29">
        <f t="shared" si="7"/>
        <v>0.8029727498</v>
      </c>
      <c r="L44" s="65">
        <f t="shared" si="8"/>
        <v>468.91</v>
      </c>
      <c r="M44" s="25">
        <f t="shared" si="9"/>
        <v>0.03556149733</v>
      </c>
      <c r="N44" s="65">
        <f t="shared" si="10"/>
        <v>627.865</v>
      </c>
      <c r="O44" s="25">
        <f t="shared" si="11"/>
        <v>-0.03693641618</v>
      </c>
      <c r="P44" s="25">
        <f t="shared" si="12"/>
        <v>0.07249791351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12">
        <f>IFERROR(__xludf.DUMMYFUNCTION("""COMPUTED_VALUE"""),46196.64583333333)</f>
        <v>46196.64583</v>
      </c>
      <c r="C45" s="1">
        <f>IFERROR(__xludf.DUMMYFUNCTION("""COMPUTED_VALUE"""),473.6)</f>
        <v>473.6</v>
      </c>
      <c r="D45" s="1"/>
      <c r="E45" s="112">
        <f>IFERROR(__xludf.DUMMYFUNCTION("""COMPUTED_VALUE"""),46196.64583333333)</f>
        <v>46196.64583</v>
      </c>
      <c r="F45" s="1">
        <f>IFERROR(__xludf.DUMMYFUNCTION("""COMPUTED_VALUE"""),596.8)</f>
        <v>596.8</v>
      </c>
      <c r="G45" s="1"/>
      <c r="H45" s="29">
        <f t="shared" si="4"/>
        <v>0.7935656836</v>
      </c>
      <c r="I45" s="1">
        <f t="shared" si="5"/>
        <v>-123.2</v>
      </c>
      <c r="J45" s="113">
        <f t="shared" si="6"/>
        <v>-0.3556698107</v>
      </c>
      <c r="K45" s="29">
        <f t="shared" si="7"/>
        <v>0.7935656836</v>
      </c>
      <c r="L45" s="65">
        <f t="shared" si="8"/>
        <v>468.46</v>
      </c>
      <c r="M45" s="25">
        <f t="shared" si="9"/>
        <v>0.01085304054</v>
      </c>
      <c r="N45" s="65">
        <f t="shared" si="10"/>
        <v>625.09</v>
      </c>
      <c r="O45" s="25">
        <f t="shared" si="11"/>
        <v>-0.04740281501</v>
      </c>
      <c r="P45" s="25">
        <f t="shared" si="12"/>
        <v>0.05825585555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12">
        <f>IFERROR(__xludf.DUMMYFUNCTION("""COMPUTED_VALUE"""),46197.64583333333)</f>
        <v>46197.64583</v>
      </c>
      <c r="C46" s="1">
        <f>IFERROR(__xludf.DUMMYFUNCTION("""COMPUTED_VALUE"""),466.55)</f>
        <v>466.55</v>
      </c>
      <c r="D46" s="1"/>
      <c r="E46" s="112">
        <f>IFERROR(__xludf.DUMMYFUNCTION("""COMPUTED_VALUE"""),46197.64583333333)</f>
        <v>46197.64583</v>
      </c>
      <c r="F46" s="1">
        <f>IFERROR(__xludf.DUMMYFUNCTION("""COMPUTED_VALUE"""),599.25)</f>
        <v>599.25</v>
      </c>
      <c r="G46" s="1"/>
      <c r="H46" s="29">
        <f t="shared" si="4"/>
        <v>0.778556529</v>
      </c>
      <c r="I46" s="1">
        <f t="shared" si="5"/>
        <v>-132.7</v>
      </c>
      <c r="J46" s="113">
        <f t="shared" si="6"/>
        <v>-0.5587626567</v>
      </c>
      <c r="K46" s="29">
        <f t="shared" si="7"/>
        <v>0.778556529</v>
      </c>
      <c r="L46" s="65">
        <f t="shared" si="8"/>
        <v>467.2375</v>
      </c>
      <c r="M46" s="25">
        <f t="shared" si="9"/>
        <v>-0.001473582681</v>
      </c>
      <c r="N46" s="65">
        <f t="shared" si="10"/>
        <v>622.3025</v>
      </c>
      <c r="O46" s="25">
        <f t="shared" si="11"/>
        <v>-0.03846891948</v>
      </c>
      <c r="P46" s="25">
        <f t="shared" si="12"/>
        <v>0.0369953368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12">
        <f>IFERROR(__xludf.DUMMYFUNCTION("""COMPUTED_VALUE"""),46198.64583333333)</f>
        <v>46198.64583</v>
      </c>
      <c r="C47" s="1">
        <f>IFERROR(__xludf.DUMMYFUNCTION("""COMPUTED_VALUE"""),466.05)</f>
        <v>466.05</v>
      </c>
      <c r="D47" s="1"/>
      <c r="E47" s="112">
        <f>IFERROR(__xludf.DUMMYFUNCTION("""COMPUTED_VALUE"""),46198.64583333333)</f>
        <v>46198.64583</v>
      </c>
      <c r="F47" s="1">
        <f>IFERROR(__xludf.DUMMYFUNCTION("""COMPUTED_VALUE"""),590.5)</f>
        <v>590.5</v>
      </c>
      <c r="G47" s="1"/>
      <c r="H47" s="29">
        <f t="shared" si="4"/>
        <v>0.7892464014</v>
      </c>
      <c r="I47" s="1">
        <f t="shared" si="5"/>
        <v>-124.45</v>
      </c>
      <c r="J47" s="113">
        <f t="shared" si="6"/>
        <v>-0.3823925536</v>
      </c>
      <c r="K47" s="29">
        <f t="shared" si="7"/>
        <v>0.7892464014</v>
      </c>
      <c r="L47" s="65">
        <f t="shared" si="8"/>
        <v>465.5025</v>
      </c>
      <c r="M47" s="25">
        <f t="shared" si="9"/>
        <v>0.001174766656</v>
      </c>
      <c r="N47" s="65">
        <f t="shared" si="10"/>
        <v>619.02</v>
      </c>
      <c r="O47" s="25">
        <f t="shared" si="11"/>
        <v>-0.0482980525</v>
      </c>
      <c r="P47" s="25">
        <f t="shared" si="12"/>
        <v>0.04947281915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12">
        <f>IFERROR(__xludf.DUMMYFUNCTION("""COMPUTED_VALUE"""),46202.64583333333)</f>
        <v>46202.64583</v>
      </c>
      <c r="C48" s="1">
        <f>IFERROR(__xludf.DUMMYFUNCTION("""COMPUTED_VALUE"""),457.2)</f>
        <v>457.2</v>
      </c>
      <c r="D48" s="1"/>
      <c r="E48" s="112">
        <f>IFERROR(__xludf.DUMMYFUNCTION("""COMPUTED_VALUE"""),46202.64583333333)</f>
        <v>46202.64583</v>
      </c>
      <c r="F48" s="1">
        <f>IFERROR(__xludf.DUMMYFUNCTION("""COMPUTED_VALUE"""),568.4)</f>
        <v>568.4</v>
      </c>
      <c r="G48" s="1"/>
      <c r="H48" s="29">
        <f t="shared" si="4"/>
        <v>0.8043631246</v>
      </c>
      <c r="I48" s="1">
        <f t="shared" si="5"/>
        <v>-111.2</v>
      </c>
      <c r="J48" s="113">
        <f t="shared" si="6"/>
        <v>-0.09913147884</v>
      </c>
      <c r="K48" s="29">
        <f t="shared" si="7"/>
        <v>0.8043631246</v>
      </c>
      <c r="L48" s="65">
        <f t="shared" si="8"/>
        <v>464.6125</v>
      </c>
      <c r="M48" s="25">
        <f t="shared" si="9"/>
        <v>-0.01621281715</v>
      </c>
      <c r="N48" s="65">
        <f t="shared" si="10"/>
        <v>615.2</v>
      </c>
      <c r="O48" s="25">
        <f t="shared" si="11"/>
        <v>-0.08233638283</v>
      </c>
      <c r="P48" s="25">
        <f t="shared" si="12"/>
        <v>0.06612356568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12">
        <f>IFERROR(__xludf.DUMMYFUNCTION("""COMPUTED_VALUE"""),46203.64583333333)</f>
        <v>46203.64583</v>
      </c>
      <c r="C49" s="1">
        <f>IFERROR(__xludf.DUMMYFUNCTION("""COMPUTED_VALUE"""),458.3)</f>
        <v>458.3</v>
      </c>
      <c r="D49" s="1"/>
      <c r="E49" s="112">
        <f>IFERROR(__xludf.DUMMYFUNCTION("""COMPUTED_VALUE"""),46203.64583333333)</f>
        <v>46203.64583</v>
      </c>
      <c r="F49" s="1">
        <f>IFERROR(__xludf.DUMMYFUNCTION("""COMPUTED_VALUE"""),571.2)</f>
        <v>571.2</v>
      </c>
      <c r="G49" s="1"/>
      <c r="H49" s="29">
        <f t="shared" si="4"/>
        <v>0.8023459384</v>
      </c>
      <c r="I49" s="1">
        <f t="shared" si="5"/>
        <v>-112.9</v>
      </c>
      <c r="J49" s="113">
        <f t="shared" si="6"/>
        <v>-0.1354744092</v>
      </c>
      <c r="K49" s="29">
        <f t="shared" si="7"/>
        <v>0.8023459384</v>
      </c>
      <c r="L49" s="65">
        <f t="shared" si="8"/>
        <v>463.9825</v>
      </c>
      <c r="M49" s="25">
        <f t="shared" si="9"/>
        <v>-0.01239908357</v>
      </c>
      <c r="N49" s="65">
        <f t="shared" si="10"/>
        <v>611.4975</v>
      </c>
      <c r="O49" s="25">
        <f t="shared" si="11"/>
        <v>-0.07054884454</v>
      </c>
      <c r="P49" s="25">
        <f t="shared" si="12"/>
        <v>0.05814976097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12">
        <f>IFERROR(__xludf.DUMMYFUNCTION("""COMPUTED_VALUE"""),46204.64583333333)</f>
        <v>46204.64583</v>
      </c>
      <c r="C50" s="1">
        <f>IFERROR(__xludf.DUMMYFUNCTION("""COMPUTED_VALUE"""),467.6)</f>
        <v>467.6</v>
      </c>
      <c r="D50" s="1"/>
      <c r="E50" s="112">
        <f>IFERROR(__xludf.DUMMYFUNCTION("""COMPUTED_VALUE"""),46204.64583333333)</f>
        <v>46204.64583</v>
      </c>
      <c r="F50" s="1">
        <f>IFERROR(__xludf.DUMMYFUNCTION("""COMPUTED_VALUE"""),565.05)</f>
        <v>565.05</v>
      </c>
      <c r="G50" s="1"/>
      <c r="H50" s="29">
        <f t="shared" si="4"/>
        <v>0.8275373861</v>
      </c>
      <c r="I50" s="1">
        <f t="shared" si="5"/>
        <v>-97.45</v>
      </c>
      <c r="J50" s="113">
        <f t="shared" si="6"/>
        <v>0.194818693</v>
      </c>
      <c r="K50" s="29">
        <f t="shared" si="7"/>
        <v>0.8275373861</v>
      </c>
      <c r="L50" s="65">
        <f t="shared" si="8"/>
        <v>463.875</v>
      </c>
      <c r="M50" s="25">
        <f t="shared" si="9"/>
        <v>0.007966210436</v>
      </c>
      <c r="N50" s="65">
        <f t="shared" si="10"/>
        <v>607.6675</v>
      </c>
      <c r="O50" s="25">
        <f t="shared" si="11"/>
        <v>-0.07542252898</v>
      </c>
      <c r="P50" s="25">
        <f t="shared" si="12"/>
        <v>0.08338873942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12">
        <f>IFERROR(__xludf.DUMMYFUNCTION("""COMPUTED_VALUE"""),46205.64583333333)</f>
        <v>46205.64583</v>
      </c>
      <c r="C51" s="1">
        <f>IFERROR(__xludf.DUMMYFUNCTION("""COMPUTED_VALUE"""),482.05)</f>
        <v>482.05</v>
      </c>
      <c r="D51" s="1"/>
      <c r="E51" s="112">
        <f>IFERROR(__xludf.DUMMYFUNCTION("""COMPUTED_VALUE"""),46205.64583333333)</f>
        <v>46205.64583</v>
      </c>
      <c r="F51" s="1">
        <f>IFERROR(__xludf.DUMMYFUNCTION("""COMPUTED_VALUE"""),588.75)</f>
        <v>588.75</v>
      </c>
      <c r="G51" s="1"/>
      <c r="H51" s="29">
        <f t="shared" si="4"/>
        <v>0.8187685775</v>
      </c>
      <c r="I51" s="1">
        <f t="shared" si="5"/>
        <v>-106.7</v>
      </c>
      <c r="J51" s="113">
        <f t="shared" si="6"/>
        <v>-0.002929604407</v>
      </c>
      <c r="K51" s="29">
        <f t="shared" si="7"/>
        <v>0.8187685775</v>
      </c>
      <c r="L51" s="65">
        <f t="shared" si="8"/>
        <v>464.7875</v>
      </c>
      <c r="M51" s="25">
        <f t="shared" si="9"/>
        <v>0.03581060056</v>
      </c>
      <c r="N51" s="65">
        <f t="shared" si="10"/>
        <v>604.8025</v>
      </c>
      <c r="O51" s="25">
        <f t="shared" si="11"/>
        <v>-0.02726539278</v>
      </c>
      <c r="P51" s="25">
        <f t="shared" si="12"/>
        <v>0.06307599334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12">
        <f>IFERROR(__xludf.DUMMYFUNCTION("""COMPUTED_VALUE"""),46206.64583333333)</f>
        <v>46206.64583</v>
      </c>
      <c r="C52" s="1">
        <f>IFERROR(__xludf.DUMMYFUNCTION("""COMPUTED_VALUE"""),487.7)</f>
        <v>487.7</v>
      </c>
      <c r="D52" s="1"/>
      <c r="E52" s="112">
        <f>IFERROR(__xludf.DUMMYFUNCTION("""COMPUTED_VALUE"""),46206.64583333333)</f>
        <v>46206.64583</v>
      </c>
      <c r="F52" s="1">
        <f>IFERROR(__xludf.DUMMYFUNCTION("""COMPUTED_VALUE"""),607.4)</f>
        <v>607.4</v>
      </c>
      <c r="G52" s="1"/>
      <c r="H52" s="29">
        <f t="shared" si="4"/>
        <v>0.8029305235</v>
      </c>
      <c r="I52" s="1">
        <f t="shared" si="5"/>
        <v>-119.7</v>
      </c>
      <c r="J52" s="113">
        <f t="shared" si="6"/>
        <v>-0.2808461305</v>
      </c>
      <c r="K52" s="29">
        <f t="shared" si="7"/>
        <v>0.8029305235</v>
      </c>
      <c r="L52" s="65">
        <f t="shared" si="8"/>
        <v>466.1675</v>
      </c>
      <c r="M52" s="25">
        <f t="shared" si="9"/>
        <v>0.04415111749</v>
      </c>
      <c r="N52" s="65">
        <f t="shared" si="10"/>
        <v>603.215</v>
      </c>
      <c r="O52" s="25">
        <f t="shared" si="11"/>
        <v>0.006890023049</v>
      </c>
      <c r="P52" s="25">
        <f t="shared" si="12"/>
        <v>0.03726109444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12">
        <f>IFERROR(__xludf.DUMMYFUNCTION("""COMPUTED_VALUE"""),46209.64583333333)</f>
        <v>46209.64583</v>
      </c>
      <c r="C53" s="1">
        <f>IFERROR(__xludf.DUMMYFUNCTION("""COMPUTED_VALUE"""),488.5)</f>
        <v>488.5</v>
      </c>
      <c r="D53" s="1"/>
      <c r="E53" s="112">
        <f>IFERROR(__xludf.DUMMYFUNCTION("""COMPUTED_VALUE"""),46209.64583333333)</f>
        <v>46209.64583</v>
      </c>
      <c r="F53" s="1">
        <f>IFERROR(__xludf.DUMMYFUNCTION("""COMPUTED_VALUE"""),608.65)</f>
        <v>608.65</v>
      </c>
      <c r="G53" s="1"/>
      <c r="H53" s="29">
        <f t="shared" si="4"/>
        <v>0.802595909</v>
      </c>
      <c r="I53" s="1">
        <f t="shared" si="5"/>
        <v>-120.15</v>
      </c>
      <c r="J53" s="113">
        <f t="shared" si="6"/>
        <v>-0.290466318</v>
      </c>
      <c r="K53" s="29">
        <f t="shared" si="7"/>
        <v>0.802595909</v>
      </c>
      <c r="L53" s="65">
        <f t="shared" si="8"/>
        <v>467.69</v>
      </c>
      <c r="M53" s="25">
        <f t="shared" si="9"/>
        <v>0.04259979529</v>
      </c>
      <c r="N53" s="65">
        <f t="shared" si="10"/>
        <v>601.775</v>
      </c>
      <c r="O53" s="25">
        <f t="shared" si="11"/>
        <v>0.01129549002</v>
      </c>
      <c r="P53" s="25">
        <f t="shared" si="12"/>
        <v>0.03130430527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12">
        <f>IFERROR(__xludf.DUMMYFUNCTION("""COMPUTED_VALUE"""),46210.64583333333)</f>
        <v>46210.64583</v>
      </c>
      <c r="C54" s="1">
        <f>IFERROR(__xludf.DUMMYFUNCTION("""COMPUTED_VALUE"""),478.45)</f>
        <v>478.45</v>
      </c>
      <c r="D54" s="1"/>
      <c r="E54" s="112">
        <f>IFERROR(__xludf.DUMMYFUNCTION("""COMPUTED_VALUE"""),46210.64583333333)</f>
        <v>46210.64583</v>
      </c>
      <c r="F54" s="1">
        <f>IFERROR(__xludf.DUMMYFUNCTION("""COMPUTED_VALUE"""),600.85)</f>
        <v>600.85</v>
      </c>
      <c r="G54" s="1"/>
      <c r="H54" s="29">
        <f t="shared" si="4"/>
        <v>0.7962885912</v>
      </c>
      <c r="I54" s="1">
        <f t="shared" si="5"/>
        <v>-122.4</v>
      </c>
      <c r="J54" s="113">
        <f t="shared" si="6"/>
        <v>-0.3385672552</v>
      </c>
      <c r="K54" s="29">
        <f t="shared" si="7"/>
        <v>0.7962885912</v>
      </c>
      <c r="L54" s="65">
        <f t="shared" si="8"/>
        <v>469.985</v>
      </c>
      <c r="M54" s="25">
        <f t="shared" si="9"/>
        <v>0.01769254886</v>
      </c>
      <c r="N54" s="65">
        <f t="shared" si="10"/>
        <v>600.57</v>
      </c>
      <c r="O54" s="25">
        <f t="shared" si="11"/>
        <v>0.0004660064908</v>
      </c>
      <c r="P54" s="25">
        <f t="shared" si="12"/>
        <v>0.01722654236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12">
        <f>IFERROR(__xludf.DUMMYFUNCTION("""COMPUTED_VALUE"""),46211.64583333333)</f>
        <v>46211.64583</v>
      </c>
      <c r="C55" s="1">
        <f>IFERROR(__xludf.DUMMYFUNCTION("""COMPUTED_VALUE"""),465.5)</f>
        <v>465.5</v>
      </c>
      <c r="D55" s="1"/>
      <c r="E55" s="112">
        <f>IFERROR(__xludf.DUMMYFUNCTION("""COMPUTED_VALUE"""),46211.64583333333)</f>
        <v>46211.64583</v>
      </c>
      <c r="F55" s="1">
        <f>IFERROR(__xludf.DUMMYFUNCTION("""COMPUTED_VALUE"""),581.7)</f>
        <v>581.7</v>
      </c>
      <c r="G55" s="1"/>
      <c r="H55" s="29">
        <f t="shared" si="4"/>
        <v>0.8002406739</v>
      </c>
      <c r="I55" s="1">
        <f t="shared" si="5"/>
        <v>-116.2</v>
      </c>
      <c r="J55" s="113">
        <f t="shared" si="6"/>
        <v>-0.2060224504</v>
      </c>
      <c r="K55" s="29">
        <f t="shared" si="7"/>
        <v>0.8002406739</v>
      </c>
      <c r="L55" s="65">
        <f t="shared" si="8"/>
        <v>471.24</v>
      </c>
      <c r="M55" s="25">
        <f t="shared" si="9"/>
        <v>-0.01233082707</v>
      </c>
      <c r="N55" s="65">
        <f t="shared" si="10"/>
        <v>598.235</v>
      </c>
      <c r="O55" s="25">
        <f t="shared" si="11"/>
        <v>-0.02842530514</v>
      </c>
      <c r="P55" s="25">
        <f t="shared" si="12"/>
        <v>0.01609447807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12">
        <f>IFERROR(__xludf.DUMMYFUNCTION("""COMPUTED_VALUE"""),46212.64583333333)</f>
        <v>46212.64583</v>
      </c>
      <c r="C56" s="1">
        <f>IFERROR(__xludf.DUMMYFUNCTION("""COMPUTED_VALUE"""),467.95)</f>
        <v>467.95</v>
      </c>
      <c r="D56" s="1"/>
      <c r="E56" s="112">
        <f>IFERROR(__xludf.DUMMYFUNCTION("""COMPUTED_VALUE"""),46212.64583333333)</f>
        <v>46212.64583</v>
      </c>
      <c r="F56" s="1">
        <f>IFERROR(__xludf.DUMMYFUNCTION("""COMPUTED_VALUE"""),581.85)</f>
        <v>581.85</v>
      </c>
      <c r="G56" s="1"/>
      <c r="H56" s="29">
        <f t="shared" si="4"/>
        <v>0.8042450803</v>
      </c>
      <c r="I56" s="1">
        <f t="shared" si="5"/>
        <v>-113.9</v>
      </c>
      <c r="J56" s="113">
        <f t="shared" si="6"/>
        <v>-0.1568526035</v>
      </c>
      <c r="K56" s="29">
        <f t="shared" si="7"/>
        <v>0.8042450803</v>
      </c>
      <c r="L56" s="65">
        <f t="shared" si="8"/>
        <v>472.955</v>
      </c>
      <c r="M56" s="25">
        <f t="shared" si="9"/>
        <v>-0.01069558714</v>
      </c>
      <c r="N56" s="65">
        <f t="shared" si="10"/>
        <v>596.7775</v>
      </c>
      <c r="O56" s="25">
        <f t="shared" si="11"/>
        <v>-0.0256552376</v>
      </c>
      <c r="P56" s="25">
        <f t="shared" si="12"/>
        <v>0.01495965047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12">
        <f>IFERROR(__xludf.DUMMYFUNCTION("""COMPUTED_VALUE"""),46213.64583333333)</f>
        <v>46213.64583</v>
      </c>
      <c r="C57" s="1">
        <f>IFERROR(__xludf.DUMMYFUNCTION("""COMPUTED_VALUE"""),484.1)</f>
        <v>484.1</v>
      </c>
      <c r="D57" s="1"/>
      <c r="E57" s="112">
        <f>IFERROR(__xludf.DUMMYFUNCTION("""COMPUTED_VALUE"""),46213.64583333333)</f>
        <v>46213.64583</v>
      </c>
      <c r="F57" s="1">
        <f>IFERROR(__xludf.DUMMYFUNCTION("""COMPUTED_VALUE"""),594.75)</f>
        <v>594.75</v>
      </c>
      <c r="G57" s="1"/>
      <c r="H57" s="29">
        <f t="shared" si="4"/>
        <v>0.8139554435</v>
      </c>
      <c r="I57" s="1">
        <f t="shared" si="5"/>
        <v>-110.65</v>
      </c>
      <c r="J57" s="113">
        <f t="shared" si="6"/>
        <v>-0.08737347197</v>
      </c>
      <c r="K57" s="29">
        <f t="shared" si="7"/>
        <v>0.8139554435</v>
      </c>
      <c r="L57" s="65">
        <f t="shared" si="8"/>
        <v>475.7675</v>
      </c>
      <c r="M57" s="25">
        <f t="shared" si="9"/>
        <v>0.01721235282</v>
      </c>
      <c r="N57" s="65">
        <f t="shared" si="10"/>
        <v>596.8275</v>
      </c>
      <c r="O57" s="25">
        <f t="shared" si="11"/>
        <v>-0.003493064313</v>
      </c>
      <c r="P57" s="25">
        <f t="shared" si="12"/>
        <v>0.02070541713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12">
        <f>IFERROR(__xludf.DUMMYFUNCTION("""COMPUTED_VALUE"""),46216.64583333333)</f>
        <v>46216.64583</v>
      </c>
      <c r="C58" s="1">
        <f>IFERROR(__xludf.DUMMYFUNCTION("""COMPUTED_VALUE"""),484.3)</f>
        <v>484.3</v>
      </c>
      <c r="D58" s="1"/>
      <c r="E58" s="112">
        <f>IFERROR(__xludf.DUMMYFUNCTION("""COMPUTED_VALUE"""),46216.64583333333)</f>
        <v>46216.64583</v>
      </c>
      <c r="F58" s="1">
        <f>IFERROR(__xludf.DUMMYFUNCTION("""COMPUTED_VALUE"""),591.75)</f>
        <v>591.75</v>
      </c>
      <c r="G58" s="1"/>
      <c r="H58" s="29">
        <f t="shared" si="4"/>
        <v>0.8184199409</v>
      </c>
      <c r="I58" s="1">
        <f t="shared" si="5"/>
        <v>-107.45</v>
      </c>
      <c r="J58" s="113">
        <f t="shared" si="6"/>
        <v>-0.01896325015</v>
      </c>
      <c r="K58" s="29">
        <f t="shared" si="7"/>
        <v>0.8184199409</v>
      </c>
      <c r="L58" s="65">
        <f t="shared" si="8"/>
        <v>477.9525</v>
      </c>
      <c r="M58" s="25">
        <f t="shared" si="9"/>
        <v>0.01310654553</v>
      </c>
      <c r="N58" s="65">
        <f t="shared" si="10"/>
        <v>595.91</v>
      </c>
      <c r="O58" s="25">
        <f t="shared" si="11"/>
        <v>-0.007029995775</v>
      </c>
      <c r="P58" s="25">
        <f t="shared" si="12"/>
        <v>0.0201365413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12">
        <f>IFERROR(__xludf.DUMMYFUNCTION("""COMPUTED_VALUE"""),46217.64583333333)</f>
        <v>46217.64583</v>
      </c>
      <c r="C59" s="1">
        <f>IFERROR(__xludf.DUMMYFUNCTION("""COMPUTED_VALUE"""),483.05)</f>
        <v>483.05</v>
      </c>
      <c r="D59" s="1"/>
      <c r="E59" s="112">
        <f>IFERROR(__xludf.DUMMYFUNCTION("""COMPUTED_VALUE"""),46217.64583333333)</f>
        <v>46217.64583</v>
      </c>
      <c r="F59" s="1">
        <f>IFERROR(__xludf.DUMMYFUNCTION("""COMPUTED_VALUE"""),593.15)</f>
        <v>593.15</v>
      </c>
      <c r="G59" s="1"/>
      <c r="H59" s="29">
        <f t="shared" si="4"/>
        <v>0.814380848</v>
      </c>
      <c r="I59" s="1">
        <f t="shared" si="5"/>
        <v>-110.1</v>
      </c>
      <c r="J59" s="113">
        <f t="shared" si="6"/>
        <v>-0.07561546509</v>
      </c>
      <c r="K59" s="29">
        <f t="shared" si="7"/>
        <v>0.814380848</v>
      </c>
      <c r="L59" s="65">
        <f t="shared" si="8"/>
        <v>477.1975</v>
      </c>
      <c r="M59" s="25">
        <f t="shared" si="9"/>
        <v>0.01211572301</v>
      </c>
      <c r="N59" s="65">
        <f t="shared" si="10"/>
        <v>594.7375</v>
      </c>
      <c r="O59" s="25">
        <f t="shared" si="11"/>
        <v>-0.002676388772</v>
      </c>
      <c r="P59" s="25">
        <f t="shared" si="12"/>
        <v>0.01479211178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12">
        <f>IFERROR(__xludf.DUMMYFUNCTION("""COMPUTED_VALUE"""),46218.64583333333)</f>
        <v>46218.64583</v>
      </c>
      <c r="C60" s="1">
        <f>IFERROR(__xludf.DUMMYFUNCTION("""COMPUTED_VALUE"""),500.7)</f>
        <v>500.7</v>
      </c>
      <c r="D60" s="1"/>
      <c r="E60" s="112">
        <f>IFERROR(__xludf.DUMMYFUNCTION("""COMPUTED_VALUE"""),46218.64583333333)</f>
        <v>46218.64583</v>
      </c>
      <c r="F60" s="1">
        <f>IFERROR(__xludf.DUMMYFUNCTION("""COMPUTED_VALUE"""),597.3)</f>
        <v>597.3</v>
      </c>
      <c r="G60" s="1"/>
      <c r="H60" s="29">
        <f t="shared" si="4"/>
        <v>0.838272225</v>
      </c>
      <c r="I60" s="1">
        <f t="shared" si="5"/>
        <v>-96.6</v>
      </c>
      <c r="J60" s="113">
        <f t="shared" si="6"/>
        <v>0.2129901582</v>
      </c>
      <c r="K60" s="29">
        <f t="shared" si="7"/>
        <v>0.838272225</v>
      </c>
      <c r="L60" s="65">
        <f t="shared" si="8"/>
        <v>477.3975</v>
      </c>
      <c r="M60" s="25">
        <f t="shared" si="9"/>
        <v>0.04653984422</v>
      </c>
      <c r="N60" s="65">
        <f t="shared" si="10"/>
        <v>593.835</v>
      </c>
      <c r="O60" s="25">
        <f t="shared" si="11"/>
        <v>0.005801104972</v>
      </c>
      <c r="P60" s="25">
        <f t="shared" si="12"/>
        <v>0.04073873925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12">
        <f>IFERROR(__xludf.DUMMYFUNCTION("""COMPUTED_VALUE"""),46219.64583333333)</f>
        <v>46219.64583</v>
      </c>
      <c r="C61" s="1">
        <f>IFERROR(__xludf.DUMMYFUNCTION("""COMPUTED_VALUE"""),504.75)</f>
        <v>504.75</v>
      </c>
      <c r="D61" s="1"/>
      <c r="E61" s="112">
        <f>IFERROR(__xludf.DUMMYFUNCTION("""COMPUTED_VALUE"""),46219.64583333333)</f>
        <v>46219.64583</v>
      </c>
      <c r="F61" s="1">
        <f>IFERROR(__xludf.DUMMYFUNCTION("""COMPUTED_VALUE"""),625.85)</f>
        <v>625.85</v>
      </c>
      <c r="G61" s="1"/>
      <c r="H61" s="29">
        <f t="shared" si="4"/>
        <v>0.8065031557</v>
      </c>
      <c r="I61" s="1">
        <f t="shared" si="5"/>
        <v>-121.1</v>
      </c>
      <c r="J61" s="113">
        <f t="shared" si="6"/>
        <v>-0.3107756026</v>
      </c>
      <c r="K61" s="29">
        <f t="shared" si="7"/>
        <v>0.8065031557</v>
      </c>
      <c r="L61" s="65">
        <f t="shared" si="8"/>
        <v>478.675</v>
      </c>
      <c r="M61" s="25">
        <f t="shared" si="9"/>
        <v>0.05165923725</v>
      </c>
      <c r="N61" s="65">
        <f t="shared" si="10"/>
        <v>594.4075</v>
      </c>
      <c r="O61" s="25">
        <f t="shared" si="11"/>
        <v>0.05023967404</v>
      </c>
      <c r="P61" s="25">
        <f t="shared" si="12"/>
        <v>0.001419563203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12">
        <f>IFERROR(__xludf.DUMMYFUNCTION("""COMPUTED_VALUE"""),46220.64583333333)</f>
        <v>46220.64583</v>
      </c>
      <c r="C62" s="1">
        <f>IFERROR(__xludf.DUMMYFUNCTION("""COMPUTED_VALUE"""),493.95)</f>
        <v>493.95</v>
      </c>
      <c r="D62" s="1"/>
      <c r="E62" s="112">
        <f>IFERROR(__xludf.DUMMYFUNCTION("""COMPUTED_VALUE"""),46220.64583333333)</f>
        <v>46220.64583</v>
      </c>
      <c r="F62" s="1">
        <f>IFERROR(__xludf.DUMMYFUNCTION("""COMPUTED_VALUE"""),616.6)</f>
        <v>616.6</v>
      </c>
      <c r="G62" s="1"/>
      <c r="H62" s="29">
        <f t="shared" si="4"/>
        <v>0.801086604</v>
      </c>
      <c r="I62" s="1">
        <f t="shared" si="5"/>
        <v>-122.65</v>
      </c>
      <c r="J62" s="113">
        <f t="shared" si="6"/>
        <v>-0.3439118038</v>
      </c>
      <c r="K62" s="29">
        <f t="shared" si="7"/>
        <v>0.801086604</v>
      </c>
      <c r="L62" s="65">
        <f t="shared" si="8"/>
        <v>479.05</v>
      </c>
      <c r="M62" s="25">
        <f t="shared" si="9"/>
        <v>0.03016499646</v>
      </c>
      <c r="N62" s="65">
        <f t="shared" si="10"/>
        <v>594.6975</v>
      </c>
      <c r="O62" s="25">
        <f t="shared" si="11"/>
        <v>0.03552140772</v>
      </c>
      <c r="P62" s="25">
        <f t="shared" si="12"/>
        <v>-0.005356411263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12">
        <f>IFERROR(__xludf.DUMMYFUNCTION("""COMPUTED_VALUE"""),46223.64583333333)</f>
        <v>46223.64583</v>
      </c>
      <c r="C63" s="1">
        <f>IFERROR(__xludf.DUMMYFUNCTION("""COMPUTED_VALUE"""),495.4)</f>
        <v>495.4</v>
      </c>
      <c r="D63" s="1"/>
      <c r="E63" s="112">
        <f>IFERROR(__xludf.DUMMYFUNCTION("""COMPUTED_VALUE"""),46223.64583333333)</f>
        <v>46223.64583</v>
      </c>
      <c r="F63" s="1">
        <f>IFERROR(__xludf.DUMMYFUNCTION("""COMPUTED_VALUE"""),606.05)</f>
        <v>606.05</v>
      </c>
      <c r="G63" s="1"/>
      <c r="H63" s="29">
        <f t="shared" si="4"/>
        <v>0.8174243049</v>
      </c>
      <c r="I63" s="1">
        <f t="shared" si="5"/>
        <v>-110.65</v>
      </c>
      <c r="J63" s="113">
        <f t="shared" si="6"/>
        <v>-0.08737347197</v>
      </c>
      <c r="K63" s="29">
        <f t="shared" si="7"/>
        <v>0.8174243049</v>
      </c>
      <c r="L63" s="65">
        <f t="shared" si="8"/>
        <v>479.595</v>
      </c>
      <c r="M63" s="25">
        <f t="shared" si="9"/>
        <v>0.03190351231</v>
      </c>
      <c r="N63" s="65">
        <f t="shared" si="10"/>
        <v>594.5675</v>
      </c>
      <c r="O63" s="25">
        <f t="shared" si="11"/>
        <v>0.01894645656</v>
      </c>
      <c r="P63" s="25">
        <f t="shared" si="12"/>
        <v>0.01295705575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7">
        <v>30.0</v>
      </c>
      <c r="B64" s="112">
        <f>IFERROR(__xludf.DUMMYFUNCTION("""COMPUTED_VALUE"""),46224.64583333333)</f>
        <v>46224.64583</v>
      </c>
      <c r="C64" s="1">
        <f>IFERROR(__xludf.DUMMYFUNCTION("""COMPUTED_VALUE"""),499.5)</f>
        <v>499.5</v>
      </c>
      <c r="D64" s="1"/>
      <c r="E64" s="112">
        <f>IFERROR(__xludf.DUMMYFUNCTION("""COMPUTED_VALUE"""),46224.64583333333)</f>
        <v>46224.64583</v>
      </c>
      <c r="F64" s="1">
        <f>IFERROR(__xludf.DUMMYFUNCTION("""COMPUTED_VALUE"""),618.15)</f>
        <v>618.15</v>
      </c>
      <c r="G64" s="1"/>
      <c r="H64" s="29">
        <f t="shared" si="4"/>
        <v>0.808056297</v>
      </c>
      <c r="I64" s="1">
        <f t="shared" si="5"/>
        <v>-118.65</v>
      </c>
      <c r="J64" s="113">
        <f t="shared" si="6"/>
        <v>-0.2583990265</v>
      </c>
      <c r="K64" s="29">
        <f t="shared" si="7"/>
        <v>0.808056297</v>
      </c>
      <c r="L64" s="65">
        <f t="shared" si="8"/>
        <v>480.26</v>
      </c>
      <c r="M64" s="25">
        <f t="shared" si="9"/>
        <v>0.03851851852</v>
      </c>
      <c r="N64" s="65">
        <f t="shared" si="10"/>
        <v>595.2</v>
      </c>
      <c r="O64" s="25">
        <f t="shared" si="11"/>
        <v>0.03712691094</v>
      </c>
      <c r="P64" s="25">
        <f t="shared" si="12"/>
        <v>0.001391607575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12">
        <f>IFERROR(__xludf.DUMMYFUNCTION("""COMPUTED_VALUE"""),46225.64583333333)</f>
        <v>46225.64583</v>
      </c>
      <c r="C65" s="1">
        <f>IFERROR(__xludf.DUMMYFUNCTION("""COMPUTED_VALUE"""),495.95)</f>
        <v>495.95</v>
      </c>
      <c r="D65" s="1"/>
      <c r="E65" s="112">
        <f>IFERROR(__xludf.DUMMYFUNCTION("""COMPUTED_VALUE"""),46225.64583333333)</f>
        <v>46225.64583</v>
      </c>
      <c r="F65" s="1">
        <f>IFERROR(__xludf.DUMMYFUNCTION("""COMPUTED_VALUE"""),608.85)</f>
        <v>608.85</v>
      </c>
      <c r="G65" s="1"/>
      <c r="H65" s="29">
        <f t="shared" si="4"/>
        <v>0.8145684487</v>
      </c>
      <c r="I65" s="1">
        <f t="shared" si="5"/>
        <v>-112.9</v>
      </c>
      <c r="J65" s="113">
        <f t="shared" si="6"/>
        <v>-0.1354744092</v>
      </c>
      <c r="K65" s="29">
        <f t="shared" si="7"/>
        <v>0.8145684487</v>
      </c>
      <c r="L65" s="65">
        <f t="shared" si="8"/>
        <v>481.3775</v>
      </c>
      <c r="M65" s="25">
        <f t="shared" si="9"/>
        <v>0.02938300232</v>
      </c>
      <c r="N65" s="65">
        <f t="shared" si="10"/>
        <v>595.8025</v>
      </c>
      <c r="O65" s="25">
        <f t="shared" si="11"/>
        <v>0.0214297446</v>
      </c>
      <c r="P65" s="25">
        <f t="shared" si="12"/>
        <v>0.007953257718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12">
        <f>IFERROR(__xludf.DUMMYFUNCTION("""COMPUTED_VALUE"""),46226.64583333333)</f>
        <v>46226.64583</v>
      </c>
      <c r="C66" s="1">
        <f>IFERROR(__xludf.DUMMYFUNCTION("""COMPUTED_VALUE"""),478.2)</f>
        <v>478.2</v>
      </c>
      <c r="D66" s="1"/>
      <c r="E66" s="112">
        <f>IFERROR(__xludf.DUMMYFUNCTION("""COMPUTED_VALUE"""),46226.64583333333)</f>
        <v>46226.64583</v>
      </c>
      <c r="F66" s="1">
        <f>IFERROR(__xludf.DUMMYFUNCTION("""COMPUTED_VALUE"""),607.0)</f>
        <v>607</v>
      </c>
      <c r="G66" s="1"/>
      <c r="H66" s="29">
        <f t="shared" si="4"/>
        <v>0.7878088962</v>
      </c>
      <c r="I66" s="1">
        <f t="shared" si="5"/>
        <v>-128.8</v>
      </c>
      <c r="J66" s="113">
        <f t="shared" si="6"/>
        <v>-0.4753876988</v>
      </c>
      <c r="K66" s="29">
        <f t="shared" si="7"/>
        <v>0.7878088962</v>
      </c>
      <c r="L66" s="65">
        <f t="shared" si="8"/>
        <v>481.96</v>
      </c>
      <c r="M66" s="25">
        <f t="shared" si="9"/>
        <v>-0.007862818904</v>
      </c>
      <c r="N66" s="65">
        <f t="shared" si="10"/>
        <v>596.19</v>
      </c>
      <c r="O66" s="25">
        <f t="shared" si="11"/>
        <v>0.01780889621</v>
      </c>
      <c r="P66" s="25">
        <f t="shared" si="12"/>
        <v>-0.02567171512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12">
        <f>IFERROR(__xludf.DUMMYFUNCTION("""COMPUTED_VALUE"""),46227.64583333333)</f>
        <v>46227.64583</v>
      </c>
      <c r="C67" s="1">
        <f>IFERROR(__xludf.DUMMYFUNCTION("""COMPUTED_VALUE"""),477.8)</f>
        <v>477.8</v>
      </c>
      <c r="D67" s="1"/>
      <c r="E67" s="112">
        <f>IFERROR(__xludf.DUMMYFUNCTION("""COMPUTED_VALUE"""),46227.64583333333)</f>
        <v>46227.64583</v>
      </c>
      <c r="F67" s="1">
        <f>IFERROR(__xludf.DUMMYFUNCTION("""COMPUTED_VALUE"""),602.45)</f>
        <v>602.45</v>
      </c>
      <c r="G67" s="1"/>
      <c r="H67" s="29">
        <f t="shared" si="4"/>
        <v>0.7930948626</v>
      </c>
      <c r="I67" s="1">
        <f t="shared" si="5"/>
        <v>-124.65</v>
      </c>
      <c r="J67" s="113">
        <f t="shared" si="6"/>
        <v>-0.3866681924</v>
      </c>
      <c r="K67" s="29">
        <f t="shared" si="7"/>
        <v>0.7930948626</v>
      </c>
      <c r="L67" s="65">
        <f t="shared" si="8"/>
        <v>482.5475</v>
      </c>
      <c r="M67" s="25">
        <f t="shared" si="9"/>
        <v>-0.00993616576</v>
      </c>
      <c r="N67" s="65">
        <f t="shared" si="10"/>
        <v>596.7875</v>
      </c>
      <c r="O67" s="25">
        <f t="shared" si="11"/>
        <v>0.009399120259</v>
      </c>
      <c r="P67" s="25">
        <f t="shared" si="12"/>
        <v>-0.01933528602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12">
        <f>IFERROR(__xludf.DUMMYFUNCTION("""COMPUTED_VALUE"""),46230.64583333333)</f>
        <v>46230.64583</v>
      </c>
      <c r="C68" s="1">
        <f>IFERROR(__xludf.DUMMYFUNCTION("""COMPUTED_VALUE"""),486.1)</f>
        <v>486.1</v>
      </c>
      <c r="D68" s="1"/>
      <c r="E68" s="112">
        <f>IFERROR(__xludf.DUMMYFUNCTION("""COMPUTED_VALUE"""),46230.64583333333)</f>
        <v>46230.64583</v>
      </c>
      <c r="F68" s="1">
        <f>IFERROR(__xludf.DUMMYFUNCTION("""COMPUTED_VALUE"""),608.5)</f>
        <v>608.5</v>
      </c>
      <c r="G68" s="1"/>
      <c r="H68" s="29">
        <f t="shared" si="4"/>
        <v>0.7988496302</v>
      </c>
      <c r="I68" s="1">
        <f t="shared" si="5"/>
        <v>-122.4</v>
      </c>
      <c r="J68" s="113">
        <f t="shared" si="6"/>
        <v>-0.3385672552</v>
      </c>
      <c r="K68" s="29">
        <f t="shared" si="7"/>
        <v>0.7988496302</v>
      </c>
      <c r="L68" s="65">
        <f t="shared" si="8"/>
        <v>483.9925</v>
      </c>
      <c r="M68" s="25">
        <f t="shared" si="9"/>
        <v>0.004335527669</v>
      </c>
      <c r="N68" s="65">
        <f t="shared" si="10"/>
        <v>598.7925</v>
      </c>
      <c r="O68" s="25">
        <f t="shared" si="11"/>
        <v>0.01595316352</v>
      </c>
      <c r="P68" s="25">
        <f t="shared" si="12"/>
        <v>-0.01161763585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12">
        <f>IFERROR(__xludf.DUMMYFUNCTION("""COMPUTED_VALUE"""),46231.64583333333)</f>
        <v>46231.64583</v>
      </c>
      <c r="C69" s="1">
        <f>IFERROR(__xludf.DUMMYFUNCTION("""COMPUTED_VALUE"""),476.75)</f>
        <v>476.75</v>
      </c>
      <c r="D69" s="1"/>
      <c r="E69" s="112">
        <f>IFERROR(__xludf.DUMMYFUNCTION("""COMPUTED_VALUE"""),46231.64583333333)</f>
        <v>46231.64583</v>
      </c>
      <c r="F69" s="1">
        <f>IFERROR(__xludf.DUMMYFUNCTION("""COMPUTED_VALUE"""),599.65)</f>
        <v>599.65</v>
      </c>
      <c r="G69" s="1"/>
      <c r="H69" s="29">
        <f t="shared" si="4"/>
        <v>0.7950471108</v>
      </c>
      <c r="I69" s="1">
        <f t="shared" si="5"/>
        <v>-122.9</v>
      </c>
      <c r="J69" s="113">
        <f t="shared" si="6"/>
        <v>-0.3492563524</v>
      </c>
      <c r="K69" s="29">
        <f t="shared" si="7"/>
        <v>0.7950471108</v>
      </c>
      <c r="L69" s="65">
        <f t="shared" si="8"/>
        <v>484.915</v>
      </c>
      <c r="M69" s="25">
        <f t="shared" si="9"/>
        <v>-0.01712637651</v>
      </c>
      <c r="N69" s="65">
        <f t="shared" si="10"/>
        <v>600.215</v>
      </c>
      <c r="O69" s="25">
        <f t="shared" si="11"/>
        <v>-0.0009422162928</v>
      </c>
      <c r="P69" s="25">
        <f t="shared" si="12"/>
        <v>-0.01618416021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12">
        <f>IFERROR(__xludf.DUMMYFUNCTION("""COMPUTED_VALUE"""),46232.64583333333)</f>
        <v>46232.64583</v>
      </c>
      <c r="C70" s="1">
        <f>IFERROR(__xludf.DUMMYFUNCTION("""COMPUTED_VALUE"""),485.5)</f>
        <v>485.5</v>
      </c>
      <c r="D70" s="1"/>
      <c r="E70" s="112">
        <f>IFERROR(__xludf.DUMMYFUNCTION("""COMPUTED_VALUE"""),46232.64583333333)</f>
        <v>46232.64583</v>
      </c>
      <c r="F70" s="1">
        <f>IFERROR(__xludf.DUMMYFUNCTION("""COMPUTED_VALUE"""),609.15)</f>
        <v>609.15</v>
      </c>
      <c r="G70" s="1"/>
      <c r="H70" s="29">
        <f t="shared" si="4"/>
        <v>0.7970122302</v>
      </c>
      <c r="I70" s="1">
        <f t="shared" si="5"/>
        <v>-123.65</v>
      </c>
      <c r="J70" s="113">
        <f t="shared" si="6"/>
        <v>-0.3652899981</v>
      </c>
      <c r="K70" s="29">
        <f t="shared" si="7"/>
        <v>0.7970122302</v>
      </c>
      <c r="L70" s="65">
        <f t="shared" si="8"/>
        <v>485.81</v>
      </c>
      <c r="M70" s="25">
        <f t="shared" si="9"/>
        <v>-0.0006385169928</v>
      </c>
      <c r="N70" s="65">
        <f t="shared" si="10"/>
        <v>602.42</v>
      </c>
      <c r="O70" s="25">
        <f t="shared" si="11"/>
        <v>0.01104818189</v>
      </c>
      <c r="P70" s="25">
        <f t="shared" si="12"/>
        <v>-0.01168669889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12">
        <f>IFERROR(__xludf.DUMMYFUNCTION("""COMPUTED_VALUE"""),46233.64583333333)</f>
        <v>46233.64583</v>
      </c>
      <c r="C71" s="1">
        <f>IFERROR(__xludf.DUMMYFUNCTION("""COMPUTED_VALUE"""),480.2)</f>
        <v>480.2</v>
      </c>
      <c r="D71" s="1"/>
      <c r="E71" s="112">
        <f>IFERROR(__xludf.DUMMYFUNCTION("""COMPUTED_VALUE"""),46233.64583333333)</f>
        <v>46233.64583</v>
      </c>
      <c r="F71" s="1">
        <f>IFERROR(__xludf.DUMMYFUNCTION("""COMPUTED_VALUE"""),602.55)</f>
        <v>602.55</v>
      </c>
      <c r="G71" s="1"/>
      <c r="H71" s="29">
        <f t="shared" si="4"/>
        <v>0.7969463115</v>
      </c>
      <c r="I71" s="1">
        <f t="shared" si="5"/>
        <v>-122.35</v>
      </c>
      <c r="J71" s="113">
        <f t="shared" si="6"/>
        <v>-0.3374983455</v>
      </c>
      <c r="K71" s="29">
        <f t="shared" si="7"/>
        <v>0.7969463115</v>
      </c>
      <c r="L71" s="65">
        <f t="shared" si="8"/>
        <v>485.7175</v>
      </c>
      <c r="M71" s="25">
        <f t="shared" si="9"/>
        <v>-0.01149000416</v>
      </c>
      <c r="N71" s="65">
        <f t="shared" si="10"/>
        <v>603.11</v>
      </c>
      <c r="O71" s="25">
        <f t="shared" si="11"/>
        <v>-0.0009293834537</v>
      </c>
      <c r="P71" s="25">
        <f t="shared" si="12"/>
        <v>-0.01056062071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12">
        <f>IFERROR(__xludf.DUMMYFUNCTION("""COMPUTED_VALUE"""),46234.64583333333)</f>
        <v>46234.64583</v>
      </c>
      <c r="C72" s="1">
        <f>IFERROR(__xludf.DUMMYFUNCTION("""COMPUTED_VALUE"""),489.1)</f>
        <v>489.1</v>
      </c>
      <c r="D72" s="1"/>
      <c r="E72" s="112">
        <f>IFERROR(__xludf.DUMMYFUNCTION("""COMPUTED_VALUE"""),46234.64583333333)</f>
        <v>46234.64583</v>
      </c>
      <c r="F72" s="1">
        <f>IFERROR(__xludf.DUMMYFUNCTION("""COMPUTED_VALUE"""),604.3)</f>
        <v>604.3</v>
      </c>
      <c r="G72" s="1"/>
      <c r="H72" s="29">
        <f t="shared" si="4"/>
        <v>0.8093662088</v>
      </c>
      <c r="I72" s="1">
        <f t="shared" si="5"/>
        <v>-115.2</v>
      </c>
      <c r="J72" s="113">
        <f t="shared" si="6"/>
        <v>-0.1846442561</v>
      </c>
      <c r="K72" s="29">
        <f t="shared" si="7"/>
        <v>0.8093662088</v>
      </c>
      <c r="L72" s="65">
        <f t="shared" si="8"/>
        <v>485.7875</v>
      </c>
      <c r="M72" s="25">
        <f t="shared" si="9"/>
        <v>0.006772643631</v>
      </c>
      <c r="N72" s="65">
        <f t="shared" si="10"/>
        <v>602.955</v>
      </c>
      <c r="O72" s="25">
        <f t="shared" si="11"/>
        <v>0.002225715704</v>
      </c>
      <c r="P72" s="25">
        <f t="shared" si="12"/>
        <v>0.004546927927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12">
        <f>IFERROR(__xludf.DUMMYFUNCTION("""COMPUTED_VALUE"""),46237.64583333333)</f>
        <v>46237.64583</v>
      </c>
      <c r="C73" s="1">
        <f>IFERROR(__xludf.DUMMYFUNCTION("""COMPUTED_VALUE"""),486.8)</f>
        <v>486.8</v>
      </c>
      <c r="D73" s="1"/>
      <c r="E73" s="112">
        <f>IFERROR(__xludf.DUMMYFUNCTION("""COMPUTED_VALUE"""),46237.64583333333)</f>
        <v>46237.64583</v>
      </c>
      <c r="F73" s="1">
        <f>IFERROR(__xludf.DUMMYFUNCTION("""COMPUTED_VALUE"""),620.0)</f>
        <v>620</v>
      </c>
      <c r="G73" s="1"/>
      <c r="H73" s="29">
        <f t="shared" si="4"/>
        <v>0.7851612903</v>
      </c>
      <c r="I73" s="1">
        <f t="shared" si="5"/>
        <v>-133.2</v>
      </c>
      <c r="J73" s="113">
        <f t="shared" si="6"/>
        <v>-0.5694517539</v>
      </c>
      <c r="K73" s="29">
        <f t="shared" si="7"/>
        <v>0.7851612903</v>
      </c>
      <c r="L73" s="65">
        <f t="shared" si="8"/>
        <v>485.7025</v>
      </c>
      <c r="M73" s="25">
        <f t="shared" si="9"/>
        <v>0.00225451931</v>
      </c>
      <c r="N73" s="65">
        <f t="shared" si="10"/>
        <v>603.5225</v>
      </c>
      <c r="O73" s="25">
        <f t="shared" si="11"/>
        <v>0.0265766129</v>
      </c>
      <c r="P73" s="25">
        <f t="shared" si="12"/>
        <v>-0.02432209359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7">
        <v>20.0</v>
      </c>
      <c r="B74" s="112">
        <f>IFERROR(__xludf.DUMMYFUNCTION("""COMPUTED_VALUE"""),46238.64583333333)</f>
        <v>46238.64583</v>
      </c>
      <c r="C74" s="1">
        <f>IFERROR(__xludf.DUMMYFUNCTION("""COMPUTED_VALUE"""),481.75)</f>
        <v>481.75</v>
      </c>
      <c r="D74" s="1"/>
      <c r="E74" s="112">
        <f>IFERROR(__xludf.DUMMYFUNCTION("""COMPUTED_VALUE"""),46238.64583333333)</f>
        <v>46238.64583</v>
      </c>
      <c r="F74" s="1">
        <f>IFERROR(__xludf.DUMMYFUNCTION("""COMPUTED_VALUE"""),581.9)</f>
        <v>581.9</v>
      </c>
      <c r="G74" s="1"/>
      <c r="H74" s="29">
        <f t="shared" si="4"/>
        <v>0.8278913903</v>
      </c>
      <c r="I74" s="1">
        <f t="shared" si="5"/>
        <v>-100.15</v>
      </c>
      <c r="J74" s="113">
        <f t="shared" si="6"/>
        <v>0.1370975684</v>
      </c>
      <c r="K74" s="29">
        <f t="shared" si="7"/>
        <v>0.8278913903</v>
      </c>
      <c r="L74" s="65">
        <f t="shared" si="8"/>
        <v>485.8675</v>
      </c>
      <c r="M74" s="25">
        <f t="shared" si="9"/>
        <v>-0.008546964193</v>
      </c>
      <c r="N74" s="65">
        <f t="shared" si="10"/>
        <v>602.575</v>
      </c>
      <c r="O74" s="25">
        <f t="shared" si="11"/>
        <v>-0.03553015982</v>
      </c>
      <c r="P74" s="25">
        <f t="shared" si="12"/>
        <v>0.02698319563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12">
        <f>IFERROR(__xludf.DUMMYFUNCTION("""COMPUTED_VALUE"""),46239.64583333333)</f>
        <v>46239.64583</v>
      </c>
      <c r="C75" s="1">
        <f>IFERROR(__xludf.DUMMYFUNCTION("""COMPUTED_VALUE"""),485.95)</f>
        <v>485.95</v>
      </c>
      <c r="D75" s="1"/>
      <c r="E75" s="112">
        <f>IFERROR(__xludf.DUMMYFUNCTION("""COMPUTED_VALUE"""),46239.64583333333)</f>
        <v>46239.64583</v>
      </c>
      <c r="F75" s="1">
        <f>IFERROR(__xludf.DUMMYFUNCTION("""COMPUTED_VALUE"""),577.25)</f>
        <v>577.25</v>
      </c>
      <c r="G75" s="1"/>
      <c r="H75" s="29">
        <f t="shared" si="4"/>
        <v>0.8418362928</v>
      </c>
      <c r="I75" s="1">
        <f t="shared" si="5"/>
        <v>-91.3</v>
      </c>
      <c r="J75" s="113">
        <f t="shared" si="6"/>
        <v>0.3262945881</v>
      </c>
      <c r="K75" s="29">
        <f t="shared" si="7"/>
        <v>0.8418362928</v>
      </c>
      <c r="L75" s="65">
        <f t="shared" si="8"/>
        <v>486.89</v>
      </c>
      <c r="M75" s="25">
        <f t="shared" si="9"/>
        <v>-0.001934355386</v>
      </c>
      <c r="N75" s="65">
        <f t="shared" si="10"/>
        <v>602.3525</v>
      </c>
      <c r="O75" s="25">
        <f t="shared" si="11"/>
        <v>-0.04348635773</v>
      </c>
      <c r="P75" s="25">
        <f t="shared" si="12"/>
        <v>0.04155200234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12">
        <f>IFERROR(__xludf.DUMMYFUNCTION("""COMPUTED_VALUE"""),46240.64583333333)</f>
        <v>46240.64583</v>
      </c>
      <c r="C76" s="1">
        <f>IFERROR(__xludf.DUMMYFUNCTION("""COMPUTED_VALUE"""),501.2)</f>
        <v>501.2</v>
      </c>
      <c r="D76" s="1"/>
      <c r="E76" s="112">
        <f>IFERROR(__xludf.DUMMYFUNCTION("""COMPUTED_VALUE"""),46240.64583333333)</f>
        <v>46240.64583</v>
      </c>
      <c r="F76" s="1">
        <f>IFERROR(__xludf.DUMMYFUNCTION("""COMPUTED_VALUE"""),572.75)</f>
        <v>572.75</v>
      </c>
      <c r="G76" s="1"/>
      <c r="H76" s="29">
        <f t="shared" si="4"/>
        <v>0.8750763859</v>
      </c>
      <c r="I76" s="1">
        <f t="shared" si="5"/>
        <v>-71.55</v>
      </c>
      <c r="J76" s="113">
        <f t="shared" si="6"/>
        <v>0.7485139259</v>
      </c>
      <c r="K76" s="29">
        <f t="shared" si="7"/>
        <v>0.8750763859</v>
      </c>
      <c r="L76" s="65">
        <f t="shared" si="8"/>
        <v>488.5525</v>
      </c>
      <c r="M76" s="25">
        <f t="shared" si="9"/>
        <v>0.02523443735</v>
      </c>
      <c r="N76" s="65">
        <f t="shared" si="10"/>
        <v>601.8975</v>
      </c>
      <c r="O76" s="25">
        <f t="shared" si="11"/>
        <v>-0.05089044086</v>
      </c>
      <c r="P76" s="25">
        <f t="shared" si="12"/>
        <v>0.07612487821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12">
        <f>IFERROR(__xludf.DUMMYFUNCTION("""COMPUTED_VALUE"""),46241.64583333333)</f>
        <v>46241.64583</v>
      </c>
      <c r="C77" s="1">
        <f>IFERROR(__xludf.DUMMYFUNCTION("""COMPUTED_VALUE"""),502.1)</f>
        <v>502.1</v>
      </c>
      <c r="D77" s="1"/>
      <c r="E77" s="112">
        <f>IFERROR(__xludf.DUMMYFUNCTION("""COMPUTED_VALUE"""),46241.64583333333)</f>
        <v>46241.64583</v>
      </c>
      <c r="F77" s="1">
        <f>IFERROR(__xludf.DUMMYFUNCTION("""COMPUTED_VALUE"""),573.0)</f>
        <v>573</v>
      </c>
      <c r="G77" s="1"/>
      <c r="H77" s="29">
        <f t="shared" si="4"/>
        <v>0.8762652705</v>
      </c>
      <c r="I77" s="1">
        <f t="shared" si="5"/>
        <v>-70.9</v>
      </c>
      <c r="J77" s="113">
        <f t="shared" si="6"/>
        <v>0.7624097522</v>
      </c>
      <c r="K77" s="29">
        <f t="shared" si="7"/>
        <v>0.8762652705</v>
      </c>
      <c r="L77" s="65">
        <f t="shared" si="8"/>
        <v>489.4525</v>
      </c>
      <c r="M77" s="25">
        <f t="shared" si="9"/>
        <v>0.02518920534</v>
      </c>
      <c r="N77" s="65">
        <f t="shared" si="10"/>
        <v>600.81</v>
      </c>
      <c r="O77" s="25">
        <f t="shared" si="11"/>
        <v>-0.04853403141</v>
      </c>
      <c r="P77" s="25">
        <f t="shared" si="12"/>
        <v>0.07372323675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12">
        <f>IFERROR(__xludf.DUMMYFUNCTION("""COMPUTED_VALUE"""),46244.64583333333)</f>
        <v>46244.64583</v>
      </c>
      <c r="C78" s="1">
        <f>IFERROR(__xludf.DUMMYFUNCTION("""COMPUTED_VALUE"""),500.55)</f>
        <v>500.55</v>
      </c>
      <c r="D78" s="1"/>
      <c r="E78" s="112">
        <f>IFERROR(__xludf.DUMMYFUNCTION("""COMPUTED_VALUE"""),46244.64583333333)</f>
        <v>46244.64583</v>
      </c>
      <c r="F78" s="1">
        <f>IFERROR(__xludf.DUMMYFUNCTION("""COMPUTED_VALUE"""),567.0)</f>
        <v>567</v>
      </c>
      <c r="G78" s="1"/>
      <c r="H78" s="29">
        <f t="shared" si="4"/>
        <v>0.8828042328</v>
      </c>
      <c r="I78" s="1">
        <f t="shared" si="5"/>
        <v>-66.45</v>
      </c>
      <c r="J78" s="113">
        <f t="shared" si="6"/>
        <v>0.8575427169</v>
      </c>
      <c r="K78" s="29">
        <f t="shared" si="7"/>
        <v>0.8828042328</v>
      </c>
      <c r="L78" s="65">
        <f t="shared" si="8"/>
        <v>490.265</v>
      </c>
      <c r="M78" s="25">
        <f t="shared" si="9"/>
        <v>0.02054739786</v>
      </c>
      <c r="N78" s="65">
        <f t="shared" si="10"/>
        <v>599.5725</v>
      </c>
      <c r="O78" s="25">
        <f t="shared" si="11"/>
        <v>-0.05744708995</v>
      </c>
      <c r="P78" s="25">
        <f t="shared" si="12"/>
        <v>0.07799448781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12">
        <f>IFERROR(__xludf.DUMMYFUNCTION("""COMPUTED_VALUE"""),46245.64583333333)</f>
        <v>46245.64583</v>
      </c>
      <c r="C79" s="1">
        <f>IFERROR(__xludf.DUMMYFUNCTION("""COMPUTED_VALUE"""),505.3)</f>
        <v>505.3</v>
      </c>
      <c r="D79" s="1"/>
      <c r="E79" s="112">
        <f>IFERROR(__xludf.DUMMYFUNCTION("""COMPUTED_VALUE"""),46245.64583333333)</f>
        <v>46245.64583</v>
      </c>
      <c r="F79" s="1">
        <f>IFERROR(__xludf.DUMMYFUNCTION("""COMPUTED_VALUE"""),568.0)</f>
        <v>568</v>
      </c>
      <c r="G79" s="1"/>
      <c r="H79" s="29">
        <f t="shared" si="4"/>
        <v>0.8896126761</v>
      </c>
      <c r="I79" s="1">
        <f t="shared" si="5"/>
        <v>-62.7</v>
      </c>
      <c r="J79" s="113">
        <f t="shared" si="6"/>
        <v>0.9377109456</v>
      </c>
      <c r="K79" s="29">
        <f t="shared" si="7"/>
        <v>0.8896126761</v>
      </c>
      <c r="L79" s="65">
        <f t="shared" si="8"/>
        <v>491.3775</v>
      </c>
      <c r="M79" s="25">
        <f t="shared" si="9"/>
        <v>0.02755293885</v>
      </c>
      <c r="N79" s="65">
        <f t="shared" si="10"/>
        <v>598.315</v>
      </c>
      <c r="O79" s="25">
        <f t="shared" si="11"/>
        <v>-0.05337147887</v>
      </c>
      <c r="P79" s="25">
        <f t="shared" si="12"/>
        <v>0.08092441772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12">
        <f>IFERROR(__xludf.DUMMYFUNCTION("""COMPUTED_VALUE"""),46246.64583333333)</f>
        <v>46246.64583</v>
      </c>
      <c r="C80" s="1">
        <f>IFERROR(__xludf.DUMMYFUNCTION("""COMPUTED_VALUE"""),530.9)</f>
        <v>530.9</v>
      </c>
      <c r="D80" s="1"/>
      <c r="E80" s="112">
        <f>IFERROR(__xludf.DUMMYFUNCTION("""COMPUTED_VALUE"""),46246.64583333333)</f>
        <v>46246.64583</v>
      </c>
      <c r="F80" s="1">
        <f>IFERROR(__xludf.DUMMYFUNCTION("""COMPUTED_VALUE"""),570.5)</f>
        <v>570.5</v>
      </c>
      <c r="G80" s="1"/>
      <c r="H80" s="29">
        <f t="shared" si="4"/>
        <v>0.9305872042</v>
      </c>
      <c r="I80" s="1">
        <f t="shared" si="5"/>
        <v>-39.6</v>
      </c>
      <c r="J80" s="113">
        <f t="shared" si="6"/>
        <v>1.431547234</v>
      </c>
      <c r="K80" s="29">
        <f t="shared" si="7"/>
        <v>0.9305872042</v>
      </c>
      <c r="L80" s="65">
        <f t="shared" si="8"/>
        <v>492.8875</v>
      </c>
      <c r="M80" s="25">
        <f t="shared" si="9"/>
        <v>0.07160011302</v>
      </c>
      <c r="N80" s="65">
        <f t="shared" si="10"/>
        <v>596.975</v>
      </c>
      <c r="O80" s="25">
        <f t="shared" si="11"/>
        <v>-0.04640666082</v>
      </c>
      <c r="P80" s="25">
        <f t="shared" si="12"/>
        <v>0.1180067738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12">
        <f>IFERROR(__xludf.DUMMYFUNCTION("""COMPUTED_VALUE"""),46247.64583333333)</f>
        <v>46247.64583</v>
      </c>
      <c r="C81" s="1">
        <f>IFERROR(__xludf.DUMMYFUNCTION("""COMPUTED_VALUE"""),538.2)</f>
        <v>538.2</v>
      </c>
      <c r="D81" s="1"/>
      <c r="E81" s="112">
        <f>IFERROR(__xludf.DUMMYFUNCTION("""COMPUTED_VALUE"""),46247.64583333333)</f>
        <v>46247.64583</v>
      </c>
      <c r="F81" s="1">
        <f>IFERROR(__xludf.DUMMYFUNCTION("""COMPUTED_VALUE"""),568.15)</f>
        <v>568.15</v>
      </c>
      <c r="G81" s="1"/>
      <c r="H81" s="29">
        <f t="shared" si="4"/>
        <v>0.947285048</v>
      </c>
      <c r="I81" s="1">
        <f t="shared" si="5"/>
        <v>-29.95</v>
      </c>
      <c r="J81" s="113">
        <f t="shared" si="6"/>
        <v>1.63784681</v>
      </c>
      <c r="K81" s="29">
        <f t="shared" si="7"/>
        <v>0.947285048</v>
      </c>
      <c r="L81" s="65">
        <f t="shared" si="8"/>
        <v>494.56</v>
      </c>
      <c r="M81" s="25">
        <f t="shared" si="9"/>
        <v>0.08108509848</v>
      </c>
      <c r="N81" s="65">
        <f t="shared" si="10"/>
        <v>594.09</v>
      </c>
      <c r="O81" s="25">
        <f t="shared" si="11"/>
        <v>-0.04565695679</v>
      </c>
      <c r="P81" s="25">
        <f t="shared" si="12"/>
        <v>0.1267420553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12">
        <f>IFERROR(__xludf.DUMMYFUNCTION("""COMPUTED_VALUE"""),46248.64583333333)</f>
        <v>46248.64583</v>
      </c>
      <c r="C82" s="1">
        <f>IFERROR(__xludf.DUMMYFUNCTION("""COMPUTED_VALUE"""),534.1)</f>
        <v>534.1</v>
      </c>
      <c r="D82" s="1"/>
      <c r="E82" s="112">
        <f>IFERROR(__xludf.DUMMYFUNCTION("""COMPUTED_VALUE"""),46248.64583333333)</f>
        <v>46248.64583</v>
      </c>
      <c r="F82" s="1">
        <f>IFERROR(__xludf.DUMMYFUNCTION("""COMPUTED_VALUE"""),563.0)</f>
        <v>563</v>
      </c>
      <c r="G82" s="1"/>
      <c r="H82" s="29">
        <f t="shared" si="4"/>
        <v>0.9486678508</v>
      </c>
      <c r="I82" s="1">
        <f t="shared" si="5"/>
        <v>-28.9</v>
      </c>
      <c r="J82" s="113">
        <f t="shared" si="6"/>
        <v>1.660293914</v>
      </c>
      <c r="K82" s="29">
        <f t="shared" si="7"/>
        <v>0.9486678508</v>
      </c>
      <c r="L82" s="65">
        <f t="shared" si="8"/>
        <v>496.5675</v>
      </c>
      <c r="M82" s="25">
        <f t="shared" si="9"/>
        <v>0.07027242089</v>
      </c>
      <c r="N82" s="65">
        <f t="shared" si="10"/>
        <v>591.41</v>
      </c>
      <c r="O82" s="25">
        <f t="shared" si="11"/>
        <v>-0.05046181172</v>
      </c>
      <c r="P82" s="25">
        <f t="shared" si="12"/>
        <v>0.1207342326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12">
        <f>IFERROR(__xludf.DUMMYFUNCTION("""COMPUTED_VALUE"""),46251.64583333333)</f>
        <v>46251.64583</v>
      </c>
      <c r="C83" s="1">
        <f>IFERROR(__xludf.DUMMYFUNCTION("""COMPUTED_VALUE"""),526.7)</f>
        <v>526.7</v>
      </c>
      <c r="D83" s="1"/>
      <c r="E83" s="112">
        <f>IFERROR(__xludf.DUMMYFUNCTION("""COMPUTED_VALUE"""),46251.64583333333)</f>
        <v>46251.64583</v>
      </c>
      <c r="F83" s="1">
        <f>IFERROR(__xludf.DUMMYFUNCTION("""COMPUTED_VALUE"""),567.1)</f>
        <v>567.1</v>
      </c>
      <c r="G83" s="1"/>
      <c r="H83" s="29">
        <f t="shared" si="4"/>
        <v>0.9287603597</v>
      </c>
      <c r="I83" s="1">
        <f t="shared" si="5"/>
        <v>-40.4</v>
      </c>
      <c r="J83" s="113">
        <f t="shared" si="6"/>
        <v>1.414444679</v>
      </c>
      <c r="K83" s="29">
        <f t="shared" si="7"/>
        <v>0.9287603597</v>
      </c>
      <c r="L83" s="65">
        <f t="shared" si="8"/>
        <v>498.1325</v>
      </c>
      <c r="M83" s="25">
        <f t="shared" si="9"/>
        <v>0.05423865578</v>
      </c>
      <c r="N83" s="65">
        <f t="shared" si="10"/>
        <v>589.4625</v>
      </c>
      <c r="O83" s="25">
        <f t="shared" si="11"/>
        <v>-0.03943308059</v>
      </c>
      <c r="P83" s="25">
        <f t="shared" si="12"/>
        <v>0.09367173637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7">
        <v>10.0</v>
      </c>
      <c r="B84" s="112">
        <f>IFERROR(__xludf.DUMMYFUNCTION("""COMPUTED_VALUE"""),46252.64583333333)</f>
        <v>46252.64583</v>
      </c>
      <c r="C84" s="1">
        <f>IFERROR(__xludf.DUMMYFUNCTION("""COMPUTED_VALUE"""),530.1)</f>
        <v>530.1</v>
      </c>
      <c r="D84" s="1"/>
      <c r="E84" s="112">
        <f>IFERROR(__xludf.DUMMYFUNCTION("""COMPUTED_VALUE"""),46252.64583333333)</f>
        <v>46252.64583</v>
      </c>
      <c r="F84" s="1">
        <f>IFERROR(__xludf.DUMMYFUNCTION("""COMPUTED_VALUE"""),560.05)</f>
        <v>560.05</v>
      </c>
      <c r="G84" s="1"/>
      <c r="H84" s="29">
        <f t="shared" si="4"/>
        <v>0.9465226319</v>
      </c>
      <c r="I84" s="1">
        <f t="shared" si="5"/>
        <v>-29.95</v>
      </c>
      <c r="J84" s="113">
        <f t="shared" si="6"/>
        <v>1.63784681</v>
      </c>
      <c r="K84" s="29">
        <f t="shared" si="7"/>
        <v>0.9465226319</v>
      </c>
      <c r="L84" s="65">
        <f t="shared" si="8"/>
        <v>499.6625</v>
      </c>
      <c r="M84" s="25">
        <f t="shared" si="9"/>
        <v>0.05741841162</v>
      </c>
      <c r="N84" s="65">
        <f t="shared" si="10"/>
        <v>586.5575</v>
      </c>
      <c r="O84" s="25">
        <f t="shared" si="11"/>
        <v>-0.04733059548</v>
      </c>
      <c r="P84" s="25">
        <f t="shared" si="12"/>
        <v>0.1047490071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12">
        <f>IFERROR(__xludf.DUMMYFUNCTION("""COMPUTED_VALUE"""),46253.64583333333)</f>
        <v>46253.64583</v>
      </c>
      <c r="C85" s="1">
        <f>IFERROR(__xludf.DUMMYFUNCTION("""COMPUTED_VALUE"""),527.05)</f>
        <v>527.05</v>
      </c>
      <c r="D85" s="1"/>
      <c r="E85" s="112">
        <f>IFERROR(__xludf.DUMMYFUNCTION("""COMPUTED_VALUE"""),46253.64583333333)</f>
        <v>46253.64583</v>
      </c>
      <c r="F85" s="1">
        <f>IFERROR(__xludf.DUMMYFUNCTION("""COMPUTED_VALUE"""),568.0)</f>
        <v>568</v>
      </c>
      <c r="G85" s="1"/>
      <c r="H85" s="29">
        <f t="shared" si="4"/>
        <v>0.9279049296</v>
      </c>
      <c r="I85" s="1">
        <f t="shared" si="5"/>
        <v>-40.95</v>
      </c>
      <c r="J85" s="113">
        <f t="shared" si="6"/>
        <v>1.402686672</v>
      </c>
      <c r="K85" s="29">
        <f t="shared" si="7"/>
        <v>0.9279049296</v>
      </c>
      <c r="L85" s="65">
        <f t="shared" si="8"/>
        <v>501.2175</v>
      </c>
      <c r="M85" s="25">
        <f t="shared" si="9"/>
        <v>0.04901337634</v>
      </c>
      <c r="N85" s="65">
        <f t="shared" si="10"/>
        <v>584.515</v>
      </c>
      <c r="O85" s="25">
        <f t="shared" si="11"/>
        <v>-0.02907570423</v>
      </c>
      <c r="P85" s="25">
        <f t="shared" si="12"/>
        <v>0.07808908057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12">
        <f>IFERROR(__xludf.DUMMYFUNCTION("""COMPUTED_VALUE"""),46254.64583333333)</f>
        <v>46254.64583</v>
      </c>
      <c r="C86" s="1">
        <f>IFERROR(__xludf.DUMMYFUNCTION("""COMPUTED_VALUE"""),520.05)</f>
        <v>520.05</v>
      </c>
      <c r="D86" s="1"/>
      <c r="E86" s="112">
        <f>IFERROR(__xludf.DUMMYFUNCTION("""COMPUTED_VALUE"""),46254.64583333333)</f>
        <v>46254.64583</v>
      </c>
      <c r="F86" s="1">
        <f>IFERROR(__xludf.DUMMYFUNCTION("""COMPUTED_VALUE"""),571.9)</f>
        <v>571.9</v>
      </c>
      <c r="G86" s="1"/>
      <c r="H86" s="29">
        <f t="shared" si="4"/>
        <v>0.9093372967</v>
      </c>
      <c r="I86" s="1">
        <f t="shared" si="5"/>
        <v>-51.85</v>
      </c>
      <c r="J86" s="113">
        <f t="shared" si="6"/>
        <v>1.169664354</v>
      </c>
      <c r="K86" s="29">
        <f t="shared" si="7"/>
        <v>0.9093372967</v>
      </c>
      <c r="L86" s="65">
        <f t="shared" si="8"/>
        <v>503.31</v>
      </c>
      <c r="M86" s="25">
        <f t="shared" si="9"/>
        <v>0.03218921258</v>
      </c>
      <c r="N86" s="65">
        <f t="shared" si="10"/>
        <v>582.76</v>
      </c>
      <c r="O86" s="25">
        <f t="shared" si="11"/>
        <v>-0.0189893338</v>
      </c>
      <c r="P86" s="25">
        <f t="shared" si="12"/>
        <v>0.05117854638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12">
        <f>IFERROR(__xludf.DUMMYFUNCTION("""COMPUTED_VALUE"""),46255.64583333333)</f>
        <v>46255.64583</v>
      </c>
      <c r="C87" s="1">
        <f>IFERROR(__xludf.DUMMYFUNCTION("""COMPUTED_VALUE"""),527.2)</f>
        <v>527.2</v>
      </c>
      <c r="D87" s="1"/>
      <c r="E87" s="112">
        <f>IFERROR(__xludf.DUMMYFUNCTION("""COMPUTED_VALUE"""),46255.64583333333)</f>
        <v>46255.64583</v>
      </c>
      <c r="F87" s="1">
        <f>IFERROR(__xludf.DUMMYFUNCTION("""COMPUTED_VALUE"""),569.0)</f>
        <v>569</v>
      </c>
      <c r="G87" s="1"/>
      <c r="H87" s="29">
        <f t="shared" si="4"/>
        <v>0.9265377856</v>
      </c>
      <c r="I87" s="1">
        <f t="shared" si="5"/>
        <v>-41.8</v>
      </c>
      <c r="J87" s="113">
        <f t="shared" si="6"/>
        <v>1.384515207</v>
      </c>
      <c r="K87" s="29">
        <f t="shared" si="7"/>
        <v>0.9265377856</v>
      </c>
      <c r="L87" s="65">
        <f t="shared" si="8"/>
        <v>505.78</v>
      </c>
      <c r="M87" s="25">
        <f t="shared" si="9"/>
        <v>0.04062974203</v>
      </c>
      <c r="N87" s="65">
        <f t="shared" si="10"/>
        <v>581.0875</v>
      </c>
      <c r="O87" s="25">
        <f t="shared" si="11"/>
        <v>-0.02124340949</v>
      </c>
      <c r="P87" s="25">
        <f t="shared" si="12"/>
        <v>0.06187315152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12">
        <f>IFERROR(__xludf.DUMMYFUNCTION("""COMPUTED_VALUE"""),46258.64583333333)</f>
        <v>46258.64583</v>
      </c>
      <c r="C88" s="1">
        <f>IFERROR(__xludf.DUMMYFUNCTION("""COMPUTED_VALUE"""),543.15)</f>
        <v>543.15</v>
      </c>
      <c r="D88" s="1"/>
      <c r="E88" s="112">
        <f>IFERROR(__xludf.DUMMYFUNCTION("""COMPUTED_VALUE"""),46258.64583333333)</f>
        <v>46258.64583</v>
      </c>
      <c r="F88" s="1">
        <f>IFERROR(__xludf.DUMMYFUNCTION("""COMPUTED_VALUE"""),571.9)</f>
        <v>571.9</v>
      </c>
      <c r="G88" s="1"/>
      <c r="H88" s="29">
        <f t="shared" si="4"/>
        <v>0.9497289736</v>
      </c>
      <c r="I88" s="1">
        <f t="shared" si="5"/>
        <v>-28.75</v>
      </c>
      <c r="J88" s="113">
        <f t="shared" si="6"/>
        <v>1.663500643</v>
      </c>
      <c r="K88" s="29">
        <f t="shared" si="7"/>
        <v>0.9497289736</v>
      </c>
      <c r="L88" s="65">
        <f t="shared" si="8"/>
        <v>508.6325</v>
      </c>
      <c r="M88" s="25">
        <f t="shared" si="9"/>
        <v>0.06355058455</v>
      </c>
      <c r="N88" s="65">
        <f t="shared" si="10"/>
        <v>579.2575</v>
      </c>
      <c r="O88" s="25">
        <f t="shared" si="11"/>
        <v>-0.01286501137</v>
      </c>
      <c r="P88" s="25">
        <f t="shared" si="12"/>
        <v>0.07641559592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12">
        <f>IFERROR(__xludf.DUMMYFUNCTION("""COMPUTED_VALUE"""),46259.64583333333)</f>
        <v>46259.64583</v>
      </c>
      <c r="C89" s="1">
        <f>IFERROR(__xludf.DUMMYFUNCTION("""COMPUTED_VALUE"""),538.9)</f>
        <v>538.9</v>
      </c>
      <c r="D89" s="1"/>
      <c r="E89" s="112">
        <f>IFERROR(__xludf.DUMMYFUNCTION("""COMPUTED_VALUE"""),46259.64583333333)</f>
        <v>46259.64583</v>
      </c>
      <c r="F89" s="1">
        <f>IFERROR(__xludf.DUMMYFUNCTION("""COMPUTED_VALUE"""),585.0)</f>
        <v>585</v>
      </c>
      <c r="G89" s="1"/>
      <c r="H89" s="29">
        <f t="shared" si="4"/>
        <v>0.9211965812</v>
      </c>
      <c r="I89" s="1">
        <f t="shared" si="5"/>
        <v>-46.1</v>
      </c>
      <c r="J89" s="113">
        <f t="shared" si="6"/>
        <v>1.292588971</v>
      </c>
      <c r="K89" s="29">
        <f t="shared" si="7"/>
        <v>0.9211965812</v>
      </c>
      <c r="L89" s="65">
        <f t="shared" si="8"/>
        <v>511.74</v>
      </c>
      <c r="M89" s="25">
        <f t="shared" si="9"/>
        <v>0.05039896085</v>
      </c>
      <c r="N89" s="65">
        <f t="shared" si="10"/>
        <v>578.525</v>
      </c>
      <c r="O89" s="25">
        <f t="shared" si="11"/>
        <v>0.01106837607</v>
      </c>
      <c r="P89" s="25">
        <f t="shared" si="12"/>
        <v>0.03933058478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12">
        <f>IFERROR(__xludf.DUMMYFUNCTION("""COMPUTED_VALUE"""),46260.64583333333)</f>
        <v>46260.64583</v>
      </c>
      <c r="C90" s="1">
        <f>IFERROR(__xludf.DUMMYFUNCTION("""COMPUTED_VALUE"""),542.95)</f>
        <v>542.95</v>
      </c>
      <c r="D90" s="25"/>
      <c r="E90" s="112">
        <f>IFERROR(__xludf.DUMMYFUNCTION("""COMPUTED_VALUE"""),46260.64583333333)</f>
        <v>46260.64583</v>
      </c>
      <c r="F90" s="1">
        <f>IFERROR(__xludf.DUMMYFUNCTION("""COMPUTED_VALUE"""),589.3)</f>
        <v>589.3</v>
      </c>
      <c r="G90" s="1"/>
      <c r="H90" s="29">
        <f t="shared" si="4"/>
        <v>0.9213473613</v>
      </c>
      <c r="I90" s="1">
        <f t="shared" si="5"/>
        <v>-46.35</v>
      </c>
      <c r="J90" s="113">
        <f t="shared" si="6"/>
        <v>1.287244423</v>
      </c>
      <c r="K90" s="29">
        <f t="shared" si="7"/>
        <v>0.9213473613</v>
      </c>
      <c r="L90" s="65">
        <f t="shared" si="8"/>
        <v>514.6125</v>
      </c>
      <c r="M90" s="25">
        <f t="shared" si="9"/>
        <v>0.05219173036</v>
      </c>
      <c r="N90" s="65">
        <f t="shared" si="10"/>
        <v>577.5325</v>
      </c>
      <c r="O90" s="25">
        <f t="shared" si="11"/>
        <v>0.01996860682</v>
      </c>
      <c r="P90" s="25">
        <f t="shared" si="12"/>
        <v>0.03222312354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12">
        <f>IFERROR(__xludf.DUMMYFUNCTION("""COMPUTED_VALUE"""),46261.64583333333)</f>
        <v>46261.64583</v>
      </c>
      <c r="C91" s="1">
        <f>IFERROR(__xludf.DUMMYFUNCTION("""COMPUTED_VALUE"""),538.9)</f>
        <v>538.9</v>
      </c>
      <c r="D91" s="1"/>
      <c r="E91" s="112">
        <f>IFERROR(__xludf.DUMMYFUNCTION("""COMPUTED_VALUE"""),46261.64583333333)</f>
        <v>46261.64583</v>
      </c>
      <c r="F91" s="1">
        <f>IFERROR(__xludf.DUMMYFUNCTION("""COMPUTED_VALUE"""),578.1)</f>
        <v>578.1</v>
      </c>
      <c r="G91" s="1"/>
      <c r="H91" s="29">
        <f t="shared" si="4"/>
        <v>0.9321916623</v>
      </c>
      <c r="I91" s="1">
        <f t="shared" si="5"/>
        <v>-39.2</v>
      </c>
      <c r="J91" s="113">
        <f t="shared" si="6"/>
        <v>1.440098512</v>
      </c>
      <c r="K91" s="29">
        <f t="shared" si="7"/>
        <v>0.9321916623</v>
      </c>
      <c r="L91" s="65">
        <f t="shared" si="8"/>
        <v>517.5475</v>
      </c>
      <c r="M91" s="25">
        <f t="shared" si="9"/>
        <v>0.03962237892</v>
      </c>
      <c r="N91" s="65">
        <f t="shared" si="10"/>
        <v>576.31</v>
      </c>
      <c r="O91" s="25">
        <f t="shared" si="11"/>
        <v>0.003096350112</v>
      </c>
      <c r="P91" s="25">
        <f t="shared" si="12"/>
        <v>0.03652602881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12">
        <f>IFERROR(__xludf.DUMMYFUNCTION("""COMPUTED_VALUE"""),46262.64583333333)</f>
        <v>46262.64583</v>
      </c>
      <c r="C92" s="1">
        <f>IFERROR(__xludf.DUMMYFUNCTION("""COMPUTED_VALUE"""),540.35)</f>
        <v>540.35</v>
      </c>
      <c r="D92" s="1"/>
      <c r="E92" s="112">
        <f>IFERROR(__xludf.DUMMYFUNCTION("""COMPUTED_VALUE"""),46262.64583333333)</f>
        <v>46262.64583</v>
      </c>
      <c r="F92" s="1">
        <f>IFERROR(__xludf.DUMMYFUNCTION("""COMPUTED_VALUE"""),571.0)</f>
        <v>571</v>
      </c>
      <c r="G92" s="1"/>
      <c r="H92" s="29">
        <f t="shared" si="4"/>
        <v>0.9463222417</v>
      </c>
      <c r="I92" s="1">
        <f t="shared" si="5"/>
        <v>-30.65</v>
      </c>
      <c r="J92" s="113">
        <f t="shared" si="6"/>
        <v>1.622882074</v>
      </c>
      <c r="K92" s="29">
        <f t="shared" si="7"/>
        <v>0.9463222417</v>
      </c>
      <c r="L92" s="65">
        <f t="shared" si="8"/>
        <v>520.11</v>
      </c>
      <c r="M92" s="25">
        <f t="shared" si="9"/>
        <v>0.03745720366</v>
      </c>
      <c r="N92" s="65">
        <f t="shared" si="10"/>
        <v>574.645</v>
      </c>
      <c r="O92" s="25">
        <f t="shared" si="11"/>
        <v>-0.006383537653</v>
      </c>
      <c r="P92" s="25">
        <f t="shared" si="12"/>
        <v>0.04384074132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12">
        <f>IFERROR(__xludf.DUMMYFUNCTION("""COMPUTED_VALUE"""),46265.64583333333)</f>
        <v>46265.64583</v>
      </c>
      <c r="C93" s="1">
        <f>IFERROR(__xludf.DUMMYFUNCTION("""COMPUTED_VALUE"""),524.4)</f>
        <v>524.4</v>
      </c>
      <c r="D93" s="1"/>
      <c r="E93" s="112">
        <f>IFERROR(__xludf.DUMMYFUNCTION("""COMPUTED_VALUE"""),46265.64583333333)</f>
        <v>46265.64583</v>
      </c>
      <c r="F93" s="1">
        <f>IFERROR(__xludf.DUMMYFUNCTION("""COMPUTED_VALUE"""),562.25)</f>
        <v>562.25</v>
      </c>
      <c r="G93" s="1"/>
      <c r="H93" s="29">
        <f t="shared" si="4"/>
        <v>0.9326811916</v>
      </c>
      <c r="I93" s="1">
        <f t="shared" si="5"/>
        <v>-37.85</v>
      </c>
      <c r="J93" s="113">
        <f t="shared" si="6"/>
        <v>1.468959074</v>
      </c>
      <c r="K93" s="29">
        <f t="shared" si="7"/>
        <v>0.9326811916</v>
      </c>
      <c r="L93" s="65">
        <f t="shared" si="8"/>
        <v>521.99</v>
      </c>
      <c r="M93" s="25">
        <f t="shared" si="9"/>
        <v>0.004595728452</v>
      </c>
      <c r="N93" s="65">
        <f t="shared" si="10"/>
        <v>571.7575</v>
      </c>
      <c r="O93" s="25">
        <f t="shared" si="11"/>
        <v>-0.01690973766</v>
      </c>
      <c r="P93" s="25">
        <f t="shared" si="12"/>
        <v>0.02150546611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12">
        <f>IFERROR(__xludf.DUMMYFUNCTION("""COMPUTED_VALUE"""),46266.64583333333)</f>
        <v>46266.64583</v>
      </c>
      <c r="C94" s="1">
        <f>IFERROR(__xludf.DUMMYFUNCTION("""COMPUTED_VALUE"""),524.85)</f>
        <v>524.85</v>
      </c>
      <c r="D94" s="1"/>
      <c r="E94" s="112">
        <f>IFERROR(__xludf.DUMMYFUNCTION("""COMPUTED_VALUE"""),46266.64583333333)</f>
        <v>46266.64583</v>
      </c>
      <c r="F94" s="1">
        <f>IFERROR(__xludf.DUMMYFUNCTION("""COMPUTED_VALUE"""),567.1)</f>
        <v>567.1</v>
      </c>
      <c r="G94" s="1"/>
      <c r="H94" s="29">
        <f t="shared" si="4"/>
        <v>0.9254981485</v>
      </c>
      <c r="I94" s="1">
        <f t="shared" si="5"/>
        <v>-42.25</v>
      </c>
      <c r="J94" s="113">
        <f t="shared" si="6"/>
        <v>1.374895019</v>
      </c>
      <c r="K94" s="29">
        <f t="shared" si="7"/>
        <v>0.9254981485</v>
      </c>
      <c r="L94" s="65">
        <f t="shared" si="8"/>
        <v>524.145</v>
      </c>
      <c r="M94" s="25">
        <f t="shared" si="9"/>
        <v>0.001343240926</v>
      </c>
      <c r="N94" s="65">
        <f t="shared" si="10"/>
        <v>571.0175</v>
      </c>
      <c r="O94" s="25">
        <f t="shared" si="11"/>
        <v>-0.006907952742</v>
      </c>
      <c r="P94" s="25">
        <f t="shared" si="12"/>
        <v>0.008251193668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12">
        <f>IFERROR(__xludf.DUMMYFUNCTION("""COMPUTED_VALUE"""),46267.64583333333)</f>
        <v>46267.64583</v>
      </c>
      <c r="C95" s="1">
        <f>IFERROR(__xludf.DUMMYFUNCTION("""COMPUTED_VALUE"""),505.2)</f>
        <v>505.2</v>
      </c>
      <c r="D95" s="1"/>
      <c r="E95" s="112">
        <f>IFERROR(__xludf.DUMMYFUNCTION("""COMPUTED_VALUE"""),46267.64583333333)</f>
        <v>46267.64583</v>
      </c>
      <c r="F95" s="1">
        <f>IFERROR(__xludf.DUMMYFUNCTION("""COMPUTED_VALUE"""),578.45)</f>
        <v>578.45</v>
      </c>
      <c r="G95" s="1"/>
      <c r="H95" s="29">
        <f t="shared" si="4"/>
        <v>0.8733684847</v>
      </c>
      <c r="I95" s="1">
        <f t="shared" si="5"/>
        <v>-73.25</v>
      </c>
      <c r="J95" s="113">
        <f t="shared" si="6"/>
        <v>0.7121709956</v>
      </c>
      <c r="K95" s="29">
        <f t="shared" si="7"/>
        <v>0.8733684847</v>
      </c>
      <c r="L95" s="65">
        <f t="shared" si="8"/>
        <v>525.1075</v>
      </c>
      <c r="M95" s="25">
        <f t="shared" si="9"/>
        <v>-0.03940518606</v>
      </c>
      <c r="N95" s="65">
        <f t="shared" si="10"/>
        <v>571.0775</v>
      </c>
      <c r="O95" s="25">
        <f t="shared" si="11"/>
        <v>0.01274526753</v>
      </c>
      <c r="P95" s="25">
        <f t="shared" si="12"/>
        <v>-0.05215045359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12">
        <f>IFERROR(__xludf.DUMMYFUNCTION("""COMPUTED_VALUE"""),46268.64583333333)</f>
        <v>46268.64583</v>
      </c>
      <c r="C96" s="1">
        <f>IFERROR(__xludf.DUMMYFUNCTION("""COMPUTED_VALUE"""),501.9)</f>
        <v>501.9</v>
      </c>
      <c r="D96" s="1"/>
      <c r="E96" s="112">
        <f>IFERROR(__xludf.DUMMYFUNCTION("""COMPUTED_VALUE"""),46268.64583333333)</f>
        <v>46268.64583</v>
      </c>
      <c r="F96" s="1">
        <f>IFERROR(__xludf.DUMMYFUNCTION("""COMPUTED_VALUE"""),585.35)</f>
        <v>585.35</v>
      </c>
      <c r="G96" s="1"/>
      <c r="H96" s="29">
        <f t="shared" si="4"/>
        <v>0.8574357222</v>
      </c>
      <c r="I96" s="1">
        <f t="shared" si="5"/>
        <v>-83.45</v>
      </c>
      <c r="J96" s="113">
        <f t="shared" si="6"/>
        <v>0.4941134135</v>
      </c>
      <c r="K96" s="29">
        <f t="shared" si="7"/>
        <v>0.8574357222</v>
      </c>
      <c r="L96" s="65">
        <f t="shared" si="8"/>
        <v>525.1425</v>
      </c>
      <c r="M96" s="25">
        <f t="shared" si="9"/>
        <v>-0.0463090257</v>
      </c>
      <c r="N96" s="65">
        <f t="shared" si="10"/>
        <v>571.7075</v>
      </c>
      <c r="O96" s="25">
        <f t="shared" si="11"/>
        <v>0.02330656872</v>
      </c>
      <c r="P96" s="25">
        <f t="shared" si="12"/>
        <v>-0.06961559442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12">
        <f>IFERROR(__xludf.DUMMYFUNCTION("""COMPUTED_VALUE"""),46269.64583333333)</f>
        <v>46269.64583</v>
      </c>
      <c r="C97" s="1">
        <f>IFERROR(__xludf.DUMMYFUNCTION("""COMPUTED_VALUE"""),492.05)</f>
        <v>492.05</v>
      </c>
      <c r="D97" s="1"/>
      <c r="E97" s="112">
        <f>IFERROR(__xludf.DUMMYFUNCTION("""COMPUTED_VALUE"""),46269.64583333333)</f>
        <v>46269.64583</v>
      </c>
      <c r="F97" s="1">
        <f>IFERROR(__xludf.DUMMYFUNCTION("""COMPUTED_VALUE"""),582.15)</f>
        <v>582.15</v>
      </c>
      <c r="G97" s="1"/>
      <c r="H97" s="29">
        <f t="shared" si="4"/>
        <v>0.8452288929</v>
      </c>
      <c r="I97" s="1">
        <f t="shared" si="5"/>
        <v>-90.1</v>
      </c>
      <c r="J97" s="113">
        <f t="shared" si="6"/>
        <v>0.3519484213</v>
      </c>
      <c r="K97" s="29">
        <f t="shared" si="7"/>
        <v>0.8452288929</v>
      </c>
      <c r="L97" s="65">
        <f t="shared" si="8"/>
        <v>524.64</v>
      </c>
      <c r="M97" s="25">
        <f t="shared" si="9"/>
        <v>-0.06623310639</v>
      </c>
      <c r="N97" s="65">
        <f t="shared" si="10"/>
        <v>572.165</v>
      </c>
      <c r="O97" s="25">
        <f t="shared" si="11"/>
        <v>0.01715193679</v>
      </c>
      <c r="P97" s="25">
        <f t="shared" si="12"/>
        <v>-0.08338504318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12">
        <f>IFERROR(__xludf.DUMMYFUNCTION("""COMPUTED_VALUE"""),46272.64583333333)</f>
        <v>46272.64583</v>
      </c>
      <c r="C98" s="1">
        <f>IFERROR(__xludf.DUMMYFUNCTION("""COMPUTED_VALUE"""),490.7)</f>
        <v>490.7</v>
      </c>
      <c r="D98" s="1"/>
      <c r="E98" s="112">
        <f>IFERROR(__xludf.DUMMYFUNCTION("""COMPUTED_VALUE"""),46272.64583333333)</f>
        <v>46272.64583</v>
      </c>
      <c r="F98" s="1">
        <f>IFERROR(__xludf.DUMMYFUNCTION("""COMPUTED_VALUE"""),573.0)</f>
        <v>573</v>
      </c>
      <c r="G98" s="1"/>
      <c r="H98" s="29">
        <f t="shared" si="4"/>
        <v>0.8563699825</v>
      </c>
      <c r="I98" s="1">
        <f t="shared" si="5"/>
        <v>-82.3</v>
      </c>
      <c r="J98" s="113">
        <f t="shared" si="6"/>
        <v>0.518698337</v>
      </c>
      <c r="K98" s="29">
        <f t="shared" si="7"/>
        <v>0.8563699825</v>
      </c>
      <c r="L98" s="65">
        <f t="shared" si="8"/>
        <v>524.1475</v>
      </c>
      <c r="M98" s="25">
        <f t="shared" si="9"/>
        <v>-0.06816282861</v>
      </c>
      <c r="N98" s="65">
        <f t="shared" si="10"/>
        <v>572.465</v>
      </c>
      <c r="O98" s="25">
        <f t="shared" si="11"/>
        <v>0.0009336823735</v>
      </c>
      <c r="P98" s="25">
        <f t="shared" si="12"/>
        <v>-0.06909651099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12">
        <f>IFERROR(__xludf.DUMMYFUNCTION("""COMPUTED_VALUE"""),46273.64583333333)</f>
        <v>46273.64583</v>
      </c>
      <c r="C99" s="1">
        <f>IFERROR(__xludf.DUMMYFUNCTION("""COMPUTED_VALUE"""),503.7)</f>
        <v>503.7</v>
      </c>
      <c r="D99" s="1"/>
      <c r="E99" s="112">
        <f>IFERROR(__xludf.DUMMYFUNCTION("""COMPUTED_VALUE"""),46273.64583333333)</f>
        <v>46273.64583</v>
      </c>
      <c r="F99" s="1">
        <f>IFERROR(__xludf.DUMMYFUNCTION("""COMPUTED_VALUE"""),576.75)</f>
        <v>576.75</v>
      </c>
      <c r="G99" s="1"/>
      <c r="H99" s="29">
        <f t="shared" si="4"/>
        <v>0.8733420026</v>
      </c>
      <c r="I99" s="1">
        <f t="shared" si="5"/>
        <v>-73.05</v>
      </c>
      <c r="J99" s="113">
        <f t="shared" si="6"/>
        <v>0.7164466344</v>
      </c>
      <c r="K99" s="29">
        <f t="shared" si="7"/>
        <v>0.8733420026</v>
      </c>
      <c r="L99" s="65">
        <f t="shared" si="8"/>
        <v>524.0675</v>
      </c>
      <c r="M99" s="25">
        <f t="shared" si="9"/>
        <v>-0.04043577526</v>
      </c>
      <c r="N99" s="65">
        <f t="shared" si="10"/>
        <v>572.9025</v>
      </c>
      <c r="O99" s="25">
        <f t="shared" si="11"/>
        <v>0.0066710013</v>
      </c>
      <c r="P99" s="25">
        <f t="shared" si="12"/>
        <v>-0.04710677656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12">
        <f>IFERROR(__xludf.DUMMYFUNCTION("""COMPUTED_VALUE"""),46274.64583333333)</f>
        <v>46274.64583</v>
      </c>
      <c r="C100" s="1">
        <f>IFERROR(__xludf.DUMMYFUNCTION("""COMPUTED_VALUE"""),496.2)</f>
        <v>496.2</v>
      </c>
      <c r="D100" s="1"/>
      <c r="E100" s="112">
        <f>IFERROR(__xludf.DUMMYFUNCTION("""COMPUTED_VALUE"""),46274.64583333333)</f>
        <v>46274.64583</v>
      </c>
      <c r="F100" s="1">
        <f>IFERROR(__xludf.DUMMYFUNCTION("""COMPUTED_VALUE"""),575.7)</f>
        <v>575.7</v>
      </c>
      <c r="G100" s="1"/>
      <c r="H100" s="29">
        <f t="shared" si="4"/>
        <v>0.8619072434</v>
      </c>
      <c r="I100" s="1">
        <f t="shared" si="5"/>
        <v>-79.5</v>
      </c>
      <c r="J100" s="113">
        <f t="shared" si="6"/>
        <v>0.5785572811</v>
      </c>
      <c r="K100" s="29">
        <f t="shared" si="7"/>
        <v>0.8619072434</v>
      </c>
      <c r="L100" s="65">
        <f t="shared" si="8"/>
        <v>522.3325</v>
      </c>
      <c r="M100" s="25">
        <f t="shared" si="9"/>
        <v>-0.05266525595</v>
      </c>
      <c r="N100" s="65">
        <f t="shared" si="10"/>
        <v>573.1625</v>
      </c>
      <c r="O100" s="25">
        <f t="shared" si="11"/>
        <v>0.00440767761</v>
      </c>
      <c r="P100" s="25">
        <f t="shared" si="12"/>
        <v>-0.05707293356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12">
        <f>IFERROR(__xludf.DUMMYFUNCTION("""COMPUTED_VALUE"""),46275.64583333333)</f>
        <v>46275.64583</v>
      </c>
      <c r="C101" s="1">
        <f>IFERROR(__xludf.DUMMYFUNCTION("""COMPUTED_VALUE"""),504.05)</f>
        <v>504.05</v>
      </c>
      <c r="D101" s="1"/>
      <c r="E101" s="112">
        <f>IFERROR(__xludf.DUMMYFUNCTION("""COMPUTED_VALUE"""),46275.64583333333)</f>
        <v>46275.64583</v>
      </c>
      <c r="F101" s="1">
        <f>IFERROR(__xludf.DUMMYFUNCTION("""COMPUTED_VALUE"""),575.3)</f>
        <v>575.3</v>
      </c>
      <c r="G101" s="1"/>
      <c r="H101" s="29">
        <f t="shared" si="4"/>
        <v>0.8761515731</v>
      </c>
      <c r="I101" s="1">
        <f t="shared" si="5"/>
        <v>-71.25</v>
      </c>
      <c r="J101" s="113">
        <f t="shared" si="6"/>
        <v>0.7549273842</v>
      </c>
      <c r="K101" s="29">
        <f t="shared" si="7"/>
        <v>0.8761515731</v>
      </c>
      <c r="L101" s="65">
        <f t="shared" si="8"/>
        <v>520.625</v>
      </c>
      <c r="M101" s="25">
        <f t="shared" si="9"/>
        <v>-0.0328836425</v>
      </c>
      <c r="N101" s="65">
        <f t="shared" si="10"/>
        <v>573.52</v>
      </c>
      <c r="O101" s="25">
        <f t="shared" si="11"/>
        <v>0.003094037893</v>
      </c>
      <c r="P101" s="25">
        <f t="shared" si="12"/>
        <v>-0.03597768039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12">
        <f>IFERROR(__xludf.DUMMYFUNCTION("""COMPUTED_VALUE"""),46276.64583333333)</f>
        <v>46276.64583</v>
      </c>
      <c r="C102" s="1">
        <f>IFERROR(__xludf.DUMMYFUNCTION("""COMPUTED_VALUE"""),492.7)</f>
        <v>492.7</v>
      </c>
      <c r="D102" s="1"/>
      <c r="E102" s="112">
        <f>IFERROR(__xludf.DUMMYFUNCTION("""COMPUTED_VALUE"""),46276.64583333333)</f>
        <v>46276.64583</v>
      </c>
      <c r="F102" s="1">
        <f>IFERROR(__xludf.DUMMYFUNCTION("""COMPUTED_VALUE"""),572.95)</f>
        <v>572.95</v>
      </c>
      <c r="G102" s="1"/>
      <c r="H102" s="29">
        <f t="shared" si="4"/>
        <v>0.8599354219</v>
      </c>
      <c r="I102" s="1">
        <f t="shared" si="5"/>
        <v>-80.25</v>
      </c>
      <c r="J102" s="113">
        <f t="shared" si="6"/>
        <v>0.5625236353</v>
      </c>
      <c r="K102" s="29">
        <f t="shared" si="7"/>
        <v>0.8599354219</v>
      </c>
      <c r="L102" s="65">
        <f t="shared" si="8"/>
        <v>518.555</v>
      </c>
      <c r="M102" s="25">
        <f t="shared" si="9"/>
        <v>-0.05247615182</v>
      </c>
      <c r="N102" s="65">
        <f t="shared" si="10"/>
        <v>574.0175</v>
      </c>
      <c r="O102" s="25">
        <f t="shared" si="11"/>
        <v>-0.001863164325</v>
      </c>
      <c r="P102" s="25">
        <f t="shared" si="12"/>
        <v>-0.05061298749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12">
        <f>IFERROR(__xludf.DUMMYFUNCTION("""COMPUTED_VALUE"""),46280.64583333333)</f>
        <v>46280.64583</v>
      </c>
      <c r="C103" s="1">
        <f>IFERROR(__xludf.DUMMYFUNCTION("""COMPUTED_VALUE"""),468.7)</f>
        <v>468.7</v>
      </c>
      <c r="D103" s="1"/>
      <c r="E103" s="112">
        <f>IFERROR(__xludf.DUMMYFUNCTION("""COMPUTED_VALUE"""),46280.64583333333)</f>
        <v>46280.64583</v>
      </c>
      <c r="F103" s="1">
        <f>IFERROR(__xludf.DUMMYFUNCTION("""COMPUTED_VALUE"""),560.8)</f>
        <v>560.8</v>
      </c>
      <c r="G103" s="1"/>
      <c r="H103" s="29">
        <f t="shared" si="4"/>
        <v>0.8357703281</v>
      </c>
      <c r="I103" s="1">
        <f t="shared" si="5"/>
        <v>-92.1</v>
      </c>
      <c r="J103" s="113">
        <f t="shared" si="6"/>
        <v>0.3091920326</v>
      </c>
      <c r="K103" s="29">
        <f t="shared" si="7"/>
        <v>0.8357703281</v>
      </c>
      <c r="L103" s="65">
        <f t="shared" si="8"/>
        <v>515.655</v>
      </c>
      <c r="M103" s="25">
        <f t="shared" si="9"/>
        <v>-0.1001813527</v>
      </c>
      <c r="N103" s="65">
        <f t="shared" si="10"/>
        <v>573.7025</v>
      </c>
      <c r="O103" s="25">
        <f t="shared" si="11"/>
        <v>-0.02300731098</v>
      </c>
      <c r="P103" s="25">
        <f t="shared" si="12"/>
        <v>-0.07717404169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12">
        <f>IFERROR(__xludf.DUMMYFUNCTION("""COMPUTED_VALUE"""),46281.64583333333)</f>
        <v>46281.64583</v>
      </c>
      <c r="C104" s="1">
        <f>IFERROR(__xludf.DUMMYFUNCTION("""COMPUTED_VALUE"""),472.85)</f>
        <v>472.85</v>
      </c>
      <c r="D104" s="1"/>
      <c r="E104" s="112">
        <f>IFERROR(__xludf.DUMMYFUNCTION("""COMPUTED_VALUE"""),46281.64583333333)</f>
        <v>46281.64583</v>
      </c>
      <c r="F104" s="1">
        <f>IFERROR(__xludf.DUMMYFUNCTION("""COMPUTED_VALUE"""),550.6)</f>
        <v>550.6</v>
      </c>
      <c r="G104" s="1"/>
      <c r="H104" s="29">
        <f t="shared" si="4"/>
        <v>0.8587904105</v>
      </c>
      <c r="I104" s="1">
        <f t="shared" si="5"/>
        <v>-77.75</v>
      </c>
      <c r="J104" s="113">
        <f t="shared" si="6"/>
        <v>0.6159691211</v>
      </c>
      <c r="K104" s="29">
        <f t="shared" si="7"/>
        <v>0.8587904105</v>
      </c>
      <c r="L104" s="65">
        <f t="shared" si="8"/>
        <v>512.7925</v>
      </c>
      <c r="M104" s="25">
        <f t="shared" si="9"/>
        <v>-0.08447181982</v>
      </c>
      <c r="N104" s="65">
        <f t="shared" si="10"/>
        <v>573.23</v>
      </c>
      <c r="O104" s="25">
        <f t="shared" si="11"/>
        <v>-0.04110061751</v>
      </c>
      <c r="P104" s="25">
        <f t="shared" si="12"/>
        <v>-0.04337120231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12">
        <f>IFERROR(__xludf.DUMMYFUNCTION("""COMPUTED_VALUE"""),46282.64583333333)</f>
        <v>46282.64583</v>
      </c>
      <c r="C105" s="1">
        <f>IFERROR(__xludf.DUMMYFUNCTION("""COMPUTED_VALUE"""),476.6)</f>
        <v>476.6</v>
      </c>
      <c r="D105" s="1"/>
      <c r="E105" s="112">
        <f>IFERROR(__xludf.DUMMYFUNCTION("""COMPUTED_VALUE"""),46282.64583333333)</f>
        <v>46282.64583</v>
      </c>
      <c r="F105" s="1">
        <f>IFERROR(__xludf.DUMMYFUNCTION("""COMPUTED_VALUE"""),554.75)</f>
        <v>554.75</v>
      </c>
      <c r="G105" s="1"/>
      <c r="H105" s="29">
        <f t="shared" si="4"/>
        <v>0.8591257323</v>
      </c>
      <c r="I105" s="1">
        <f t="shared" si="5"/>
        <v>-78.15</v>
      </c>
      <c r="J105" s="113">
        <f t="shared" si="6"/>
        <v>0.6074178434</v>
      </c>
      <c r="K105" s="29">
        <f t="shared" si="7"/>
        <v>0.8591257323</v>
      </c>
      <c r="L105" s="65">
        <f t="shared" si="8"/>
        <v>510.27</v>
      </c>
      <c r="M105" s="25">
        <f t="shared" si="9"/>
        <v>-0.07064624423</v>
      </c>
      <c r="N105" s="65">
        <f t="shared" si="10"/>
        <v>572.5675</v>
      </c>
      <c r="O105" s="25">
        <f t="shared" si="11"/>
        <v>-0.0321180712</v>
      </c>
      <c r="P105" s="25">
        <f t="shared" si="12"/>
        <v>-0.03852817303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12">
        <f>IFERROR(__xludf.DUMMYFUNCTION("""COMPUTED_VALUE"""),46283.64583333333)</f>
        <v>46283.64583</v>
      </c>
      <c r="C106" s="1">
        <f>IFERROR(__xludf.DUMMYFUNCTION("""COMPUTED_VALUE"""),491.15)</f>
        <v>491.15</v>
      </c>
      <c r="D106" s="1"/>
      <c r="E106" s="112">
        <f>IFERROR(__xludf.DUMMYFUNCTION("""COMPUTED_VALUE"""),46283.64583333333)</f>
        <v>46283.64583</v>
      </c>
      <c r="F106" s="1">
        <f>IFERROR(__xludf.DUMMYFUNCTION("""COMPUTED_VALUE"""),580.0)</f>
        <v>580</v>
      </c>
      <c r="G106" s="1"/>
      <c r="H106" s="29">
        <f t="shared" si="4"/>
        <v>0.8468103448</v>
      </c>
      <c r="I106" s="1">
        <f t="shared" si="5"/>
        <v>-88.85</v>
      </c>
      <c r="J106" s="113">
        <f t="shared" si="6"/>
        <v>0.3786711642</v>
      </c>
      <c r="K106" s="29">
        <f t="shared" si="7"/>
        <v>0.8468103448</v>
      </c>
      <c r="L106" s="65">
        <f t="shared" si="8"/>
        <v>508.825</v>
      </c>
      <c r="M106" s="25">
        <f t="shared" si="9"/>
        <v>-0.03598696936</v>
      </c>
      <c r="N106" s="65">
        <f t="shared" si="10"/>
        <v>572.9725</v>
      </c>
      <c r="O106" s="25">
        <f t="shared" si="11"/>
        <v>0.01211637931</v>
      </c>
      <c r="P106" s="25">
        <f t="shared" si="12"/>
        <v>-0.04810334867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12">
        <f>IFERROR(__xludf.DUMMYFUNCTION("""COMPUTED_VALUE"""),46286.64583333333)</f>
        <v>46286.64583</v>
      </c>
      <c r="C107" s="1">
        <f>IFERROR(__xludf.DUMMYFUNCTION("""COMPUTED_VALUE"""),499.8)</f>
        <v>499.8</v>
      </c>
      <c r="D107" s="1"/>
      <c r="E107" s="112">
        <f>IFERROR(__xludf.DUMMYFUNCTION("""COMPUTED_VALUE"""),46286.64583333333)</f>
        <v>46286.64583</v>
      </c>
      <c r="F107" s="1">
        <f>IFERROR(__xludf.DUMMYFUNCTION("""COMPUTED_VALUE"""),559.9)</f>
        <v>559.9</v>
      </c>
      <c r="G107" s="1"/>
      <c r="H107" s="29">
        <f t="shared" si="4"/>
        <v>0.8926594035</v>
      </c>
      <c r="I107" s="1">
        <f t="shared" si="5"/>
        <v>-60.1</v>
      </c>
      <c r="J107" s="113">
        <f t="shared" si="6"/>
        <v>0.9932942508</v>
      </c>
      <c r="K107" s="29">
        <f t="shared" si="7"/>
        <v>0.8926594035</v>
      </c>
      <c r="L107" s="65">
        <f t="shared" si="8"/>
        <v>507.455</v>
      </c>
      <c r="M107" s="25">
        <f t="shared" si="9"/>
        <v>-0.01531612645</v>
      </c>
      <c r="N107" s="65">
        <f t="shared" si="10"/>
        <v>572.5175</v>
      </c>
      <c r="O107" s="25">
        <f t="shared" si="11"/>
        <v>-0.02253527416</v>
      </c>
      <c r="P107" s="25">
        <f t="shared" si="12"/>
        <v>0.007219147706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12">
        <f>IFERROR(__xludf.DUMMYFUNCTION("""COMPUTED_VALUE"""),46287.64583333333)</f>
        <v>46287.64583</v>
      </c>
      <c r="C108" s="1">
        <f>IFERROR(__xludf.DUMMYFUNCTION("""COMPUTED_VALUE"""),496.0)</f>
        <v>496</v>
      </c>
      <c r="D108" s="1"/>
      <c r="E108" s="112">
        <f>IFERROR(__xludf.DUMMYFUNCTION("""COMPUTED_VALUE"""),46287.64583333333)</f>
        <v>46287.64583</v>
      </c>
      <c r="F108" s="1">
        <f>IFERROR(__xludf.DUMMYFUNCTION("""COMPUTED_VALUE"""),559.9)</f>
        <v>559.9</v>
      </c>
      <c r="G108" s="1"/>
      <c r="H108" s="29">
        <f t="shared" si="4"/>
        <v>0.8858724772</v>
      </c>
      <c r="I108" s="1">
        <f t="shared" si="5"/>
        <v>-63.9</v>
      </c>
      <c r="J108" s="113">
        <f t="shared" si="6"/>
        <v>0.9120571124</v>
      </c>
      <c r="K108" s="29">
        <f t="shared" si="7"/>
        <v>0.8858724772</v>
      </c>
      <c r="L108" s="65">
        <f t="shared" si="8"/>
        <v>505.0975</v>
      </c>
      <c r="M108" s="25">
        <f t="shared" si="9"/>
        <v>-0.01834173387</v>
      </c>
      <c r="N108" s="65">
        <f t="shared" si="10"/>
        <v>571.9175</v>
      </c>
      <c r="O108" s="25">
        <f t="shared" si="11"/>
        <v>-0.02146365422</v>
      </c>
      <c r="P108" s="25">
        <f t="shared" si="12"/>
        <v>0.003121920353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12">
        <f>IFERROR(__xludf.DUMMYFUNCTION("""COMPUTED_VALUE"""),46288.64583333333)</f>
        <v>46288.64583</v>
      </c>
      <c r="C109" s="1">
        <f>IFERROR(__xludf.DUMMYFUNCTION("""COMPUTED_VALUE"""),491.35)</f>
        <v>491.35</v>
      </c>
      <c r="D109" s="1"/>
      <c r="E109" s="112">
        <f>IFERROR(__xludf.DUMMYFUNCTION("""COMPUTED_VALUE"""),46288.64583333333)</f>
        <v>46288.64583</v>
      </c>
      <c r="F109" s="1">
        <f>IFERROR(__xludf.DUMMYFUNCTION("""COMPUTED_VALUE"""),553.15)</f>
        <v>553.15</v>
      </c>
      <c r="G109" s="1"/>
      <c r="H109" s="29">
        <f t="shared" si="4"/>
        <v>0.8882762361</v>
      </c>
      <c r="I109" s="1">
        <f t="shared" si="5"/>
        <v>-61.8</v>
      </c>
      <c r="J109" s="113">
        <f t="shared" si="6"/>
        <v>0.9569513205</v>
      </c>
      <c r="K109" s="29">
        <f t="shared" si="7"/>
        <v>0.8882762361</v>
      </c>
      <c r="L109" s="65">
        <f t="shared" si="8"/>
        <v>502.72</v>
      </c>
      <c r="M109" s="25">
        <f t="shared" si="9"/>
        <v>-0.02314032767</v>
      </c>
      <c r="N109" s="65">
        <f t="shared" si="10"/>
        <v>570.325</v>
      </c>
      <c r="O109" s="25">
        <f t="shared" si="11"/>
        <v>-0.03104944409</v>
      </c>
      <c r="P109" s="25">
        <f t="shared" si="12"/>
        <v>0.007909116424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12">
        <f>IFERROR(__xludf.DUMMYFUNCTION("""COMPUTED_VALUE"""),46289.64583333333)</f>
        <v>46289.64583</v>
      </c>
      <c r="C110" s="1">
        <f>IFERROR(__xludf.DUMMYFUNCTION("""COMPUTED_VALUE"""),489.45)</f>
        <v>489.45</v>
      </c>
      <c r="D110" s="1"/>
      <c r="E110" s="112">
        <f>IFERROR(__xludf.DUMMYFUNCTION("""COMPUTED_VALUE"""),46289.64583333333)</f>
        <v>46289.64583</v>
      </c>
      <c r="F110" s="1">
        <f>IFERROR(__xludf.DUMMYFUNCTION("""COMPUTED_VALUE"""),549.6)</f>
        <v>549.6</v>
      </c>
      <c r="G110" s="1"/>
      <c r="H110" s="29">
        <f t="shared" si="4"/>
        <v>0.8905567686</v>
      </c>
      <c r="I110" s="1">
        <f t="shared" si="5"/>
        <v>-60.15</v>
      </c>
      <c r="J110" s="113">
        <f t="shared" si="6"/>
        <v>0.9922253411</v>
      </c>
      <c r="K110" s="29">
        <f t="shared" si="7"/>
        <v>0.8905567686</v>
      </c>
      <c r="L110" s="65">
        <f t="shared" si="8"/>
        <v>500.045</v>
      </c>
      <c r="M110" s="25">
        <f t="shared" si="9"/>
        <v>-0.02164674635</v>
      </c>
      <c r="N110" s="65">
        <f t="shared" si="10"/>
        <v>568.34</v>
      </c>
      <c r="O110" s="25">
        <f t="shared" si="11"/>
        <v>-0.03409752547</v>
      </c>
      <c r="P110" s="25">
        <f t="shared" si="12"/>
        <v>0.01245077913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12">
        <f>IFERROR(__xludf.DUMMYFUNCTION("""COMPUTED_VALUE"""),46290.64583333333)</f>
        <v>46290.64583</v>
      </c>
      <c r="C111" s="1">
        <f>IFERROR(__xludf.DUMMYFUNCTION("""COMPUTED_VALUE"""),489.25)</f>
        <v>489.25</v>
      </c>
      <c r="D111" s="1"/>
      <c r="E111" s="112">
        <f>IFERROR(__xludf.DUMMYFUNCTION("""COMPUTED_VALUE"""),46290.64583333333)</f>
        <v>46290.64583</v>
      </c>
      <c r="F111" s="1">
        <f>IFERROR(__xludf.DUMMYFUNCTION("""COMPUTED_VALUE"""),550.05)</f>
        <v>550.05</v>
      </c>
      <c r="G111" s="1"/>
      <c r="H111" s="29">
        <f t="shared" si="4"/>
        <v>0.8894645941</v>
      </c>
      <c r="I111" s="1">
        <f t="shared" si="5"/>
        <v>-60.8</v>
      </c>
      <c r="J111" s="113">
        <f t="shared" si="6"/>
        <v>0.9783295148</v>
      </c>
      <c r="K111" s="29">
        <f t="shared" si="7"/>
        <v>0.8894645941</v>
      </c>
      <c r="L111" s="65">
        <f t="shared" si="8"/>
        <v>497.5625</v>
      </c>
      <c r="M111" s="25">
        <f t="shared" si="9"/>
        <v>-0.01699029126</v>
      </c>
      <c r="N111" s="65">
        <f t="shared" si="10"/>
        <v>566.9375</v>
      </c>
      <c r="O111" s="25">
        <f t="shared" si="11"/>
        <v>-0.03070175439</v>
      </c>
      <c r="P111" s="25">
        <f t="shared" si="12"/>
        <v>0.01371146312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12">
        <f>IFERROR(__xludf.DUMMYFUNCTION("""COMPUTED_VALUE"""),46293.64583333333)</f>
        <v>46293.64583</v>
      </c>
      <c r="C112" s="1">
        <f>IFERROR(__xludf.DUMMYFUNCTION("""COMPUTED_VALUE"""),476.6)</f>
        <v>476.6</v>
      </c>
      <c r="D112" s="1"/>
      <c r="E112" s="112">
        <f>IFERROR(__xludf.DUMMYFUNCTION("""COMPUTED_VALUE"""),46293.64583333333)</f>
        <v>46293.64583</v>
      </c>
      <c r="F112" s="1">
        <f>IFERROR(__xludf.DUMMYFUNCTION("""COMPUTED_VALUE"""),549.5)</f>
        <v>549.5</v>
      </c>
      <c r="G112" s="1"/>
      <c r="H112" s="29">
        <f t="shared" si="4"/>
        <v>0.8673339399</v>
      </c>
      <c r="I112" s="1">
        <f t="shared" si="5"/>
        <v>-72.9</v>
      </c>
      <c r="J112" s="113">
        <f t="shared" si="6"/>
        <v>0.7196533636</v>
      </c>
      <c r="K112" s="29">
        <f t="shared" si="7"/>
        <v>0.8673339399</v>
      </c>
      <c r="L112" s="65">
        <f t="shared" si="8"/>
        <v>494.375</v>
      </c>
      <c r="M112" s="25">
        <f t="shared" si="9"/>
        <v>-0.03729542593</v>
      </c>
      <c r="N112" s="65">
        <f t="shared" si="10"/>
        <v>565.8625</v>
      </c>
      <c r="O112" s="25">
        <f t="shared" si="11"/>
        <v>-0.02977707006</v>
      </c>
      <c r="P112" s="25">
        <f t="shared" si="12"/>
        <v>-0.00751835587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12">
        <f>IFERROR(__xludf.DUMMYFUNCTION("""COMPUTED_VALUE"""),46294.64583333333)</f>
        <v>46294.64583</v>
      </c>
      <c r="C113" s="1">
        <f>IFERROR(__xludf.DUMMYFUNCTION("""COMPUTED_VALUE"""),469.9)</f>
        <v>469.9</v>
      </c>
      <c r="D113" s="1"/>
      <c r="E113" s="112">
        <f>IFERROR(__xludf.DUMMYFUNCTION("""COMPUTED_VALUE"""),46294.64583333333)</f>
        <v>46294.64583</v>
      </c>
      <c r="F113" s="1">
        <f>IFERROR(__xludf.DUMMYFUNCTION("""COMPUTED_VALUE"""),538.0)</f>
        <v>538</v>
      </c>
      <c r="G113" s="1"/>
      <c r="H113" s="29">
        <f t="shared" si="4"/>
        <v>0.8734200743</v>
      </c>
      <c r="I113" s="1">
        <f t="shared" si="5"/>
        <v>-68.1</v>
      </c>
      <c r="J113" s="113">
        <f t="shared" si="6"/>
        <v>0.8222686963</v>
      </c>
      <c r="K113" s="29">
        <f t="shared" si="7"/>
        <v>0.8734200743</v>
      </c>
      <c r="L113" s="65">
        <f t="shared" si="8"/>
        <v>491.65</v>
      </c>
      <c r="M113" s="25">
        <f t="shared" si="9"/>
        <v>-0.04628644392</v>
      </c>
      <c r="N113" s="65">
        <f t="shared" si="10"/>
        <v>564.65</v>
      </c>
      <c r="O113" s="25">
        <f t="shared" si="11"/>
        <v>-0.04953531599</v>
      </c>
      <c r="P113" s="25">
        <f t="shared" si="12"/>
        <v>0.003248872061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12">
        <f>IFERROR(__xludf.DUMMYFUNCTION("""COMPUTED_VALUE"""),46295.64583333333)</f>
        <v>46295.64583</v>
      </c>
      <c r="C114" s="1">
        <f>IFERROR(__xludf.DUMMYFUNCTION("""COMPUTED_VALUE"""),475.7)</f>
        <v>475.7</v>
      </c>
      <c r="D114" s="1"/>
      <c r="E114" s="112">
        <f>IFERROR(__xludf.DUMMYFUNCTION("""COMPUTED_VALUE"""),46295.64583333333)</f>
        <v>46295.64583</v>
      </c>
      <c r="F114" s="1">
        <f>IFERROR(__xludf.DUMMYFUNCTION("""COMPUTED_VALUE"""),539.75)</f>
        <v>539.75</v>
      </c>
      <c r="G114" s="1"/>
      <c r="H114" s="29">
        <f t="shared" si="4"/>
        <v>0.8813339509</v>
      </c>
      <c r="I114" s="1">
        <f t="shared" si="5"/>
        <v>-64.05</v>
      </c>
      <c r="J114" s="113">
        <f t="shared" si="6"/>
        <v>0.9088503833</v>
      </c>
      <c r="K114" s="29">
        <f t="shared" si="7"/>
        <v>0.8813339509</v>
      </c>
      <c r="L114" s="65">
        <f t="shared" si="8"/>
        <v>489.1925</v>
      </c>
      <c r="M114" s="25">
        <f t="shared" si="9"/>
        <v>-0.02836346437</v>
      </c>
      <c r="N114" s="65">
        <f t="shared" si="10"/>
        <v>563.2825</v>
      </c>
      <c r="O114" s="25">
        <f t="shared" si="11"/>
        <v>-0.04359888837</v>
      </c>
      <c r="P114" s="25">
        <f t="shared" si="12"/>
        <v>0.01523542401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12">
        <f>IFERROR(__xludf.DUMMYFUNCTION("""COMPUTED_VALUE"""),46296.64583333333)</f>
        <v>46296.64583</v>
      </c>
      <c r="C115" s="1">
        <f>IFERROR(__xludf.DUMMYFUNCTION("""COMPUTED_VALUE"""),465.1)</f>
        <v>465.1</v>
      </c>
      <c r="D115" s="1"/>
      <c r="E115" s="112">
        <f>IFERROR(__xludf.DUMMYFUNCTION("""COMPUTED_VALUE"""),46296.64583333333)</f>
        <v>46296.64583</v>
      </c>
      <c r="F115" s="1">
        <f>IFERROR(__xludf.DUMMYFUNCTION("""COMPUTED_VALUE"""),516.8)</f>
        <v>516.8</v>
      </c>
      <c r="G115" s="1"/>
      <c r="H115" s="29">
        <f t="shared" si="4"/>
        <v>0.8999613003</v>
      </c>
      <c r="I115" s="1">
        <f t="shared" si="5"/>
        <v>-51.7</v>
      </c>
      <c r="J115" s="113">
        <f t="shared" si="6"/>
        <v>1.172871083</v>
      </c>
      <c r="K115" s="269">
        <f t="shared" ref="K115:K118" si="13">C116/F115</f>
        <v>0.9110874613</v>
      </c>
      <c r="L115" s="65">
        <f t="shared" si="8"/>
        <v>487.1875</v>
      </c>
      <c r="M115" s="25">
        <f t="shared" si="9"/>
        <v>-0.04748978714</v>
      </c>
      <c r="N115" s="65">
        <f t="shared" si="10"/>
        <v>560.2</v>
      </c>
      <c r="O115" s="25">
        <f t="shared" si="11"/>
        <v>-0.08397832817</v>
      </c>
      <c r="P115" s="25">
        <f t="shared" si="12"/>
        <v>0.03648854103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12">
        <f>IFERROR(__xludf.DUMMYFUNCTION("""COMPUTED_VALUE"""),46300.64583333333)</f>
        <v>46300.64583</v>
      </c>
      <c r="C116" s="1">
        <f>IFERROR(__xludf.DUMMYFUNCTION("""COMPUTED_VALUE"""),470.85)</f>
        <v>470.85</v>
      </c>
      <c r="D116" s="1"/>
      <c r="E116" s="112">
        <f>IFERROR(__xludf.DUMMYFUNCTION("""COMPUTED_VALUE"""),46300.64583333333)</f>
        <v>46300.64583</v>
      </c>
      <c r="F116" s="1">
        <f>IFERROR(__xludf.DUMMYFUNCTION("""COMPUTED_VALUE"""),502.5)</f>
        <v>502.5</v>
      </c>
      <c r="G116" s="1"/>
      <c r="H116" s="29">
        <f t="shared" si="4"/>
        <v>0.9370149254</v>
      </c>
      <c r="I116" s="1">
        <f t="shared" si="5"/>
        <v>-31.65</v>
      </c>
      <c r="J116" s="113">
        <f t="shared" si="6"/>
        <v>1.601503879</v>
      </c>
      <c r="K116" s="269">
        <f t="shared" si="13"/>
        <v>0.9575124378</v>
      </c>
      <c r="L116" s="65">
        <f t="shared" si="8"/>
        <v>485.635</v>
      </c>
      <c r="M116" s="25">
        <f t="shared" si="9"/>
        <v>-0.03140065838</v>
      </c>
      <c r="N116" s="65">
        <f t="shared" si="10"/>
        <v>556.0575</v>
      </c>
      <c r="O116" s="25">
        <f t="shared" si="11"/>
        <v>-0.1065820896</v>
      </c>
      <c r="P116" s="25">
        <f t="shared" si="12"/>
        <v>0.07518143117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12">
        <f>IFERROR(__xludf.DUMMYFUNCTION("""COMPUTED_VALUE"""),46301.64583333333)</f>
        <v>46301.64583</v>
      </c>
      <c r="C117" s="1">
        <f>IFERROR(__xludf.DUMMYFUNCTION("""COMPUTED_VALUE"""),481.15)</f>
        <v>481.15</v>
      </c>
      <c r="D117" s="1"/>
      <c r="E117" s="112">
        <f>IFERROR(__xludf.DUMMYFUNCTION("""COMPUTED_VALUE"""),46301.64583333333)</f>
        <v>46301.64583</v>
      </c>
      <c r="F117" s="1">
        <f>IFERROR(__xludf.DUMMYFUNCTION("""COMPUTED_VALUE"""),509.55)</f>
        <v>509.55</v>
      </c>
      <c r="G117" s="1"/>
      <c r="H117" s="29">
        <f t="shared" si="4"/>
        <v>0.9442645471</v>
      </c>
      <c r="I117" s="1">
        <f t="shared" si="5"/>
        <v>-28.4</v>
      </c>
      <c r="J117" s="113">
        <f t="shared" si="6"/>
        <v>1.670983011</v>
      </c>
      <c r="K117" s="269">
        <f t="shared" si="13"/>
        <v>0.9640859582</v>
      </c>
      <c r="L117" s="65">
        <f t="shared" si="8"/>
        <v>485.09</v>
      </c>
      <c r="M117" s="25">
        <f t="shared" si="9"/>
        <v>-0.008188714538</v>
      </c>
      <c r="N117" s="65">
        <f t="shared" si="10"/>
        <v>552.4275</v>
      </c>
      <c r="O117" s="25">
        <f t="shared" si="11"/>
        <v>-0.08414777745</v>
      </c>
      <c r="P117" s="25">
        <f t="shared" si="12"/>
        <v>0.07595906291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12">
        <f>IFERROR(__xludf.DUMMYFUNCTION("""COMPUTED_VALUE"""),46302.64583333333)</f>
        <v>46302.64583</v>
      </c>
      <c r="C118" s="1">
        <f>IFERROR(__xludf.DUMMYFUNCTION("""COMPUTED_VALUE"""),491.25)</f>
        <v>491.25</v>
      </c>
      <c r="D118" s="1"/>
      <c r="E118" s="112">
        <f>IFERROR(__xludf.DUMMYFUNCTION("""COMPUTED_VALUE"""),46302.64583333333)</f>
        <v>46302.64583</v>
      </c>
      <c r="F118" s="1">
        <f>IFERROR(__xludf.DUMMYFUNCTION("""COMPUTED_VALUE"""),495.0)</f>
        <v>495</v>
      </c>
      <c r="G118" s="1"/>
      <c r="H118" s="29">
        <f t="shared" si="4"/>
        <v>0.9924242424</v>
      </c>
      <c r="I118" s="1">
        <f t="shared" si="5"/>
        <v>-3.75</v>
      </c>
      <c r="J118" s="113">
        <f t="shared" si="6"/>
        <v>2.197955501</v>
      </c>
      <c r="K118" s="269">
        <f t="shared" si="13"/>
        <v>0.9657575758</v>
      </c>
      <c r="L118" s="65">
        <f t="shared" si="8"/>
        <v>485.1175</v>
      </c>
      <c r="M118" s="25">
        <f t="shared" si="9"/>
        <v>0.01248346056</v>
      </c>
      <c r="N118" s="65">
        <f t="shared" si="10"/>
        <v>548.5275</v>
      </c>
      <c r="O118" s="25">
        <f t="shared" si="11"/>
        <v>-0.1081363636</v>
      </c>
      <c r="P118" s="25">
        <f t="shared" si="12"/>
        <v>0.1206198242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12">
        <f>IFERROR(__xludf.DUMMYFUNCTION("""COMPUTED_VALUE"""),46303.64583333333)</f>
        <v>46303.64583</v>
      </c>
      <c r="C119" s="1">
        <f>IFERROR(__xludf.DUMMYFUNCTION("""COMPUTED_VALUE"""),478.05)</f>
        <v>478.05</v>
      </c>
      <c r="D119" s="1"/>
      <c r="E119" s="112">
        <f>IFERROR(__xludf.DUMMYFUNCTION("""COMPUTED_VALUE"""),46303.64583333333)</f>
        <v>46303.64583</v>
      </c>
      <c r="F119" s="1">
        <f>IFERROR(__xludf.DUMMYFUNCTION("""COMPUTED_VALUE"""),481.05)</f>
        <v>481.05</v>
      </c>
      <c r="G119" s="1"/>
      <c r="H119" s="1"/>
      <c r="I119" s="1"/>
      <c r="J119" s="1"/>
      <c r="K119" s="269"/>
      <c r="L119" s="65"/>
      <c r="M119" s="25"/>
      <c r="N119" s="65"/>
      <c r="O119" s="2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12">
        <f>IFERROR(__xludf.DUMMYFUNCTION("""COMPUTED_VALUE"""),46304.64583333333)</f>
        <v>46304.64583</v>
      </c>
      <c r="C120" s="1">
        <f>IFERROR(__xludf.DUMMYFUNCTION("""COMPUTED_VALUE"""),460.15)</f>
        <v>460.15</v>
      </c>
      <c r="D120" s="1"/>
      <c r="E120" s="112">
        <f>IFERROR(__xludf.DUMMYFUNCTION("""COMPUTED_VALUE"""),46304.64583333333)</f>
        <v>46304.64583</v>
      </c>
      <c r="F120" s="1">
        <f>IFERROR(__xludf.DUMMYFUNCTION("""COMPUTED_VALUE"""),488.45)</f>
        <v>488.45</v>
      </c>
      <c r="G120" s="1"/>
      <c r="H120" s="179"/>
      <c r="I120" s="175"/>
      <c r="J120" s="176"/>
      <c r="K120" s="269"/>
      <c r="L120" s="65"/>
      <c r="M120" s="25"/>
      <c r="N120" s="65"/>
      <c r="O120" s="2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73"/>
      <c r="B121" s="174">
        <f>IFERROR(__xludf.DUMMYFUNCTION("""COMPUTED_VALUE"""),46307.64583333333)</f>
        <v>46307.64583</v>
      </c>
      <c r="C121" s="175">
        <f>IFERROR(__xludf.DUMMYFUNCTION("""COMPUTED_VALUE"""),473.9)</f>
        <v>473.9</v>
      </c>
      <c r="D121" s="175"/>
      <c r="E121" s="174">
        <f>IFERROR(__xludf.DUMMYFUNCTION("""COMPUTED_VALUE"""),46307.64583333333)</f>
        <v>46307.64583</v>
      </c>
      <c r="F121" s="175">
        <f>IFERROR(__xludf.DUMMYFUNCTION("""COMPUTED_VALUE"""),514.85)</f>
        <v>514.85</v>
      </c>
      <c r="G121" s="175"/>
      <c r="H121" s="179"/>
      <c r="I121" s="175"/>
      <c r="J121" s="176"/>
      <c r="K121" s="179"/>
      <c r="L121" s="177"/>
      <c r="M121" s="178"/>
      <c r="N121" s="177"/>
      <c r="O121" s="178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</row>
    <row r="122">
      <c r="A122" s="173"/>
      <c r="B122" s="174">
        <f>IFERROR(__xludf.DUMMYFUNCTION("""COMPUTED_VALUE"""),46308.64583333333)</f>
        <v>46308.64583</v>
      </c>
      <c r="C122" s="175">
        <f>IFERROR(__xludf.DUMMYFUNCTION("""COMPUTED_VALUE"""),487.8)</f>
        <v>487.8</v>
      </c>
      <c r="D122" s="175"/>
      <c r="E122" s="174">
        <f>IFERROR(__xludf.DUMMYFUNCTION("""COMPUTED_VALUE"""),46308.64583333333)</f>
        <v>46308.64583</v>
      </c>
      <c r="F122" s="175">
        <f>IFERROR(__xludf.DUMMYFUNCTION("""COMPUTED_VALUE"""),524.7)</f>
        <v>524.7</v>
      </c>
      <c r="G122" s="175"/>
      <c r="H122" s="179"/>
      <c r="I122" s="175"/>
      <c r="J122" s="176"/>
      <c r="K122" s="179"/>
      <c r="L122" s="177"/>
      <c r="M122" s="178"/>
      <c r="N122" s="177"/>
      <c r="O122" s="178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</row>
    <row r="123">
      <c r="A123" s="173"/>
      <c r="B123" s="174">
        <f>IFERROR(__xludf.DUMMYFUNCTION("""COMPUTED_VALUE"""),46309.64583333333)</f>
        <v>46309.64583</v>
      </c>
      <c r="C123" s="175">
        <f>IFERROR(__xludf.DUMMYFUNCTION("""COMPUTED_VALUE"""),497.9)</f>
        <v>497.9</v>
      </c>
      <c r="D123" s="175"/>
      <c r="E123" s="174">
        <f>IFERROR(__xludf.DUMMYFUNCTION("""COMPUTED_VALUE"""),46309.64583333333)</f>
        <v>46309.64583</v>
      </c>
      <c r="F123" s="175">
        <f>IFERROR(__xludf.DUMMYFUNCTION("""COMPUTED_VALUE"""),541.65)</f>
        <v>541.65</v>
      </c>
      <c r="G123" s="175"/>
      <c r="H123" s="179"/>
      <c r="I123" s="175"/>
      <c r="J123" s="176"/>
      <c r="K123" s="179"/>
      <c r="L123" s="177"/>
      <c r="M123" s="178"/>
      <c r="N123" s="177"/>
      <c r="O123" s="178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</row>
    <row r="124">
      <c r="A124" s="173"/>
      <c r="B124" s="174">
        <f>IFERROR(__xludf.DUMMYFUNCTION("""COMPUTED_VALUE"""),46310.64583333333)</f>
        <v>46310.64583</v>
      </c>
      <c r="C124" s="175">
        <f>IFERROR(__xludf.DUMMYFUNCTION("""COMPUTED_VALUE"""),505.05)</f>
        <v>505.05</v>
      </c>
      <c r="D124" s="175"/>
      <c r="E124" s="174">
        <f>IFERROR(__xludf.DUMMYFUNCTION("""COMPUTED_VALUE"""),46310.64583333333)</f>
        <v>46310.64583</v>
      </c>
      <c r="F124" s="175">
        <f>IFERROR(__xludf.DUMMYFUNCTION("""COMPUTED_VALUE"""),541.05)</f>
        <v>541.05</v>
      </c>
      <c r="G124" s="175"/>
      <c r="H124" s="179"/>
      <c r="I124" s="175"/>
      <c r="J124" s="176"/>
      <c r="K124" s="179"/>
      <c r="L124" s="177"/>
      <c r="M124" s="178"/>
      <c r="N124" s="177"/>
      <c r="O124" s="178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</row>
    <row r="125">
      <c r="B125" s="166">
        <f>IFERROR(__xludf.DUMMYFUNCTION("""COMPUTED_VALUE"""),46311.64583333333)</f>
        <v>46311.64583</v>
      </c>
      <c r="C125" s="230">
        <f>IFERROR(__xludf.DUMMYFUNCTION("""COMPUTED_VALUE"""),503.0)</f>
        <v>503</v>
      </c>
      <c r="E125" s="166">
        <f>IFERROR(__xludf.DUMMYFUNCTION("""COMPUTED_VALUE"""),46311.64583333333)</f>
        <v>46311.64583</v>
      </c>
      <c r="F125" s="230">
        <f>IFERROR(__xludf.DUMMYFUNCTION("""COMPUTED_VALUE"""),534.65)</f>
        <v>534.65</v>
      </c>
    </row>
    <row r="129">
      <c r="A129" s="173" t="s">
        <v>9</v>
      </c>
      <c r="B129" s="174">
        <f>IFERROR(__xludf.DUMMYFUNCTION("GOOGLEFINANCE(B9,""TRADETIME"")"),46311.64583333333)</f>
        <v>46311.64583</v>
      </c>
      <c r="C129" s="175">
        <f>IFERROR(__xludf.DUMMYFUNCTION("GOOGLEFINANCE(B9,""PRICE"")"),496.0)</f>
        <v>496</v>
      </c>
      <c r="D129" s="175"/>
      <c r="E129" s="174">
        <f>IFERROR(__xludf.DUMMYFUNCTION("GOOGLEFINANCE(E9,""TRADETIME"")"),46311.64583333333)</f>
        <v>46311.64583</v>
      </c>
      <c r="F129" s="175">
        <f>IFERROR(__xludf.DUMMYFUNCTION("GOOGLEFINANCE(E9,""PRICE"")"),534.65)</f>
        <v>534.65</v>
      </c>
      <c r="G129" s="175"/>
      <c r="H129" s="179">
        <f>C129/F129</f>
        <v>0.9277097166</v>
      </c>
      <c r="I129" s="175">
        <f>C129-F129</f>
        <v>-38.65</v>
      </c>
      <c r="J129" s="176">
        <f>((I129-$I$131)/$I$132)</f>
        <v>1.451856519</v>
      </c>
      <c r="K129" s="179">
        <f>C129/F129</f>
        <v>0.9277097166</v>
      </c>
      <c r="L129" s="177">
        <f>AVERAGE(C73:C109)</f>
        <v>509.0378378</v>
      </c>
      <c r="M129" s="178">
        <f>(C129-L129)/C129</f>
        <v>-0.02628596338</v>
      </c>
      <c r="N129" s="177">
        <f>AVERAGE(F73:F109)</f>
        <v>571.9189189</v>
      </c>
      <c r="O129" s="178">
        <f>(F129-N129)/F129</f>
        <v>-0.06970713349</v>
      </c>
      <c r="P129" s="178">
        <f>M129-O129</f>
        <v>0.0434211701</v>
      </c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</row>
    <row r="131">
      <c r="A131" s="1"/>
      <c r="B131" s="1"/>
      <c r="C131" s="1"/>
      <c r="D131" s="1"/>
      <c r="E131" s="1"/>
      <c r="F131" s="1"/>
      <c r="G131" s="1"/>
      <c r="H131" s="96" t="s">
        <v>138</v>
      </c>
      <c r="I131" s="177">
        <f>AVERAGE(I11:I118)</f>
        <v>-106.562963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96" t="s">
        <v>139</v>
      </c>
      <c r="I132" s="189">
        <f>_xlfn.STDEV.P(I11:I117)</f>
        <v>46.77663535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9.5"/>
    <col customWidth="1" min="5" max="5" width="16.25"/>
    <col customWidth="1" min="6" max="6" width="7.63"/>
    <col customWidth="1" min="7" max="7" width="15.38"/>
    <col customWidth="1" min="8" max="11" width="10.75"/>
    <col customWidth="1" min="12" max="12" width="16.88"/>
    <col customWidth="1" min="13" max="13" width="19.38"/>
    <col customWidth="1" min="14" max="14" width="15.13"/>
    <col customWidth="1" min="15" max="15" width="20.88"/>
    <col customWidth="1" min="16" max="16" width="16.0"/>
    <col customWidth="1" min="20" max="20" width="15.13"/>
    <col customWidth="1" min="21" max="21" width="13.63"/>
    <col customWidth="1" min="22" max="22" width="15.0"/>
    <col customWidth="1" min="24" max="24" width="16.63"/>
  </cols>
  <sheetData>
    <row r="1">
      <c r="A1" s="270"/>
      <c r="B1" s="271" t="s">
        <v>0</v>
      </c>
      <c r="C1" s="272">
        <f>AVERAGE(C98:C118)</f>
        <v>4948.109524</v>
      </c>
      <c r="D1" s="270"/>
      <c r="E1" s="271" t="s">
        <v>0</v>
      </c>
      <c r="F1" s="272">
        <f>AVERAGE(F98:F118)</f>
        <v>1924.652381</v>
      </c>
      <c r="G1" s="270">
        <f>STDEV(F74:F93)</f>
        <v>36.68096129</v>
      </c>
      <c r="H1" s="270"/>
      <c r="I1" s="270"/>
      <c r="J1" s="270"/>
      <c r="K1" s="270"/>
      <c r="L1" s="270"/>
      <c r="M1" s="273"/>
      <c r="N1" s="270"/>
      <c r="O1" s="270"/>
      <c r="P1" s="270" t="s">
        <v>1</v>
      </c>
      <c r="Q1" s="270" t="s">
        <v>2</v>
      </c>
      <c r="R1" s="270" t="s">
        <v>3</v>
      </c>
      <c r="S1" s="270"/>
      <c r="T1" s="274" t="s">
        <v>5</v>
      </c>
      <c r="U1" s="274" t="str">
        <f>B9</f>
        <v>NSE:BRITANNIA
</v>
      </c>
      <c r="V1" s="274" t="str">
        <f>E9</f>
        <v>NSE:HINDUNILVR</v>
      </c>
      <c r="W1" s="274" t="s">
        <v>11</v>
      </c>
      <c r="X1" s="275" t="s">
        <v>12</v>
      </c>
      <c r="Y1" s="276"/>
      <c r="Z1" s="270"/>
      <c r="AA1" s="270"/>
      <c r="AB1" s="270"/>
      <c r="AC1" s="270"/>
    </row>
    <row r="2">
      <c r="A2" s="193"/>
      <c r="B2" s="207" t="s">
        <v>20</v>
      </c>
      <c r="C2" s="208">
        <f>AVERAGE(C88:C118)</f>
        <v>5051.816129</v>
      </c>
      <c r="D2" s="193"/>
      <c r="E2" s="207" t="s">
        <v>20</v>
      </c>
      <c r="F2" s="208">
        <f>AVERAGE(F88:F118)</f>
        <v>1949.241935</v>
      </c>
      <c r="G2" s="214"/>
      <c r="H2" s="210"/>
      <c r="I2" s="210"/>
      <c r="J2" s="210"/>
      <c r="K2" s="210"/>
      <c r="L2" s="214"/>
      <c r="M2" s="193" t="s">
        <v>23</v>
      </c>
      <c r="N2" s="210">
        <f>CORREL(C88:C118,F88:F118)</f>
        <v>0.9241984444</v>
      </c>
      <c r="O2" s="193" t="s">
        <v>25</v>
      </c>
      <c r="P2" s="199">
        <f>AVERAGE(K88:K117)</f>
        <v>2.591907319</v>
      </c>
      <c r="Q2" s="199">
        <f>MAX(K88:K117)</f>
        <v>2.668496493</v>
      </c>
      <c r="R2" s="199">
        <f>MIN(K88:K116)</f>
        <v>2.527692308</v>
      </c>
      <c r="S2" s="199">
        <f t="shared" ref="S2:S5" si="1">Q2-R2</f>
        <v>0.1408041851</v>
      </c>
      <c r="T2" s="1">
        <f>MATCH(MAX(K11:K116), K11:K116, 0)</f>
        <v>71</v>
      </c>
      <c r="U2" s="1">
        <f t="array" ref="U2">INDEX(C11:C116, MATCH(MAX(K11:K116), K11:K116, 0))</f>
        <v>5645.5</v>
      </c>
      <c r="V2" s="1">
        <f t="array" ref="V2">INDEX(F11:F116, MATCH(MAX(K11:K116), K11:K116, 0))</f>
        <v>2063</v>
      </c>
      <c r="W2" s="54">
        <f t="shared" ref="W2:W3" si="2">U2/V2</f>
        <v>2.736548715</v>
      </c>
      <c r="X2" s="7" t="s">
        <v>2</v>
      </c>
      <c r="Y2" s="110"/>
      <c r="Z2" s="193"/>
      <c r="AA2" s="193"/>
      <c r="AB2" s="193"/>
      <c r="AC2" s="193"/>
    </row>
    <row r="3">
      <c r="A3" s="193">
        <f>STDEV(C75:C93)</f>
        <v>115.7184651</v>
      </c>
      <c r="B3" s="211" t="s">
        <v>61</v>
      </c>
      <c r="C3" s="212">
        <f>max(C98:C118)</f>
        <v>5101.5</v>
      </c>
      <c r="D3" s="213">
        <f>C1+A3*2</f>
        <v>5179.546454</v>
      </c>
      <c r="E3" s="211" t="s">
        <v>61</v>
      </c>
      <c r="F3" s="212">
        <f>max(F98:F118)</f>
        <v>1980</v>
      </c>
      <c r="G3" s="213">
        <f>F1+G1*2</f>
        <v>1998.014304</v>
      </c>
      <c r="H3" s="210"/>
      <c r="I3" s="210"/>
      <c r="J3" s="210"/>
      <c r="K3" s="210"/>
      <c r="L3" s="214"/>
      <c r="M3" s="193" t="s">
        <v>64</v>
      </c>
      <c r="N3" s="210">
        <f>CORREL(C58:C118,F58:F118)</f>
        <v>0.8535365834</v>
      </c>
      <c r="O3" s="193" t="s">
        <v>67</v>
      </c>
      <c r="P3" s="199">
        <f>AVERAGE((K58:K117))</f>
        <v>2.597351741</v>
      </c>
      <c r="Q3" s="199">
        <f>MAX(K58:K117)</f>
        <v>2.736548715</v>
      </c>
      <c r="R3" s="199">
        <f>MIN(K58:K116)</f>
        <v>2.476087556</v>
      </c>
      <c r="S3" s="199">
        <f t="shared" si="1"/>
        <v>0.2604611591</v>
      </c>
      <c r="T3" s="1">
        <f>MATCH(Min(K11:K116), K11:K116, 0)</f>
        <v>6</v>
      </c>
      <c r="U3" s="1">
        <f t="array" ref="U3">INDEX(C11:C116, MATCH(Min(K11:K116), K11:K116, 0))</f>
        <v>5410.5</v>
      </c>
      <c r="V3" s="1">
        <f t="array" ref="V3">INDEX(F11:F116, MATCH(MIN(K11:K116), K11:K116, 0))</f>
        <v>2307.2</v>
      </c>
      <c r="W3" s="54">
        <f t="shared" si="2"/>
        <v>2.345050277</v>
      </c>
      <c r="X3" s="7" t="s">
        <v>3</v>
      </c>
      <c r="Y3" s="193"/>
      <c r="Z3" s="193"/>
      <c r="AA3" s="193"/>
      <c r="AB3" s="193"/>
      <c r="AC3" s="193"/>
    </row>
    <row r="4">
      <c r="A4" s="193"/>
      <c r="B4" s="211" t="s">
        <v>73</v>
      </c>
      <c r="C4" s="212">
        <f>MIN(C98:C118)</f>
        <v>4770</v>
      </c>
      <c r="D4" s="213">
        <f>C1-A3*2</f>
        <v>4716.672594</v>
      </c>
      <c r="E4" s="211" t="s">
        <v>73</v>
      </c>
      <c r="F4" s="212">
        <f>MIN(F98:F118)</f>
        <v>1836</v>
      </c>
      <c r="G4" s="213">
        <f>F1-G1*2</f>
        <v>1851.290458</v>
      </c>
      <c r="H4" s="210"/>
      <c r="I4" s="210"/>
      <c r="J4" s="210"/>
      <c r="K4" s="210"/>
      <c r="L4" s="214"/>
      <c r="M4" s="193" t="s">
        <v>77</v>
      </c>
      <c r="N4" s="210">
        <f>CORREL(C28:C118,F28:F118)</f>
        <v>0.5976108695</v>
      </c>
      <c r="O4" s="193" t="s">
        <v>79</v>
      </c>
      <c r="P4" s="199">
        <f>AVERAGE(K28:K117)</f>
        <v>2.53799861</v>
      </c>
      <c r="Q4" s="199">
        <f>MAX(K28:K117)</f>
        <v>2.736548715</v>
      </c>
      <c r="R4" s="199">
        <f>MIN(K28:K116)</f>
        <v>2.364210052</v>
      </c>
      <c r="S4" s="199">
        <f t="shared" si="1"/>
        <v>0.3723386636</v>
      </c>
      <c r="T4" s="1"/>
      <c r="U4" s="1"/>
      <c r="V4" s="1"/>
      <c r="W4" s="54"/>
      <c r="X4" s="1"/>
      <c r="Y4" s="193"/>
      <c r="Z4" s="193"/>
      <c r="AA4" s="193"/>
      <c r="AB4" s="193"/>
      <c r="AC4" s="193"/>
    </row>
    <row r="5">
      <c r="A5" s="193"/>
      <c r="B5" s="211" t="s">
        <v>81</v>
      </c>
      <c r="C5" s="212">
        <f>max(C108:C118)</f>
        <v>5023</v>
      </c>
      <c r="D5" s="213">
        <f>C1+A3</f>
        <v>5063.827989</v>
      </c>
      <c r="E5" s="211" t="s">
        <v>81</v>
      </c>
      <c r="F5" s="212">
        <f>max(F108:F118)</f>
        <v>1950</v>
      </c>
      <c r="G5" s="213">
        <f>F1+G1</f>
        <v>1961.333342</v>
      </c>
      <c r="H5" s="193"/>
      <c r="I5" s="193"/>
      <c r="J5" s="193"/>
      <c r="K5" s="193"/>
      <c r="L5" s="193"/>
      <c r="M5" s="193" t="s">
        <v>82</v>
      </c>
      <c r="N5" s="210">
        <f>CORREL(C11:C118,F11:F118)</f>
        <v>0.6664635236</v>
      </c>
      <c r="O5" s="193" t="s">
        <v>83</v>
      </c>
      <c r="P5" s="199">
        <f>AVERAGE(K11:K117)</f>
        <v>2.520255982</v>
      </c>
      <c r="Q5" s="199">
        <f>MAX(K11:K117)</f>
        <v>2.736548715</v>
      </c>
      <c r="R5" s="199">
        <f>MIN(K11:K116)</f>
        <v>2.345050277</v>
      </c>
      <c r="S5" s="199">
        <f t="shared" si="1"/>
        <v>0.3914984381</v>
      </c>
      <c r="T5" s="96" t="str">
        <f>U1</f>
        <v>NSE:BRITANNIA
</v>
      </c>
      <c r="U5" s="96">
        <v>2.0</v>
      </c>
      <c r="V5" s="99">
        <f>U2*U7*U5</f>
        <v>2258200</v>
      </c>
      <c r="W5" s="109">
        <f>V2*U6*U8</f>
        <v>618900</v>
      </c>
      <c r="X5" s="99"/>
      <c r="Y5" s="193"/>
      <c r="Z5" s="193"/>
      <c r="AA5" s="193"/>
      <c r="AB5" s="193"/>
      <c r="AC5" s="193"/>
    </row>
    <row r="6">
      <c r="A6" s="193"/>
      <c r="B6" s="211" t="s">
        <v>87</v>
      </c>
      <c r="C6" s="212">
        <f>MIN(C108:C118)</f>
        <v>4770</v>
      </c>
      <c r="D6" s="213">
        <f>C1-A3</f>
        <v>4832.391059</v>
      </c>
      <c r="E6" s="211" t="s">
        <v>87</v>
      </c>
      <c r="F6" s="212">
        <f>MIN(F108:F118)</f>
        <v>1836</v>
      </c>
      <c r="G6" s="213">
        <f>F1-G1</f>
        <v>1887.97142</v>
      </c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96" t="str">
        <f>V1</f>
        <v>NSE:HINDUNILVR</v>
      </c>
      <c r="U6" s="96">
        <v>1.0</v>
      </c>
      <c r="V6" s="99">
        <f>U3*U5*U7</f>
        <v>2164200</v>
      </c>
      <c r="W6" s="99">
        <f>V3*U6*U8</f>
        <v>692160</v>
      </c>
      <c r="X6" s="99"/>
      <c r="Y6" s="193"/>
      <c r="Z6" s="193"/>
      <c r="AA6" s="193"/>
      <c r="AB6" s="193"/>
      <c r="AC6" s="193"/>
    </row>
    <row r="7">
      <c r="A7" s="193"/>
      <c r="B7" s="214" t="s">
        <v>88</v>
      </c>
      <c r="C7" s="193">
        <f>max(C88:C118)</f>
        <v>5382.5</v>
      </c>
      <c r="D7" s="193"/>
      <c r="E7" s="214" t="s">
        <v>88</v>
      </c>
      <c r="F7" s="193">
        <f>max(F88:F118)</f>
        <v>2030</v>
      </c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7" t="str">
        <f>U1</f>
        <v>NSE:BRITANNIA
</v>
      </c>
      <c r="U7" s="7">
        <v>200.0</v>
      </c>
      <c r="V7" s="1"/>
      <c r="W7" s="1"/>
      <c r="X7" s="1"/>
      <c r="Y7" s="193"/>
      <c r="Z7" s="193"/>
      <c r="AA7" s="193"/>
      <c r="AB7" s="193"/>
      <c r="AC7" s="193"/>
    </row>
    <row r="8">
      <c r="A8" s="193"/>
      <c r="B8" s="211" t="s">
        <v>90</v>
      </c>
      <c r="C8" s="215">
        <f>AVERAGE(C98:C118)</f>
        <v>4948.109524</v>
      </c>
      <c r="D8" s="193"/>
      <c r="E8" s="211" t="s">
        <v>90</v>
      </c>
      <c r="F8" s="215">
        <f>AVERAGE(F98:F118)</f>
        <v>1924.652381</v>
      </c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7" t="str">
        <f>V1</f>
        <v>NSE:HINDUNILVR</v>
      </c>
      <c r="U8" s="7">
        <v>300.0</v>
      </c>
      <c r="V8" s="1"/>
      <c r="W8" s="1"/>
      <c r="X8" s="1"/>
      <c r="Y8" s="193"/>
      <c r="Z8" s="193"/>
      <c r="AA8" s="193"/>
      <c r="AB8" s="193"/>
      <c r="AC8" s="193"/>
    </row>
    <row r="9">
      <c r="A9" s="193"/>
      <c r="B9" s="216" t="s">
        <v>214</v>
      </c>
      <c r="C9" s="193"/>
      <c r="D9" s="193"/>
      <c r="E9" s="216" t="s">
        <v>127</v>
      </c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"/>
      <c r="U9" s="1"/>
      <c r="V9" s="1"/>
      <c r="W9" s="1"/>
      <c r="X9" s="1"/>
      <c r="Y9" s="193"/>
      <c r="Z9" s="193"/>
      <c r="AA9" s="193"/>
      <c r="AB9" s="193"/>
      <c r="AC9" s="193"/>
    </row>
    <row r="10">
      <c r="A10" s="193"/>
      <c r="B10" s="193" t="str">
        <f>IFERROR(__xludf.DUMMYFUNCTION("GOOGLEFINANCE(B9,""price"",TODAY()-166,TODAY())"),"Date")</f>
        <v>Date</v>
      </c>
      <c r="C10" s="193" t="str">
        <f>IFERROR(__xludf.DUMMYFUNCTION("""COMPUTED_VALUE"""),"Close")</f>
        <v>Close</v>
      </c>
      <c r="D10" s="193"/>
      <c r="E10" s="193" t="str">
        <f>IFERROR(__xludf.DUMMYFUNCTION("GOOGLEFINANCE(E9,""price"",TODAY()-166,TODAY())"),"Date")</f>
        <v>Date</v>
      </c>
      <c r="F10" s="193" t="str">
        <f>IFERROR(__xludf.DUMMYFUNCTION("""COMPUTED_VALUE"""),"Close")</f>
        <v>Close</v>
      </c>
      <c r="G10" s="193"/>
      <c r="H10" s="7" t="s">
        <v>92</v>
      </c>
      <c r="I10" s="7" t="s">
        <v>93</v>
      </c>
      <c r="J10" s="7" t="s">
        <v>94</v>
      </c>
      <c r="K10" s="193" t="s">
        <v>92</v>
      </c>
      <c r="L10" s="110" t="s">
        <v>191</v>
      </c>
      <c r="M10" s="110" t="s">
        <v>192</v>
      </c>
      <c r="N10" s="110" t="s">
        <v>193</v>
      </c>
      <c r="O10" s="110" t="s">
        <v>194</v>
      </c>
      <c r="P10" s="214" t="s">
        <v>99</v>
      </c>
      <c r="Q10" s="193"/>
      <c r="R10" s="193"/>
      <c r="S10" s="193"/>
      <c r="T10" s="1"/>
      <c r="U10" s="1"/>
      <c r="V10" s="1"/>
      <c r="W10" s="1"/>
      <c r="X10" s="1"/>
      <c r="Y10" s="110" t="s">
        <v>1</v>
      </c>
      <c r="Z10" s="111" t="str">
        <f>T5</f>
        <v>NSE:BRITANNIA
</v>
      </c>
      <c r="AA10" s="111" t="str">
        <f>T6</f>
        <v>NSE:HINDUNILVR</v>
      </c>
      <c r="AB10" s="193"/>
      <c r="AC10" s="193"/>
    </row>
    <row r="11">
      <c r="A11" s="193"/>
      <c r="B11" s="217">
        <f>IFERROR(__xludf.DUMMYFUNCTION("""COMPUTED_VALUE"""),46146.64583333333)</f>
        <v>46146.64583</v>
      </c>
      <c r="C11" s="193">
        <f>IFERROR(__xludf.DUMMYFUNCTION("""COMPUTED_VALUE"""),5792.5)</f>
        <v>5792.5</v>
      </c>
      <c r="D11" s="193"/>
      <c r="E11" s="217">
        <f>IFERROR(__xludf.DUMMYFUNCTION("""COMPUTED_VALUE"""),46146.64583333333)</f>
        <v>46146.64583</v>
      </c>
      <c r="F11" s="193">
        <f>IFERROR(__xludf.DUMMYFUNCTION("""COMPUTED_VALUE"""),2309.3)</f>
        <v>2309.3</v>
      </c>
      <c r="G11" s="193"/>
      <c r="H11" s="29">
        <f t="shared" ref="H11:H116" si="3">C11/F11</f>
        <v>2.508335859</v>
      </c>
      <c r="I11" s="1">
        <f t="shared" ref="I11:I122" si="4">C11-F11</f>
        <v>3483.2</v>
      </c>
      <c r="J11" s="113">
        <f t="shared" ref="J11:J122" si="5">((I11-$I$131)/$I$132)</f>
        <v>1.74034129</v>
      </c>
      <c r="K11" s="199">
        <f t="shared" ref="K11:K116" si="6">C11/F11</f>
        <v>2.508335859</v>
      </c>
      <c r="L11" s="193"/>
      <c r="M11" s="193"/>
      <c r="N11" s="193"/>
      <c r="O11" s="193"/>
      <c r="P11" s="193"/>
      <c r="Q11" s="193"/>
      <c r="R11" s="193"/>
      <c r="S11" s="193"/>
      <c r="T11" s="1"/>
      <c r="U11" s="1"/>
      <c r="V11" s="1">
        <f>V5-V6</f>
        <v>94000</v>
      </c>
      <c r="W11" s="120">
        <f>W6-W5</f>
        <v>73260</v>
      </c>
      <c r="X11" s="109">
        <f>V11+W11</f>
        <v>167260</v>
      </c>
      <c r="Y11" s="110" t="s">
        <v>101</v>
      </c>
      <c r="Z11" s="115">
        <f>AVERAGE(C88,C118)</f>
        <v>5124.4</v>
      </c>
      <c r="AA11" s="115">
        <f>AVERAGE(F88,F118)</f>
        <v>1955.1</v>
      </c>
      <c r="AB11" s="193"/>
      <c r="AC11" s="193"/>
    </row>
    <row r="12">
      <c r="A12" s="193"/>
      <c r="B12" s="217">
        <f>IFERROR(__xludf.DUMMYFUNCTION("""COMPUTED_VALUE"""),46147.64583333333)</f>
        <v>46147.64583</v>
      </c>
      <c r="C12" s="193">
        <f>IFERROR(__xludf.DUMMYFUNCTION("""COMPUTED_VALUE"""),5834.5)</f>
        <v>5834.5</v>
      </c>
      <c r="D12" s="193"/>
      <c r="E12" s="217">
        <f>IFERROR(__xludf.DUMMYFUNCTION("""COMPUTED_VALUE"""),46147.64583333333)</f>
        <v>46147.64583</v>
      </c>
      <c r="F12" s="193">
        <f>IFERROR(__xludf.DUMMYFUNCTION("""COMPUTED_VALUE"""),2327.4)</f>
        <v>2327.4</v>
      </c>
      <c r="G12" s="193"/>
      <c r="H12" s="29">
        <f t="shared" si="3"/>
        <v>2.506874624</v>
      </c>
      <c r="I12" s="1">
        <f t="shared" si="4"/>
        <v>3507.1</v>
      </c>
      <c r="J12" s="113">
        <f t="shared" si="5"/>
        <v>1.878659759</v>
      </c>
      <c r="K12" s="199">
        <f t="shared" si="6"/>
        <v>2.506874624</v>
      </c>
      <c r="L12" s="193"/>
      <c r="M12" s="193"/>
      <c r="N12" s="193"/>
      <c r="O12" s="193"/>
      <c r="P12" s="193"/>
      <c r="Q12" s="193"/>
      <c r="R12" s="193"/>
      <c r="S12" s="193"/>
      <c r="T12" s="7" t="s">
        <v>103</v>
      </c>
      <c r="U12" s="116">
        <f>S2/3</f>
        <v>0.04693472838</v>
      </c>
      <c r="V12" s="1"/>
      <c r="W12" s="1"/>
      <c r="X12" s="1"/>
      <c r="Y12" s="110" t="s">
        <v>104</v>
      </c>
      <c r="Z12" s="115">
        <f>AVERAGE(C58,C118)</f>
        <v>5118.4</v>
      </c>
      <c r="AA12" s="115">
        <f>AVERAGE(F58,F118)</f>
        <v>2022.9</v>
      </c>
      <c r="AB12" s="193"/>
      <c r="AC12" s="193"/>
    </row>
    <row r="13">
      <c r="A13" s="193"/>
      <c r="B13" s="217">
        <f>IFERROR(__xludf.DUMMYFUNCTION("""COMPUTED_VALUE"""),46148.64583333333)</f>
        <v>46148.64583</v>
      </c>
      <c r="C13" s="193">
        <f>IFERROR(__xludf.DUMMYFUNCTION("""COMPUTED_VALUE"""),5783.0)</f>
        <v>5783</v>
      </c>
      <c r="D13" s="193"/>
      <c r="E13" s="217">
        <f>IFERROR(__xludf.DUMMYFUNCTION("""COMPUTED_VALUE"""),46148.64583333333)</f>
        <v>46148.64583</v>
      </c>
      <c r="F13" s="193">
        <f>IFERROR(__xludf.DUMMYFUNCTION("""COMPUTED_VALUE"""),2317.1)</f>
        <v>2317.1</v>
      </c>
      <c r="G13" s="193"/>
      <c r="H13" s="29">
        <f t="shared" si="3"/>
        <v>2.495792154</v>
      </c>
      <c r="I13" s="1">
        <f t="shared" si="4"/>
        <v>3465.9</v>
      </c>
      <c r="J13" s="113">
        <f t="shared" si="5"/>
        <v>1.640219552</v>
      </c>
      <c r="K13" s="199">
        <f t="shared" si="6"/>
        <v>2.495792154</v>
      </c>
      <c r="L13" s="193"/>
      <c r="M13" s="193"/>
      <c r="N13" s="193"/>
      <c r="O13" s="210"/>
      <c r="P13" s="193"/>
      <c r="Q13" s="193"/>
      <c r="R13" s="193"/>
      <c r="S13" s="193"/>
      <c r="T13" s="117"/>
      <c r="U13" s="118">
        <f>(X11*U12)/S2</f>
        <v>55753.33333</v>
      </c>
      <c r="V13" s="117"/>
      <c r="W13" s="117"/>
      <c r="X13" s="119">
        <f>X11/(R2/U12)</f>
        <v>3105.719254</v>
      </c>
      <c r="Y13" s="110" t="s">
        <v>105</v>
      </c>
      <c r="Z13" s="115">
        <f>AVERAGE(C28,C118)</f>
        <v>5109.65</v>
      </c>
      <c r="AA13" s="115">
        <f>AVERAGE(F28,F118)</f>
        <v>2046.8</v>
      </c>
      <c r="AB13" s="193"/>
      <c r="AC13" s="193"/>
    </row>
    <row r="14">
      <c r="A14" s="193"/>
      <c r="B14" s="217">
        <f>IFERROR(__xludf.DUMMYFUNCTION("""COMPUTED_VALUE"""),46149.64583333333)</f>
        <v>46149.64583</v>
      </c>
      <c r="C14" s="193">
        <f>IFERROR(__xludf.DUMMYFUNCTION("""COMPUTED_VALUE"""),5814.0)</f>
        <v>5814</v>
      </c>
      <c r="D14" s="193"/>
      <c r="E14" s="217">
        <f>IFERROR(__xludf.DUMMYFUNCTION("""COMPUTED_VALUE"""),46149.64583333333)</f>
        <v>46149.64583</v>
      </c>
      <c r="F14" s="193">
        <f>IFERROR(__xludf.DUMMYFUNCTION("""COMPUTED_VALUE"""),2272.2)</f>
        <v>2272.2</v>
      </c>
      <c r="G14" s="193"/>
      <c r="H14" s="29">
        <f t="shared" si="3"/>
        <v>2.558753631</v>
      </c>
      <c r="I14" s="1">
        <f t="shared" si="4"/>
        <v>3541.8</v>
      </c>
      <c r="J14" s="113">
        <f t="shared" si="5"/>
        <v>2.079481973</v>
      </c>
      <c r="K14" s="199">
        <f t="shared" si="6"/>
        <v>2.558753631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</row>
    <row r="15">
      <c r="A15" s="193"/>
      <c r="B15" s="217">
        <f>IFERROR(__xludf.DUMMYFUNCTION("""COMPUTED_VALUE"""),46150.64583333333)</f>
        <v>46150.64583</v>
      </c>
      <c r="C15" s="193">
        <f>IFERROR(__xludf.DUMMYFUNCTION("""COMPUTED_VALUE"""),5520.0)</f>
        <v>5520</v>
      </c>
      <c r="D15" s="193"/>
      <c r="E15" s="217">
        <f>IFERROR(__xludf.DUMMYFUNCTION("""COMPUTED_VALUE"""),46150.64583333333)</f>
        <v>46150.64583</v>
      </c>
      <c r="F15" s="193">
        <f>IFERROR(__xludf.DUMMYFUNCTION("""COMPUTED_VALUE"""),2287.7)</f>
        <v>2287.7</v>
      </c>
      <c r="G15" s="193"/>
      <c r="H15" s="29">
        <f t="shared" si="3"/>
        <v>2.41290379</v>
      </c>
      <c r="I15" s="1">
        <f t="shared" si="4"/>
        <v>3232.3</v>
      </c>
      <c r="J15" s="113">
        <f t="shared" si="5"/>
        <v>0.2882867282</v>
      </c>
      <c r="K15" s="199">
        <f t="shared" si="6"/>
        <v>2.41290379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</row>
    <row r="16">
      <c r="A16" s="193"/>
      <c r="B16" s="217">
        <f>IFERROR(__xludf.DUMMYFUNCTION("""COMPUTED_VALUE"""),46153.64583333333)</f>
        <v>46153.64583</v>
      </c>
      <c r="C16" s="193">
        <f>IFERROR(__xludf.DUMMYFUNCTION("""COMPUTED_VALUE"""),5410.5)</f>
        <v>5410.5</v>
      </c>
      <c r="D16" s="193"/>
      <c r="E16" s="217">
        <f>IFERROR(__xludf.DUMMYFUNCTION("""COMPUTED_VALUE"""),46153.64583333333)</f>
        <v>46153.64583</v>
      </c>
      <c r="F16" s="193">
        <f>IFERROR(__xludf.DUMMYFUNCTION("""COMPUTED_VALUE"""),2307.2)</f>
        <v>2307.2</v>
      </c>
      <c r="G16" s="193"/>
      <c r="H16" s="29">
        <f t="shared" si="3"/>
        <v>2.345050277</v>
      </c>
      <c r="I16" s="1">
        <f t="shared" si="4"/>
        <v>3103.3</v>
      </c>
      <c r="J16" s="113">
        <f t="shared" si="5"/>
        <v>-0.4582857647</v>
      </c>
      <c r="K16" s="199">
        <f t="shared" si="6"/>
        <v>2.345050277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</row>
    <row r="17">
      <c r="A17" s="193"/>
      <c r="B17" s="217">
        <f>IFERROR(__xludf.DUMMYFUNCTION("""COMPUTED_VALUE"""),46154.64583333333)</f>
        <v>46154.64583</v>
      </c>
      <c r="C17" s="193">
        <f>IFERROR(__xludf.DUMMYFUNCTION("""COMPUTED_VALUE"""),5334.0)</f>
        <v>5334</v>
      </c>
      <c r="D17" s="193"/>
      <c r="E17" s="217">
        <f>IFERROR(__xludf.DUMMYFUNCTION("""COMPUTED_VALUE"""),46154.64583333333)</f>
        <v>46154.64583</v>
      </c>
      <c r="F17" s="193">
        <f>IFERROR(__xludf.DUMMYFUNCTION("""COMPUTED_VALUE"""),2262.0)</f>
        <v>2262</v>
      </c>
      <c r="G17" s="193"/>
      <c r="H17" s="29">
        <f t="shared" si="3"/>
        <v>2.358090186</v>
      </c>
      <c r="I17" s="1">
        <f t="shared" si="4"/>
        <v>3072</v>
      </c>
      <c r="J17" s="113">
        <f t="shared" si="5"/>
        <v>-0.6394308734</v>
      </c>
      <c r="K17" s="199">
        <f t="shared" si="6"/>
        <v>2.358090186</v>
      </c>
      <c r="L17" s="193"/>
      <c r="M17" s="193"/>
      <c r="N17" s="193"/>
      <c r="O17" s="193"/>
      <c r="P17" s="193"/>
      <c r="Q17" s="193"/>
      <c r="R17" s="193"/>
      <c r="S17" s="193"/>
      <c r="T17" s="193"/>
      <c r="U17" s="1"/>
      <c r="V17" s="193"/>
      <c r="W17" s="193"/>
      <c r="X17" s="193"/>
      <c r="Y17" s="193"/>
      <c r="Z17" s="193"/>
      <c r="AA17" s="193"/>
      <c r="AB17" s="193"/>
      <c r="AC17" s="193"/>
    </row>
    <row r="18">
      <c r="A18" s="193"/>
      <c r="B18" s="217">
        <f>IFERROR(__xludf.DUMMYFUNCTION("""COMPUTED_VALUE"""),46155.64583333333)</f>
        <v>46155.64583</v>
      </c>
      <c r="C18" s="193">
        <f>IFERROR(__xludf.DUMMYFUNCTION("""COMPUTED_VALUE"""),5336.0)</f>
        <v>5336</v>
      </c>
      <c r="D18" s="193"/>
      <c r="E18" s="217">
        <f>IFERROR(__xludf.DUMMYFUNCTION("""COMPUTED_VALUE"""),46155.64583333333)</f>
        <v>46155.64583</v>
      </c>
      <c r="F18" s="193">
        <f>IFERROR(__xludf.DUMMYFUNCTION("""COMPUTED_VALUE"""),2267.3)</f>
        <v>2267.3</v>
      </c>
      <c r="G18" s="193"/>
      <c r="H18" s="29">
        <f t="shared" si="3"/>
        <v>2.353460063</v>
      </c>
      <c r="I18" s="1">
        <f t="shared" si="4"/>
        <v>3068.7</v>
      </c>
      <c r="J18" s="113">
        <f t="shared" si="5"/>
        <v>-0.6585292395</v>
      </c>
      <c r="K18" s="199">
        <f t="shared" si="6"/>
        <v>2.353460063</v>
      </c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</row>
    <row r="19">
      <c r="A19" s="193"/>
      <c r="B19" s="217">
        <f>IFERROR(__xludf.DUMMYFUNCTION("""COMPUTED_VALUE"""),46156.64583333333)</f>
        <v>46156.64583</v>
      </c>
      <c r="C19" s="193">
        <f>IFERROR(__xludf.DUMMYFUNCTION("""COMPUTED_VALUE"""),5372.5)</f>
        <v>5372.5</v>
      </c>
      <c r="D19" s="193"/>
      <c r="E19" s="217">
        <f>IFERROR(__xludf.DUMMYFUNCTION("""COMPUTED_VALUE"""),46156.64583333333)</f>
        <v>46156.64583</v>
      </c>
      <c r="F19" s="193">
        <f>IFERROR(__xludf.DUMMYFUNCTION("""COMPUTED_VALUE"""),2248.7)</f>
        <v>2248.7</v>
      </c>
      <c r="G19" s="193"/>
      <c r="H19" s="29">
        <f t="shared" si="3"/>
        <v>2.38915818</v>
      </c>
      <c r="I19" s="1">
        <f t="shared" si="4"/>
        <v>3123.8</v>
      </c>
      <c r="J19" s="113">
        <f t="shared" si="5"/>
        <v>-0.3396443995</v>
      </c>
      <c r="K19" s="199">
        <f t="shared" si="6"/>
        <v>2.38915818</v>
      </c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</row>
    <row r="20">
      <c r="A20" s="193"/>
      <c r="B20" s="217">
        <f>IFERROR(__xludf.DUMMYFUNCTION("""COMPUTED_VALUE"""),46157.64583333333)</f>
        <v>46157.64583</v>
      </c>
      <c r="C20" s="193">
        <f>IFERROR(__xludf.DUMMYFUNCTION("""COMPUTED_VALUE"""),5406.0)</f>
        <v>5406</v>
      </c>
      <c r="D20" s="193"/>
      <c r="E20" s="217">
        <f>IFERROR(__xludf.DUMMYFUNCTION("""COMPUTED_VALUE"""),46157.64583333333)</f>
        <v>46157.64583</v>
      </c>
      <c r="F20" s="193">
        <f>IFERROR(__xludf.DUMMYFUNCTION("""COMPUTED_VALUE"""),2272.2)</f>
        <v>2272.2</v>
      </c>
      <c r="G20" s="193"/>
      <c r="H20" s="29">
        <f t="shared" si="3"/>
        <v>2.379191973</v>
      </c>
      <c r="I20" s="1">
        <f t="shared" si="4"/>
        <v>3133.8</v>
      </c>
      <c r="J20" s="113">
        <f t="shared" si="5"/>
        <v>-0.2817705629</v>
      </c>
      <c r="K20" s="199">
        <f t="shared" si="6"/>
        <v>2.379191973</v>
      </c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</row>
    <row r="21">
      <c r="A21" s="193"/>
      <c r="B21" s="217">
        <f>IFERROR(__xludf.DUMMYFUNCTION("""COMPUTED_VALUE"""),46160.64583333333)</f>
        <v>46160.64583</v>
      </c>
      <c r="C21" s="193">
        <f>IFERROR(__xludf.DUMMYFUNCTION("""COMPUTED_VALUE"""),5380.5)</f>
        <v>5380.5</v>
      </c>
      <c r="D21" s="193"/>
      <c r="E21" s="217">
        <f>IFERROR(__xludf.DUMMYFUNCTION("""COMPUTED_VALUE"""),46160.64583333333)</f>
        <v>46160.64583</v>
      </c>
      <c r="F21" s="193">
        <f>IFERROR(__xludf.DUMMYFUNCTION("""COMPUTED_VALUE"""),2254.2)</f>
        <v>2254.2</v>
      </c>
      <c r="G21" s="193"/>
      <c r="H21" s="29">
        <f t="shared" si="3"/>
        <v>2.386877828</v>
      </c>
      <c r="I21" s="1">
        <f t="shared" si="4"/>
        <v>3126.3</v>
      </c>
      <c r="J21" s="113">
        <f t="shared" si="5"/>
        <v>-0.3251759403</v>
      </c>
      <c r="K21" s="199">
        <f t="shared" si="6"/>
        <v>2.386877828</v>
      </c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</row>
    <row r="22">
      <c r="A22" s="193"/>
      <c r="B22" s="217">
        <f>IFERROR(__xludf.DUMMYFUNCTION("""COMPUTED_VALUE"""),46161.64583333333)</f>
        <v>46161.64583</v>
      </c>
      <c r="C22" s="193">
        <f>IFERROR(__xludf.DUMMYFUNCTION("""COMPUTED_VALUE"""),5416.5)</f>
        <v>5416.5</v>
      </c>
      <c r="D22" s="193"/>
      <c r="E22" s="217">
        <f>IFERROR(__xludf.DUMMYFUNCTION("""COMPUTED_VALUE"""),46161.64583333333)</f>
        <v>46161.64583</v>
      </c>
      <c r="F22" s="193">
        <f>IFERROR(__xludf.DUMMYFUNCTION("""COMPUTED_VALUE"""),2232.9)</f>
        <v>2232.9</v>
      </c>
      <c r="G22" s="193"/>
      <c r="H22" s="29">
        <f t="shared" si="3"/>
        <v>2.425769179</v>
      </c>
      <c r="I22" s="1">
        <f t="shared" si="4"/>
        <v>3183.6</v>
      </c>
      <c r="J22" s="113">
        <f t="shared" si="5"/>
        <v>0.006441143672</v>
      </c>
      <c r="K22" s="199">
        <f t="shared" si="6"/>
        <v>2.425769179</v>
      </c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</row>
    <row r="23">
      <c r="A23" s="193"/>
      <c r="B23" s="217">
        <f>IFERROR(__xludf.DUMMYFUNCTION("""COMPUTED_VALUE"""),46162.64583333333)</f>
        <v>46162.64583</v>
      </c>
      <c r="C23" s="193">
        <f>IFERROR(__xludf.DUMMYFUNCTION("""COMPUTED_VALUE"""),5344.5)</f>
        <v>5344.5</v>
      </c>
      <c r="D23" s="193"/>
      <c r="E23" s="217">
        <f>IFERROR(__xludf.DUMMYFUNCTION("""COMPUTED_VALUE"""),46162.64583333333)</f>
        <v>46162.64583</v>
      </c>
      <c r="F23" s="193">
        <f>IFERROR(__xludf.DUMMYFUNCTION("""COMPUTED_VALUE"""),2209.3)</f>
        <v>2209.3</v>
      </c>
      <c r="G23" s="193"/>
      <c r="H23" s="29">
        <f t="shared" si="3"/>
        <v>2.41909202</v>
      </c>
      <c r="I23" s="1">
        <f t="shared" si="4"/>
        <v>3135.2</v>
      </c>
      <c r="J23" s="113">
        <f t="shared" si="5"/>
        <v>-0.2736682257</v>
      </c>
      <c r="K23" s="199">
        <f t="shared" si="6"/>
        <v>2.41909202</v>
      </c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</row>
    <row r="24">
      <c r="A24" s="193"/>
      <c r="B24" s="217">
        <f>IFERROR(__xludf.DUMMYFUNCTION("""COMPUTED_VALUE"""),46163.64583333333)</f>
        <v>46163.64583</v>
      </c>
      <c r="C24" s="193">
        <f>IFERROR(__xludf.DUMMYFUNCTION("""COMPUTED_VALUE"""),5333.0)</f>
        <v>5333</v>
      </c>
      <c r="D24" s="193"/>
      <c r="E24" s="217">
        <f>IFERROR(__xludf.DUMMYFUNCTION("""COMPUTED_VALUE"""),46163.64583333333)</f>
        <v>46163.64583</v>
      </c>
      <c r="F24" s="193">
        <f>IFERROR(__xludf.DUMMYFUNCTION("""COMPUTED_VALUE"""),2179.0)</f>
        <v>2179</v>
      </c>
      <c r="G24" s="193"/>
      <c r="H24" s="29">
        <f t="shared" si="3"/>
        <v>2.44745296</v>
      </c>
      <c r="I24" s="1">
        <f t="shared" si="4"/>
        <v>3154</v>
      </c>
      <c r="J24" s="113">
        <f t="shared" si="5"/>
        <v>-0.1648654128</v>
      </c>
      <c r="K24" s="199">
        <f t="shared" si="6"/>
        <v>2.44745296</v>
      </c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</row>
    <row r="25">
      <c r="A25" s="193"/>
      <c r="B25" s="217">
        <f>IFERROR(__xludf.DUMMYFUNCTION("""COMPUTED_VALUE"""),46164.64583333333)</f>
        <v>46164.64583</v>
      </c>
      <c r="C25" s="193">
        <f>IFERROR(__xludf.DUMMYFUNCTION("""COMPUTED_VALUE"""),5331.5)</f>
        <v>5331.5</v>
      </c>
      <c r="D25" s="193"/>
      <c r="E25" s="217">
        <f>IFERROR(__xludf.DUMMYFUNCTION("""COMPUTED_VALUE"""),46164.64583333333)</f>
        <v>46164.64583</v>
      </c>
      <c r="F25" s="193">
        <f>IFERROR(__xludf.DUMMYFUNCTION("""COMPUTED_VALUE"""),2203.6)</f>
        <v>2203.6</v>
      </c>
      <c r="G25" s="193"/>
      <c r="H25" s="29">
        <f t="shared" si="3"/>
        <v>2.419449991</v>
      </c>
      <c r="I25" s="1">
        <f t="shared" si="4"/>
        <v>3127.9</v>
      </c>
      <c r="J25" s="113">
        <f t="shared" si="5"/>
        <v>-0.3159161265</v>
      </c>
      <c r="K25" s="199">
        <f t="shared" si="6"/>
        <v>2.419449991</v>
      </c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</row>
    <row r="26">
      <c r="A26" s="193"/>
      <c r="B26" s="217">
        <f>IFERROR(__xludf.DUMMYFUNCTION("""COMPUTED_VALUE"""),46167.64583333333)</f>
        <v>46167.64583</v>
      </c>
      <c r="C26" s="193">
        <f>IFERROR(__xludf.DUMMYFUNCTION("""COMPUTED_VALUE"""),5327.0)</f>
        <v>5327</v>
      </c>
      <c r="D26" s="193"/>
      <c r="E26" s="217">
        <f>IFERROR(__xludf.DUMMYFUNCTION("""COMPUTED_VALUE"""),46167.64583333333)</f>
        <v>46167.64583</v>
      </c>
      <c r="F26" s="193">
        <f>IFERROR(__xludf.DUMMYFUNCTION("""COMPUTED_VALUE"""),2196.5)</f>
        <v>2196.5</v>
      </c>
      <c r="G26" s="193"/>
      <c r="H26" s="29">
        <f t="shared" si="3"/>
        <v>2.425221944</v>
      </c>
      <c r="I26" s="1">
        <f t="shared" si="4"/>
        <v>3130.5</v>
      </c>
      <c r="J26" s="113">
        <f t="shared" si="5"/>
        <v>-0.300868929</v>
      </c>
      <c r="K26" s="199">
        <f t="shared" si="6"/>
        <v>2.425221944</v>
      </c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</row>
    <row r="27">
      <c r="A27" s="193"/>
      <c r="B27" s="217">
        <f>IFERROR(__xludf.DUMMYFUNCTION("""COMPUTED_VALUE"""),46168.64583333333)</f>
        <v>46168.64583</v>
      </c>
      <c r="C27" s="193">
        <f>IFERROR(__xludf.DUMMYFUNCTION("""COMPUTED_VALUE"""),5338.0)</f>
        <v>5338</v>
      </c>
      <c r="D27" s="193"/>
      <c r="E27" s="217">
        <f>IFERROR(__xludf.DUMMYFUNCTION("""COMPUTED_VALUE"""),46168.64583333333)</f>
        <v>46168.64583</v>
      </c>
      <c r="F27" s="193">
        <f>IFERROR(__xludf.DUMMYFUNCTION("""COMPUTED_VALUE"""),2209.4)</f>
        <v>2209.4</v>
      </c>
      <c r="G27" s="193"/>
      <c r="H27" s="29">
        <f t="shared" si="3"/>
        <v>2.416040554</v>
      </c>
      <c r="I27" s="1">
        <f t="shared" si="4"/>
        <v>3128.6</v>
      </c>
      <c r="J27" s="113">
        <f t="shared" si="5"/>
        <v>-0.3118649579</v>
      </c>
      <c r="K27" s="199">
        <f t="shared" si="6"/>
        <v>2.416040554</v>
      </c>
      <c r="L27" s="193"/>
      <c r="M27" s="193"/>
      <c r="N27" s="193"/>
      <c r="O27" s="193"/>
      <c r="P27" s="193"/>
      <c r="Q27" s="193"/>
      <c r="R27" s="212" t="s">
        <v>112</v>
      </c>
      <c r="S27" s="229">
        <f>AVERAGE(K88:K118)</f>
        <v>2.589487237</v>
      </c>
      <c r="T27" s="193"/>
      <c r="U27" s="193"/>
      <c r="V27" s="193"/>
      <c r="W27" s="193"/>
      <c r="X27" s="193"/>
      <c r="Y27" s="193"/>
      <c r="Z27" s="193"/>
      <c r="AA27" s="193"/>
      <c r="AB27" s="193"/>
      <c r="AC27" s="193"/>
    </row>
    <row r="28">
      <c r="A28" s="193"/>
      <c r="B28" s="217">
        <f>IFERROR(__xludf.DUMMYFUNCTION("""COMPUTED_VALUE"""),46169.64583333333)</f>
        <v>46169.64583</v>
      </c>
      <c r="C28" s="193">
        <f>IFERROR(__xludf.DUMMYFUNCTION("""COMPUTED_VALUE"""),5335.5)</f>
        <v>5335.5</v>
      </c>
      <c r="D28" s="193"/>
      <c r="E28" s="217">
        <f>IFERROR(__xludf.DUMMYFUNCTION("""COMPUTED_VALUE"""),46169.64583333333)</f>
        <v>46169.64583</v>
      </c>
      <c r="F28" s="193">
        <f>IFERROR(__xludf.DUMMYFUNCTION("""COMPUTED_VALUE"""),2198.4)</f>
        <v>2198.4</v>
      </c>
      <c r="G28" s="193"/>
      <c r="H28" s="29">
        <f t="shared" si="3"/>
        <v>2.426992358</v>
      </c>
      <c r="I28" s="1">
        <f t="shared" si="4"/>
        <v>3137.1</v>
      </c>
      <c r="J28" s="113">
        <f t="shared" si="5"/>
        <v>-0.2626721968</v>
      </c>
      <c r="K28" s="199">
        <f t="shared" si="6"/>
        <v>2.426992358</v>
      </c>
      <c r="L28" s="193"/>
      <c r="M28" s="193"/>
      <c r="N28" s="193"/>
      <c r="O28" s="193"/>
      <c r="P28" s="193"/>
      <c r="Q28" s="193"/>
      <c r="R28" s="212" t="s">
        <v>113</v>
      </c>
      <c r="S28" s="229">
        <f>MAX(K88:K118)</f>
        <v>2.668496493</v>
      </c>
      <c r="T28" s="193"/>
      <c r="U28" s="193"/>
      <c r="V28" s="193"/>
      <c r="W28" s="193"/>
      <c r="X28" s="193"/>
      <c r="Y28" s="193"/>
      <c r="Z28" s="193"/>
      <c r="AA28" s="193"/>
      <c r="AB28" s="193"/>
      <c r="AC28" s="193"/>
    </row>
    <row r="29">
      <c r="A29" s="193"/>
      <c r="B29" s="217">
        <f>IFERROR(__xludf.DUMMYFUNCTION("""COMPUTED_VALUE"""),46171.64583333333)</f>
        <v>46171.64583</v>
      </c>
      <c r="C29" s="193">
        <f>IFERROR(__xludf.DUMMYFUNCTION("""COMPUTED_VALUE"""),5204.5)</f>
        <v>5204.5</v>
      </c>
      <c r="D29" s="193"/>
      <c r="E29" s="217">
        <f>IFERROR(__xludf.DUMMYFUNCTION("""COMPUTED_VALUE"""),46171.64583333333)</f>
        <v>46171.64583</v>
      </c>
      <c r="F29" s="193">
        <f>IFERROR(__xludf.DUMMYFUNCTION("""COMPUTED_VALUE"""),2153.5)</f>
        <v>2153.5</v>
      </c>
      <c r="G29" s="193"/>
      <c r="H29" s="29">
        <f t="shared" si="3"/>
        <v>2.416763408</v>
      </c>
      <c r="I29" s="1">
        <f t="shared" si="4"/>
        <v>3051</v>
      </c>
      <c r="J29" s="113">
        <f t="shared" si="5"/>
        <v>-0.7609659303</v>
      </c>
      <c r="K29" s="199">
        <f t="shared" si="6"/>
        <v>2.416763408</v>
      </c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</row>
    <row r="30">
      <c r="A30" s="193"/>
      <c r="B30" s="217">
        <f>IFERROR(__xludf.DUMMYFUNCTION("""COMPUTED_VALUE"""),46174.64583333333)</f>
        <v>46174.64583</v>
      </c>
      <c r="C30" s="193">
        <f>IFERROR(__xludf.DUMMYFUNCTION("""COMPUTED_VALUE"""),5157.5)</f>
        <v>5157.5</v>
      </c>
      <c r="D30" s="193"/>
      <c r="E30" s="217">
        <f>IFERROR(__xludf.DUMMYFUNCTION("""COMPUTED_VALUE"""),46174.64583333333)</f>
        <v>46174.64583</v>
      </c>
      <c r="F30" s="193">
        <f>IFERROR(__xludf.DUMMYFUNCTION("""COMPUTED_VALUE"""),2084.3)</f>
        <v>2084.3</v>
      </c>
      <c r="G30" s="193"/>
      <c r="H30" s="29">
        <f t="shared" si="3"/>
        <v>2.474451854</v>
      </c>
      <c r="I30" s="1">
        <f t="shared" si="4"/>
        <v>3073.2</v>
      </c>
      <c r="J30" s="113">
        <f t="shared" si="5"/>
        <v>-0.632486013</v>
      </c>
      <c r="K30" s="199">
        <f t="shared" si="6"/>
        <v>2.474451854</v>
      </c>
      <c r="L30" s="193">
        <f t="shared" ref="L30:L118" si="7">AVERAGE(C11:C30)</f>
        <v>5438.575</v>
      </c>
      <c r="M30" s="210">
        <f t="shared" ref="M30:M118" si="8">(C30-L30)/C30</f>
        <v>-0.05449830344</v>
      </c>
      <c r="N30" s="213">
        <f t="shared" ref="N30:N118" si="9">AVERAGE(F11:F30)</f>
        <v>2239.61</v>
      </c>
      <c r="O30" s="210">
        <f t="shared" ref="O30:O118" si="10">(F30-N30)/F30</f>
        <v>-0.0745142254</v>
      </c>
      <c r="P30" s="210">
        <f t="shared" ref="P30:P118" si="11">M30-O30</f>
        <v>0.02001592196</v>
      </c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</row>
    <row r="31">
      <c r="A31" s="193"/>
      <c r="B31" s="217">
        <f>IFERROR(__xludf.DUMMYFUNCTION("""COMPUTED_VALUE"""),46175.64583333333)</f>
        <v>46175.64583</v>
      </c>
      <c r="C31" s="193">
        <f>IFERROR(__xludf.DUMMYFUNCTION("""COMPUTED_VALUE"""),5117.0)</f>
        <v>5117</v>
      </c>
      <c r="D31" s="193"/>
      <c r="E31" s="217">
        <f>IFERROR(__xludf.DUMMYFUNCTION("""COMPUTED_VALUE"""),46175.64583333333)</f>
        <v>46175.64583</v>
      </c>
      <c r="F31" s="193">
        <f>IFERROR(__xludf.DUMMYFUNCTION("""COMPUTED_VALUE"""),2093.7)</f>
        <v>2093.7</v>
      </c>
      <c r="G31" s="193"/>
      <c r="H31" s="29">
        <f t="shared" si="3"/>
        <v>2.443998663</v>
      </c>
      <c r="I31" s="1">
        <f t="shared" si="4"/>
        <v>3023.3</v>
      </c>
      <c r="J31" s="113">
        <f t="shared" si="5"/>
        <v>-0.9212764579</v>
      </c>
      <c r="K31" s="199">
        <f t="shared" si="6"/>
        <v>2.443998663</v>
      </c>
      <c r="L31" s="213">
        <f t="shared" si="7"/>
        <v>5404.8</v>
      </c>
      <c r="M31" s="210">
        <f t="shared" si="8"/>
        <v>-0.05624389291</v>
      </c>
      <c r="N31" s="213">
        <f t="shared" si="9"/>
        <v>2228.83</v>
      </c>
      <c r="O31" s="210">
        <f t="shared" si="10"/>
        <v>-0.06454124278</v>
      </c>
      <c r="P31" s="210">
        <f t="shared" si="11"/>
        <v>0.00829734987</v>
      </c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</row>
    <row r="32">
      <c r="A32" s="193"/>
      <c r="B32" s="217">
        <f>IFERROR(__xludf.DUMMYFUNCTION("""COMPUTED_VALUE"""),46176.64583333333)</f>
        <v>46176.64583</v>
      </c>
      <c r="C32" s="193">
        <f>IFERROR(__xludf.DUMMYFUNCTION("""COMPUTED_VALUE"""),5064.0)</f>
        <v>5064</v>
      </c>
      <c r="D32" s="193"/>
      <c r="E32" s="217">
        <f>IFERROR(__xludf.DUMMYFUNCTION("""COMPUTED_VALUE"""),46176.64583333333)</f>
        <v>46176.64583</v>
      </c>
      <c r="F32" s="193">
        <f>IFERROR(__xludf.DUMMYFUNCTION("""COMPUTED_VALUE"""),2090.6)</f>
        <v>2090.6</v>
      </c>
      <c r="G32" s="193"/>
      <c r="H32" s="29">
        <f t="shared" si="3"/>
        <v>2.422271118</v>
      </c>
      <c r="I32" s="1">
        <f t="shared" si="4"/>
        <v>2973.4</v>
      </c>
      <c r="J32" s="113">
        <f t="shared" si="5"/>
        <v>-1.210066903</v>
      </c>
      <c r="K32" s="199">
        <f t="shared" si="6"/>
        <v>2.422271118</v>
      </c>
      <c r="L32" s="213">
        <f t="shared" si="7"/>
        <v>5366.275</v>
      </c>
      <c r="M32" s="210">
        <f t="shared" si="8"/>
        <v>-0.05969095577</v>
      </c>
      <c r="N32" s="213">
        <f t="shared" si="9"/>
        <v>2216.99</v>
      </c>
      <c r="O32" s="210">
        <f t="shared" si="10"/>
        <v>-0.06045632833</v>
      </c>
      <c r="P32" s="210">
        <f t="shared" si="11"/>
        <v>0.0007653725606</v>
      </c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</row>
    <row r="33">
      <c r="A33" s="193"/>
      <c r="B33" s="217">
        <f>IFERROR(__xludf.DUMMYFUNCTION("""COMPUTED_VALUE"""),46177.64583333333)</f>
        <v>46177.64583</v>
      </c>
      <c r="C33" s="193">
        <f>IFERROR(__xludf.DUMMYFUNCTION("""COMPUTED_VALUE"""),5090.0)</f>
        <v>5090</v>
      </c>
      <c r="D33" s="193"/>
      <c r="E33" s="217">
        <f>IFERROR(__xludf.DUMMYFUNCTION("""COMPUTED_VALUE"""),46177.64583333333)</f>
        <v>46177.64583</v>
      </c>
      <c r="F33" s="193">
        <f>IFERROR(__xludf.DUMMYFUNCTION("""COMPUTED_VALUE"""),2079.4)</f>
        <v>2079.4</v>
      </c>
      <c r="G33" s="193"/>
      <c r="H33" s="29">
        <f t="shared" si="3"/>
        <v>2.447821487</v>
      </c>
      <c r="I33" s="1">
        <f t="shared" si="4"/>
        <v>3010.6</v>
      </c>
      <c r="J33" s="113">
        <f t="shared" si="5"/>
        <v>-0.9947762304</v>
      </c>
      <c r="K33" s="199">
        <f t="shared" si="6"/>
        <v>2.447821487</v>
      </c>
      <c r="L33" s="213">
        <f t="shared" si="7"/>
        <v>5331.625</v>
      </c>
      <c r="M33" s="210">
        <f t="shared" si="8"/>
        <v>-0.04747053045</v>
      </c>
      <c r="N33" s="213">
        <f t="shared" si="9"/>
        <v>2205.105</v>
      </c>
      <c r="O33" s="210">
        <f t="shared" si="10"/>
        <v>-0.06045253438</v>
      </c>
      <c r="P33" s="210">
        <f t="shared" si="11"/>
        <v>0.01298200393</v>
      </c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</row>
    <row r="34">
      <c r="A34" s="193"/>
      <c r="B34" s="217">
        <f>IFERROR(__xludf.DUMMYFUNCTION("""COMPUTED_VALUE"""),46178.64583333333)</f>
        <v>46178.64583</v>
      </c>
      <c r="C34" s="193">
        <f>IFERROR(__xludf.DUMMYFUNCTION("""COMPUTED_VALUE"""),5120.5)</f>
        <v>5120.5</v>
      </c>
      <c r="D34" s="193"/>
      <c r="E34" s="217">
        <f>IFERROR(__xludf.DUMMYFUNCTION("""COMPUTED_VALUE"""),46178.64583333333)</f>
        <v>46178.64583</v>
      </c>
      <c r="F34" s="193">
        <f>IFERROR(__xludf.DUMMYFUNCTION("""COMPUTED_VALUE"""),2121.5)</f>
        <v>2121.5</v>
      </c>
      <c r="G34" s="193"/>
      <c r="H34" s="29">
        <f t="shared" si="3"/>
        <v>2.413622437</v>
      </c>
      <c r="I34" s="1">
        <f t="shared" si="4"/>
        <v>2999</v>
      </c>
      <c r="J34" s="113">
        <f t="shared" si="5"/>
        <v>-1.061909881</v>
      </c>
      <c r="K34" s="199">
        <f t="shared" si="6"/>
        <v>2.413622437</v>
      </c>
      <c r="L34" s="213">
        <f t="shared" si="7"/>
        <v>5296.95</v>
      </c>
      <c r="M34" s="210">
        <f t="shared" si="8"/>
        <v>-0.03445952544</v>
      </c>
      <c r="N34" s="213">
        <f t="shared" si="9"/>
        <v>2197.57</v>
      </c>
      <c r="O34" s="210">
        <f t="shared" si="10"/>
        <v>-0.03585670516</v>
      </c>
      <c r="P34" s="210">
        <f t="shared" si="11"/>
        <v>0.001397179724</v>
      </c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</row>
    <row r="35">
      <c r="A35" s="193"/>
      <c r="B35" s="217">
        <f>IFERROR(__xludf.DUMMYFUNCTION("""COMPUTED_VALUE"""),46181.64583333333)</f>
        <v>46181.64583</v>
      </c>
      <c r="C35" s="193">
        <f>IFERROR(__xludf.DUMMYFUNCTION("""COMPUTED_VALUE"""),5078.5)</f>
        <v>5078.5</v>
      </c>
      <c r="D35" s="193"/>
      <c r="E35" s="217">
        <f>IFERROR(__xludf.DUMMYFUNCTION("""COMPUTED_VALUE"""),46181.64583333333)</f>
        <v>46181.64583</v>
      </c>
      <c r="F35" s="193">
        <f>IFERROR(__xludf.DUMMYFUNCTION("""COMPUTED_VALUE"""),2110.1)</f>
        <v>2110.1</v>
      </c>
      <c r="G35" s="193"/>
      <c r="H35" s="29">
        <f t="shared" si="3"/>
        <v>2.406757974</v>
      </c>
      <c r="I35" s="1">
        <f t="shared" si="4"/>
        <v>2968.4</v>
      </c>
      <c r="J35" s="113">
        <f t="shared" si="5"/>
        <v>-1.239003821</v>
      </c>
      <c r="K35" s="199">
        <f t="shared" si="6"/>
        <v>2.406757974</v>
      </c>
      <c r="L35" s="213">
        <f t="shared" si="7"/>
        <v>5274.875</v>
      </c>
      <c r="M35" s="210">
        <f t="shared" si="8"/>
        <v>-0.03866791375</v>
      </c>
      <c r="N35" s="213">
        <f t="shared" si="9"/>
        <v>2188.69</v>
      </c>
      <c r="O35" s="210">
        <f t="shared" si="10"/>
        <v>-0.03724468035</v>
      </c>
      <c r="P35" s="210">
        <f t="shared" si="11"/>
        <v>-0.001423233407</v>
      </c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</row>
    <row r="36">
      <c r="A36" s="193"/>
      <c r="B36" s="217">
        <f>IFERROR(__xludf.DUMMYFUNCTION("""COMPUTED_VALUE"""),46182.64583333333)</f>
        <v>46182.64583</v>
      </c>
      <c r="C36" s="193">
        <f>IFERROR(__xludf.DUMMYFUNCTION("""COMPUTED_VALUE"""),5107.5)</f>
        <v>5107.5</v>
      </c>
      <c r="D36" s="193"/>
      <c r="E36" s="217">
        <f>IFERROR(__xludf.DUMMYFUNCTION("""COMPUTED_VALUE"""),46182.64583333333)</f>
        <v>46182.64583</v>
      </c>
      <c r="F36" s="193">
        <f>IFERROR(__xludf.DUMMYFUNCTION("""COMPUTED_VALUE"""),2132.8)</f>
        <v>2132.8</v>
      </c>
      <c r="G36" s="193"/>
      <c r="H36" s="29">
        <f t="shared" si="3"/>
        <v>2.39473931</v>
      </c>
      <c r="I36" s="1">
        <f t="shared" si="4"/>
        <v>2974.7</v>
      </c>
      <c r="J36" s="113">
        <f t="shared" si="5"/>
        <v>-1.202543304</v>
      </c>
      <c r="K36" s="199">
        <f t="shared" si="6"/>
        <v>2.39473931</v>
      </c>
      <c r="L36" s="213">
        <f t="shared" si="7"/>
        <v>5259.725</v>
      </c>
      <c r="M36" s="210">
        <f t="shared" si="8"/>
        <v>-0.0298042095</v>
      </c>
      <c r="N36" s="213">
        <f t="shared" si="9"/>
        <v>2179.97</v>
      </c>
      <c r="O36" s="210">
        <f t="shared" si="10"/>
        <v>-0.02211646662</v>
      </c>
      <c r="P36" s="210">
        <f t="shared" si="11"/>
        <v>-0.007687742879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</row>
    <row r="37">
      <c r="A37" s="193"/>
      <c r="B37" s="217">
        <f>IFERROR(__xludf.DUMMYFUNCTION("""COMPUTED_VALUE"""),46183.64583333333)</f>
        <v>46183.64583</v>
      </c>
      <c r="C37" s="193">
        <f>IFERROR(__xludf.DUMMYFUNCTION("""COMPUTED_VALUE"""),5171.0)</f>
        <v>5171</v>
      </c>
      <c r="D37" s="193"/>
      <c r="E37" s="217">
        <f>IFERROR(__xludf.DUMMYFUNCTION("""COMPUTED_VALUE"""),46183.64583333333)</f>
        <v>46183.64583</v>
      </c>
      <c r="F37" s="193">
        <f>IFERROR(__xludf.DUMMYFUNCTION("""COMPUTED_VALUE"""),2169.5)</f>
        <v>2169.5</v>
      </c>
      <c r="G37" s="193"/>
      <c r="H37" s="29">
        <f t="shared" si="3"/>
        <v>2.383498502</v>
      </c>
      <c r="I37" s="1">
        <f t="shared" si="4"/>
        <v>3001.5</v>
      </c>
      <c r="J37" s="113">
        <f t="shared" si="5"/>
        <v>-1.047441422</v>
      </c>
      <c r="K37" s="199">
        <f t="shared" si="6"/>
        <v>2.383498502</v>
      </c>
      <c r="L37" s="213">
        <f t="shared" si="7"/>
        <v>5251.575</v>
      </c>
      <c r="M37" s="210">
        <f t="shared" si="8"/>
        <v>-0.01558209244</v>
      </c>
      <c r="N37" s="213">
        <f t="shared" si="9"/>
        <v>2175.345</v>
      </c>
      <c r="O37" s="210">
        <f t="shared" si="10"/>
        <v>-0.002694169163</v>
      </c>
      <c r="P37" s="210">
        <f t="shared" si="11"/>
        <v>-0.01288792328</v>
      </c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</row>
    <row r="38">
      <c r="A38" s="193"/>
      <c r="B38" s="217">
        <f>IFERROR(__xludf.DUMMYFUNCTION("""COMPUTED_VALUE"""),46184.64583333333)</f>
        <v>46184.64583</v>
      </c>
      <c r="C38" s="193">
        <f>IFERROR(__xludf.DUMMYFUNCTION("""COMPUTED_VALUE"""),5113.0)</f>
        <v>5113</v>
      </c>
      <c r="D38" s="193"/>
      <c r="E38" s="217">
        <f>IFERROR(__xludf.DUMMYFUNCTION("""COMPUTED_VALUE"""),46184.64583333333)</f>
        <v>46184.64583</v>
      </c>
      <c r="F38" s="193">
        <f>IFERROR(__xludf.DUMMYFUNCTION("""COMPUTED_VALUE"""),2139.8)</f>
        <v>2139.8</v>
      </c>
      <c r="G38" s="193"/>
      <c r="H38" s="29">
        <f t="shared" si="3"/>
        <v>2.389475652</v>
      </c>
      <c r="I38" s="1">
        <f t="shared" si="4"/>
        <v>2973.2</v>
      </c>
      <c r="J38" s="113">
        <f t="shared" si="5"/>
        <v>-1.21122438</v>
      </c>
      <c r="K38" s="199">
        <f t="shared" si="6"/>
        <v>2.389475652</v>
      </c>
      <c r="L38" s="213">
        <f t="shared" si="7"/>
        <v>5240.425</v>
      </c>
      <c r="M38" s="210">
        <f t="shared" si="8"/>
        <v>-0.02492176804</v>
      </c>
      <c r="N38" s="213">
        <f t="shared" si="9"/>
        <v>2168.97</v>
      </c>
      <c r="O38" s="210">
        <f t="shared" si="10"/>
        <v>-0.01363211515</v>
      </c>
      <c r="P38" s="210">
        <f t="shared" si="11"/>
        <v>-0.01128965289</v>
      </c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</row>
    <row r="39">
      <c r="A39" s="193"/>
      <c r="B39" s="217">
        <f>IFERROR(__xludf.DUMMYFUNCTION("""COMPUTED_VALUE"""),46185.64583333333)</f>
        <v>46185.64583</v>
      </c>
      <c r="C39" s="193">
        <f>IFERROR(__xludf.DUMMYFUNCTION("""COMPUTED_VALUE"""),5165.5)</f>
        <v>5165.5</v>
      </c>
      <c r="D39" s="193"/>
      <c r="E39" s="217">
        <f>IFERROR(__xludf.DUMMYFUNCTION("""COMPUTED_VALUE"""),46185.64583333333)</f>
        <v>46185.64583</v>
      </c>
      <c r="F39" s="193">
        <f>IFERROR(__xludf.DUMMYFUNCTION("""COMPUTED_VALUE"""),2168.8)</f>
        <v>2168.8</v>
      </c>
      <c r="G39" s="193"/>
      <c r="H39" s="29">
        <f t="shared" si="3"/>
        <v>2.381731833</v>
      </c>
      <c r="I39" s="1">
        <f t="shared" si="4"/>
        <v>2996.7</v>
      </c>
      <c r="J39" s="113">
        <f t="shared" si="5"/>
        <v>-1.075220863</v>
      </c>
      <c r="K39" s="199">
        <f t="shared" si="6"/>
        <v>2.381731833</v>
      </c>
      <c r="L39" s="213">
        <f t="shared" si="7"/>
        <v>5230.075</v>
      </c>
      <c r="M39" s="210">
        <f t="shared" si="8"/>
        <v>-0.01250120995</v>
      </c>
      <c r="N39" s="213">
        <f t="shared" si="9"/>
        <v>2164.975</v>
      </c>
      <c r="O39" s="210">
        <f t="shared" si="10"/>
        <v>0.0017636481</v>
      </c>
      <c r="P39" s="210">
        <f t="shared" si="11"/>
        <v>-0.01426485805</v>
      </c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</row>
    <row r="40">
      <c r="A40" s="193"/>
      <c r="B40" s="217">
        <f>IFERROR(__xludf.DUMMYFUNCTION("""COMPUTED_VALUE"""),46188.64583333333)</f>
        <v>46188.64583</v>
      </c>
      <c r="C40" s="193">
        <f>IFERROR(__xludf.DUMMYFUNCTION("""COMPUTED_VALUE"""),5199.5)</f>
        <v>5199.5</v>
      </c>
      <c r="D40" s="193"/>
      <c r="E40" s="217">
        <f>IFERROR(__xludf.DUMMYFUNCTION("""COMPUTED_VALUE"""),46188.64583333333)</f>
        <v>46188.64583</v>
      </c>
      <c r="F40" s="193">
        <f>IFERROR(__xludf.DUMMYFUNCTION("""COMPUTED_VALUE"""),2156.1)</f>
        <v>2156.1</v>
      </c>
      <c r="G40" s="193"/>
      <c r="H40" s="29">
        <f t="shared" si="3"/>
        <v>2.411530077</v>
      </c>
      <c r="I40" s="1">
        <f t="shared" si="4"/>
        <v>3043.4</v>
      </c>
      <c r="J40" s="113">
        <f t="shared" si="5"/>
        <v>-0.8049500462</v>
      </c>
      <c r="K40" s="199">
        <f t="shared" si="6"/>
        <v>2.411530077</v>
      </c>
      <c r="L40" s="213">
        <f t="shared" si="7"/>
        <v>5219.75</v>
      </c>
      <c r="M40" s="210">
        <f t="shared" si="8"/>
        <v>-0.003894605251</v>
      </c>
      <c r="N40" s="213">
        <f t="shared" si="9"/>
        <v>2159.17</v>
      </c>
      <c r="O40" s="210">
        <f t="shared" si="10"/>
        <v>-0.001423867168</v>
      </c>
      <c r="P40" s="210">
        <f t="shared" si="11"/>
        <v>-0.002470738083</v>
      </c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</row>
    <row r="41">
      <c r="A41" s="193"/>
      <c r="B41" s="217">
        <f>IFERROR(__xludf.DUMMYFUNCTION("""COMPUTED_VALUE"""),46189.64583333333)</f>
        <v>46189.64583</v>
      </c>
      <c r="C41" s="193">
        <f>IFERROR(__xludf.DUMMYFUNCTION("""COMPUTED_VALUE"""),5217.5)</f>
        <v>5217.5</v>
      </c>
      <c r="D41" s="193"/>
      <c r="E41" s="217">
        <f>IFERROR(__xludf.DUMMYFUNCTION("""COMPUTED_VALUE"""),46189.64583333333)</f>
        <v>46189.64583</v>
      </c>
      <c r="F41" s="193">
        <f>IFERROR(__xludf.DUMMYFUNCTION("""COMPUTED_VALUE"""),2199.9)</f>
        <v>2199.9</v>
      </c>
      <c r="G41" s="193"/>
      <c r="H41" s="29">
        <f t="shared" si="3"/>
        <v>2.371698714</v>
      </c>
      <c r="I41" s="1">
        <f t="shared" si="4"/>
        <v>3017.6</v>
      </c>
      <c r="J41" s="113">
        <f t="shared" si="5"/>
        <v>-0.9542645448</v>
      </c>
      <c r="K41" s="199">
        <f t="shared" si="6"/>
        <v>2.371698714</v>
      </c>
      <c r="L41" s="213">
        <f t="shared" si="7"/>
        <v>5211.6</v>
      </c>
      <c r="M41" s="210">
        <f t="shared" si="8"/>
        <v>0.001130809775</v>
      </c>
      <c r="N41" s="213">
        <f t="shared" si="9"/>
        <v>2156.455</v>
      </c>
      <c r="O41" s="210">
        <f t="shared" si="10"/>
        <v>0.01974862494</v>
      </c>
      <c r="P41" s="210">
        <f t="shared" si="11"/>
        <v>-0.01861781516</v>
      </c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</row>
    <row r="42">
      <c r="A42" s="193"/>
      <c r="B42" s="217">
        <f>IFERROR(__xludf.DUMMYFUNCTION("""COMPUTED_VALUE"""),46190.64583333333)</f>
        <v>46190.64583</v>
      </c>
      <c r="C42" s="193">
        <f>IFERROR(__xludf.DUMMYFUNCTION("""COMPUTED_VALUE"""),5232.0)</f>
        <v>5232</v>
      </c>
      <c r="D42" s="193"/>
      <c r="E42" s="217">
        <f>IFERROR(__xludf.DUMMYFUNCTION("""COMPUTED_VALUE"""),46190.64583333333)</f>
        <v>46190.64583</v>
      </c>
      <c r="F42" s="193">
        <f>IFERROR(__xludf.DUMMYFUNCTION("""COMPUTED_VALUE"""),2197.6)</f>
        <v>2197.6</v>
      </c>
      <c r="G42" s="193"/>
      <c r="H42" s="29">
        <f t="shared" si="3"/>
        <v>2.380779032</v>
      </c>
      <c r="I42" s="1">
        <f t="shared" si="4"/>
        <v>3034.4</v>
      </c>
      <c r="J42" s="113">
        <f t="shared" si="5"/>
        <v>-0.8570364992</v>
      </c>
      <c r="K42" s="199">
        <f t="shared" si="6"/>
        <v>2.380779032</v>
      </c>
      <c r="L42" s="213">
        <f t="shared" si="7"/>
        <v>5202.375</v>
      </c>
      <c r="M42" s="210">
        <f t="shared" si="8"/>
        <v>0.005662270642</v>
      </c>
      <c r="N42" s="213">
        <f t="shared" si="9"/>
        <v>2154.69</v>
      </c>
      <c r="O42" s="210">
        <f t="shared" si="10"/>
        <v>0.01952584638</v>
      </c>
      <c r="P42" s="210">
        <f t="shared" si="11"/>
        <v>-0.01386357574</v>
      </c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</row>
    <row r="43">
      <c r="A43" s="193"/>
      <c r="B43" s="217">
        <f>IFERROR(__xludf.DUMMYFUNCTION("""COMPUTED_VALUE"""),46191.64583333333)</f>
        <v>46191.64583</v>
      </c>
      <c r="C43" s="193">
        <f>IFERROR(__xludf.DUMMYFUNCTION("""COMPUTED_VALUE"""),5245.0)</f>
        <v>5245</v>
      </c>
      <c r="D43" s="193"/>
      <c r="E43" s="217">
        <f>IFERROR(__xludf.DUMMYFUNCTION("""COMPUTED_VALUE"""),46191.64583333333)</f>
        <v>46191.64583</v>
      </c>
      <c r="F43" s="193">
        <f>IFERROR(__xludf.DUMMYFUNCTION("""COMPUTED_VALUE"""),2218.5)</f>
        <v>2218.5</v>
      </c>
      <c r="G43" s="193"/>
      <c r="H43" s="29">
        <f t="shared" si="3"/>
        <v>2.364210052</v>
      </c>
      <c r="I43" s="1">
        <f t="shared" si="4"/>
        <v>3026.5</v>
      </c>
      <c r="J43" s="113">
        <f t="shared" si="5"/>
        <v>-0.9027568301</v>
      </c>
      <c r="K43" s="199">
        <f t="shared" si="6"/>
        <v>2.364210052</v>
      </c>
      <c r="L43" s="213">
        <f t="shared" si="7"/>
        <v>5197.4</v>
      </c>
      <c r="M43" s="210">
        <f t="shared" si="8"/>
        <v>0.009075309819</v>
      </c>
      <c r="N43" s="213">
        <f t="shared" si="9"/>
        <v>2155.15</v>
      </c>
      <c r="O43" s="210">
        <f t="shared" si="10"/>
        <v>0.02855533018</v>
      </c>
      <c r="P43" s="210">
        <f t="shared" si="11"/>
        <v>-0.01948002036</v>
      </c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</row>
    <row r="44">
      <c r="A44" s="193"/>
      <c r="B44" s="217">
        <f>IFERROR(__xludf.DUMMYFUNCTION("""COMPUTED_VALUE"""),46192.64583333333)</f>
        <v>46192.64583</v>
      </c>
      <c r="C44" s="193">
        <f>IFERROR(__xludf.DUMMYFUNCTION("""COMPUTED_VALUE"""),5195.0)</f>
        <v>5195</v>
      </c>
      <c r="D44" s="193"/>
      <c r="E44" s="217">
        <f>IFERROR(__xludf.DUMMYFUNCTION("""COMPUTED_VALUE"""),46192.64583333333)</f>
        <v>46192.64583</v>
      </c>
      <c r="F44" s="193">
        <f>IFERROR(__xludf.DUMMYFUNCTION("""COMPUTED_VALUE"""),2194.6)</f>
        <v>2194.6</v>
      </c>
      <c r="G44" s="193"/>
      <c r="H44" s="29">
        <f t="shared" si="3"/>
        <v>2.367173972</v>
      </c>
      <c r="I44" s="1">
        <f t="shared" si="4"/>
        <v>3000.4</v>
      </c>
      <c r="J44" s="113">
        <f t="shared" si="5"/>
        <v>-1.053807544</v>
      </c>
      <c r="K44" s="199">
        <f t="shared" si="6"/>
        <v>2.367173972</v>
      </c>
      <c r="L44" s="213">
        <f t="shared" si="7"/>
        <v>5190.5</v>
      </c>
      <c r="M44" s="210">
        <f t="shared" si="8"/>
        <v>0.0008662175168</v>
      </c>
      <c r="N44" s="213">
        <f t="shared" si="9"/>
        <v>2155.93</v>
      </c>
      <c r="O44" s="210">
        <f t="shared" si="10"/>
        <v>0.0176205231</v>
      </c>
      <c r="P44" s="210">
        <f t="shared" si="11"/>
        <v>-0.01675430559</v>
      </c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</row>
    <row r="45">
      <c r="A45" s="193"/>
      <c r="B45" s="217">
        <f>IFERROR(__xludf.DUMMYFUNCTION("""COMPUTED_VALUE"""),46195.64583333333)</f>
        <v>46195.64583</v>
      </c>
      <c r="C45" s="193">
        <f>IFERROR(__xludf.DUMMYFUNCTION("""COMPUTED_VALUE"""),5217.5)</f>
        <v>5217.5</v>
      </c>
      <c r="D45" s="193"/>
      <c r="E45" s="217">
        <f>IFERROR(__xludf.DUMMYFUNCTION("""COMPUTED_VALUE"""),46195.64583333333)</f>
        <v>46195.64583</v>
      </c>
      <c r="F45" s="193">
        <f>IFERROR(__xludf.DUMMYFUNCTION("""COMPUTED_VALUE"""),2184.9)</f>
        <v>2184.9</v>
      </c>
      <c r="G45" s="193"/>
      <c r="H45" s="29">
        <f t="shared" si="3"/>
        <v>2.387981143</v>
      </c>
      <c r="I45" s="1">
        <f t="shared" si="4"/>
        <v>3032.6</v>
      </c>
      <c r="J45" s="113">
        <f t="shared" si="5"/>
        <v>-0.8674537898</v>
      </c>
      <c r="K45" s="199">
        <f t="shared" si="6"/>
        <v>2.387981143</v>
      </c>
      <c r="L45" s="213">
        <f t="shared" si="7"/>
        <v>5184.8</v>
      </c>
      <c r="M45" s="210">
        <f t="shared" si="8"/>
        <v>0.00626736943</v>
      </c>
      <c r="N45" s="213">
        <f t="shared" si="9"/>
        <v>2154.995</v>
      </c>
      <c r="O45" s="210">
        <f t="shared" si="10"/>
        <v>0.01368712527</v>
      </c>
      <c r="P45" s="210">
        <f t="shared" si="11"/>
        <v>-0.007419755839</v>
      </c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</row>
    <row r="46">
      <c r="A46" s="193"/>
      <c r="B46" s="217">
        <f>IFERROR(__xludf.DUMMYFUNCTION("""COMPUTED_VALUE"""),46196.64583333333)</f>
        <v>46196.64583</v>
      </c>
      <c r="C46" s="193">
        <f>IFERROR(__xludf.DUMMYFUNCTION("""COMPUTED_VALUE"""),5241.0)</f>
        <v>5241</v>
      </c>
      <c r="D46" s="193"/>
      <c r="E46" s="217">
        <f>IFERROR(__xludf.DUMMYFUNCTION("""COMPUTED_VALUE"""),46196.64583333333)</f>
        <v>46196.64583</v>
      </c>
      <c r="F46" s="193">
        <f>IFERROR(__xludf.DUMMYFUNCTION("""COMPUTED_VALUE"""),2160.1)</f>
        <v>2160.1</v>
      </c>
      <c r="G46" s="193"/>
      <c r="H46" s="29">
        <f t="shared" si="3"/>
        <v>2.426276561</v>
      </c>
      <c r="I46" s="1">
        <f t="shared" si="4"/>
        <v>3080.9</v>
      </c>
      <c r="J46" s="113">
        <f t="shared" si="5"/>
        <v>-0.5879231588</v>
      </c>
      <c r="K46" s="199">
        <f t="shared" si="6"/>
        <v>2.426276561</v>
      </c>
      <c r="L46" s="213">
        <f t="shared" si="7"/>
        <v>5180.5</v>
      </c>
      <c r="M46" s="210">
        <f t="shared" si="8"/>
        <v>0.01154359855</v>
      </c>
      <c r="N46" s="213">
        <f t="shared" si="9"/>
        <v>2153.175</v>
      </c>
      <c r="O46" s="210">
        <f t="shared" si="10"/>
        <v>0.003205870099</v>
      </c>
      <c r="P46" s="210">
        <f t="shared" si="11"/>
        <v>0.008337728451</v>
      </c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</row>
    <row r="47">
      <c r="A47" s="193"/>
      <c r="B47" s="217">
        <f>IFERROR(__xludf.DUMMYFUNCTION("""COMPUTED_VALUE"""),46197.64583333333)</f>
        <v>46197.64583</v>
      </c>
      <c r="C47" s="193">
        <f>IFERROR(__xludf.DUMMYFUNCTION("""COMPUTED_VALUE"""),5262.5)</f>
        <v>5262.5</v>
      </c>
      <c r="D47" s="193"/>
      <c r="E47" s="217">
        <f>IFERROR(__xludf.DUMMYFUNCTION("""COMPUTED_VALUE"""),46197.64583333333)</f>
        <v>46197.64583</v>
      </c>
      <c r="F47" s="193">
        <f>IFERROR(__xludf.DUMMYFUNCTION("""COMPUTED_VALUE"""),2157.8)</f>
        <v>2157.8</v>
      </c>
      <c r="G47" s="193"/>
      <c r="H47" s="29">
        <f t="shared" si="3"/>
        <v>2.438826583</v>
      </c>
      <c r="I47" s="1">
        <f t="shared" si="4"/>
        <v>3104.7</v>
      </c>
      <c r="J47" s="113">
        <f t="shared" si="5"/>
        <v>-0.4501834275</v>
      </c>
      <c r="K47" s="199">
        <f t="shared" si="6"/>
        <v>2.438826583</v>
      </c>
      <c r="L47" s="213">
        <f t="shared" si="7"/>
        <v>5176.725</v>
      </c>
      <c r="M47" s="210">
        <f t="shared" si="8"/>
        <v>0.01629928741</v>
      </c>
      <c r="N47" s="213">
        <f t="shared" si="9"/>
        <v>2150.595</v>
      </c>
      <c r="O47" s="210">
        <f t="shared" si="10"/>
        <v>0.003339049031</v>
      </c>
      <c r="P47" s="210">
        <f t="shared" si="11"/>
        <v>0.01296023838</v>
      </c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</row>
    <row r="48">
      <c r="A48" s="193"/>
      <c r="B48" s="217">
        <f>IFERROR(__xludf.DUMMYFUNCTION("""COMPUTED_VALUE"""),46198.64583333333)</f>
        <v>46198.64583</v>
      </c>
      <c r="C48" s="193">
        <f>IFERROR(__xludf.DUMMYFUNCTION("""COMPUTED_VALUE"""),5237.0)</f>
        <v>5237</v>
      </c>
      <c r="D48" s="193"/>
      <c r="E48" s="217">
        <f>IFERROR(__xludf.DUMMYFUNCTION("""COMPUTED_VALUE"""),46198.64583333333)</f>
        <v>46198.64583</v>
      </c>
      <c r="F48" s="193">
        <f>IFERROR(__xludf.DUMMYFUNCTION("""COMPUTED_VALUE"""),2174.2)</f>
        <v>2174.2</v>
      </c>
      <c r="G48" s="193"/>
      <c r="H48" s="29">
        <f t="shared" si="3"/>
        <v>2.408702051</v>
      </c>
      <c r="I48" s="1">
        <f t="shared" si="4"/>
        <v>3062.8</v>
      </c>
      <c r="J48" s="113">
        <f t="shared" si="5"/>
        <v>-0.6926748031</v>
      </c>
      <c r="K48" s="199">
        <f t="shared" si="6"/>
        <v>2.408702051</v>
      </c>
      <c r="L48" s="213">
        <f t="shared" si="7"/>
        <v>5171.8</v>
      </c>
      <c r="M48" s="210">
        <f t="shared" si="8"/>
        <v>0.01244987588</v>
      </c>
      <c r="N48" s="213">
        <f t="shared" si="9"/>
        <v>2149.385</v>
      </c>
      <c r="O48" s="210">
        <f t="shared" si="10"/>
        <v>0.01141339343</v>
      </c>
      <c r="P48" s="210">
        <f t="shared" si="11"/>
        <v>0.001036482451</v>
      </c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</row>
    <row r="49">
      <c r="A49" s="193"/>
      <c r="B49" s="217">
        <f>IFERROR(__xludf.DUMMYFUNCTION("""COMPUTED_VALUE"""),46202.64583333333)</f>
        <v>46202.64583</v>
      </c>
      <c r="C49" s="193">
        <f>IFERROR(__xludf.DUMMYFUNCTION("""COMPUTED_VALUE"""),5102.0)</f>
        <v>5102</v>
      </c>
      <c r="D49" s="193"/>
      <c r="E49" s="217">
        <f>IFERROR(__xludf.DUMMYFUNCTION("""COMPUTED_VALUE"""),46202.64583333333)</f>
        <v>46202.64583</v>
      </c>
      <c r="F49" s="193">
        <f>IFERROR(__xludf.DUMMYFUNCTION("""COMPUTED_VALUE"""),2151.3)</f>
        <v>2151.3</v>
      </c>
      <c r="G49" s="193"/>
      <c r="H49" s="29">
        <f t="shared" si="3"/>
        <v>2.371589272</v>
      </c>
      <c r="I49" s="1">
        <f t="shared" si="4"/>
        <v>2950.7</v>
      </c>
      <c r="J49" s="113">
        <f t="shared" si="5"/>
        <v>-1.341440512</v>
      </c>
      <c r="K49" s="199">
        <f t="shared" si="6"/>
        <v>2.371589272</v>
      </c>
      <c r="L49" s="213">
        <f t="shared" si="7"/>
        <v>5166.675</v>
      </c>
      <c r="M49" s="210">
        <f t="shared" si="8"/>
        <v>-0.01267640141</v>
      </c>
      <c r="N49" s="213">
        <f t="shared" si="9"/>
        <v>2149.275</v>
      </c>
      <c r="O49" s="210">
        <f t="shared" si="10"/>
        <v>0.0009412913122</v>
      </c>
      <c r="P49" s="210">
        <f t="shared" si="11"/>
        <v>-0.01361769272</v>
      </c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</row>
    <row r="50">
      <c r="A50" s="193"/>
      <c r="B50" s="217">
        <f>IFERROR(__xludf.DUMMYFUNCTION("""COMPUTED_VALUE"""),46203.64583333333)</f>
        <v>46203.64583</v>
      </c>
      <c r="C50" s="193">
        <f>IFERROR(__xludf.DUMMYFUNCTION("""COMPUTED_VALUE"""),5146.5)</f>
        <v>5146.5</v>
      </c>
      <c r="D50" s="193"/>
      <c r="E50" s="217">
        <f>IFERROR(__xludf.DUMMYFUNCTION("""COMPUTED_VALUE"""),46203.64583333333)</f>
        <v>46203.64583</v>
      </c>
      <c r="F50" s="193">
        <f>IFERROR(__xludf.DUMMYFUNCTION("""COMPUTED_VALUE"""),2118.2)</f>
        <v>2118.2</v>
      </c>
      <c r="G50" s="193"/>
      <c r="H50" s="29">
        <f t="shared" si="3"/>
        <v>2.429657256</v>
      </c>
      <c r="I50" s="1">
        <f t="shared" si="4"/>
        <v>3028.3</v>
      </c>
      <c r="J50" s="113">
        <f t="shared" si="5"/>
        <v>-0.8923395395</v>
      </c>
      <c r="K50" s="199">
        <f t="shared" si="6"/>
        <v>2.429657256</v>
      </c>
      <c r="L50" s="213">
        <f t="shared" si="7"/>
        <v>5166.125</v>
      </c>
      <c r="M50" s="210">
        <f t="shared" si="8"/>
        <v>-0.003813271155</v>
      </c>
      <c r="N50" s="213">
        <f t="shared" si="9"/>
        <v>2150.97</v>
      </c>
      <c r="O50" s="210">
        <f t="shared" si="10"/>
        <v>-0.01547068266</v>
      </c>
      <c r="P50" s="210">
        <f t="shared" si="11"/>
        <v>0.0116574115</v>
      </c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</row>
    <row r="51">
      <c r="A51" s="193"/>
      <c r="B51" s="217">
        <f>IFERROR(__xludf.DUMMYFUNCTION("""COMPUTED_VALUE"""),46204.64583333333)</f>
        <v>46204.64583</v>
      </c>
      <c r="C51" s="193">
        <f>IFERROR(__xludf.DUMMYFUNCTION("""COMPUTED_VALUE"""),5262.0)</f>
        <v>5262</v>
      </c>
      <c r="D51" s="193"/>
      <c r="E51" s="217">
        <f>IFERROR(__xludf.DUMMYFUNCTION("""COMPUTED_VALUE"""),46204.64583333333)</f>
        <v>46204.64583</v>
      </c>
      <c r="F51" s="193">
        <f>IFERROR(__xludf.DUMMYFUNCTION("""COMPUTED_VALUE"""),2182.0)</f>
        <v>2182</v>
      </c>
      <c r="G51" s="193"/>
      <c r="H51" s="29">
        <f t="shared" si="3"/>
        <v>2.411549038</v>
      </c>
      <c r="I51" s="1">
        <f t="shared" si="4"/>
        <v>3080</v>
      </c>
      <c r="J51" s="113">
        <f t="shared" si="5"/>
        <v>-0.5931318041</v>
      </c>
      <c r="K51" s="199">
        <f t="shared" si="6"/>
        <v>2.411549038</v>
      </c>
      <c r="L51" s="213">
        <f t="shared" si="7"/>
        <v>5173.375</v>
      </c>
      <c r="M51" s="210">
        <f t="shared" si="8"/>
        <v>0.01684245534</v>
      </c>
      <c r="N51" s="213">
        <f t="shared" si="9"/>
        <v>2155.385</v>
      </c>
      <c r="O51" s="210">
        <f t="shared" si="10"/>
        <v>0.01219752521</v>
      </c>
      <c r="P51" s="210">
        <f t="shared" si="11"/>
        <v>0.004644930134</v>
      </c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</row>
    <row r="52">
      <c r="A52" s="193"/>
      <c r="B52" s="217">
        <f>IFERROR(__xludf.DUMMYFUNCTION("""COMPUTED_VALUE"""),46205.64583333333)</f>
        <v>46205.64583</v>
      </c>
      <c r="C52" s="193">
        <f>IFERROR(__xludf.DUMMYFUNCTION("""COMPUTED_VALUE"""),5374.0)</f>
        <v>5374</v>
      </c>
      <c r="D52" s="193"/>
      <c r="E52" s="217">
        <f>IFERROR(__xludf.DUMMYFUNCTION("""COMPUTED_VALUE"""),46205.64583333333)</f>
        <v>46205.64583</v>
      </c>
      <c r="F52" s="193">
        <f>IFERROR(__xludf.DUMMYFUNCTION("""COMPUTED_VALUE"""),2210.6)</f>
        <v>2210.6</v>
      </c>
      <c r="G52" s="193"/>
      <c r="H52" s="29">
        <f t="shared" si="3"/>
        <v>2.431014204</v>
      </c>
      <c r="I52" s="1">
        <f t="shared" si="4"/>
        <v>3163.4</v>
      </c>
      <c r="J52" s="113">
        <f t="shared" si="5"/>
        <v>-0.1104640064</v>
      </c>
      <c r="K52" s="199">
        <f t="shared" si="6"/>
        <v>2.431014204</v>
      </c>
      <c r="L52" s="213">
        <f t="shared" si="7"/>
        <v>5188.875</v>
      </c>
      <c r="M52" s="210">
        <f t="shared" si="8"/>
        <v>0.03444826945</v>
      </c>
      <c r="N52" s="213">
        <f t="shared" si="9"/>
        <v>2161.385</v>
      </c>
      <c r="O52" s="210">
        <f t="shared" si="10"/>
        <v>0.02226318647</v>
      </c>
      <c r="P52" s="210">
        <f t="shared" si="11"/>
        <v>0.01218508298</v>
      </c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</row>
    <row r="53">
      <c r="A53" s="193"/>
      <c r="B53" s="217">
        <f>IFERROR(__xludf.DUMMYFUNCTION("""COMPUTED_VALUE"""),46206.64583333333)</f>
        <v>46206.64583</v>
      </c>
      <c r="C53" s="193">
        <f>IFERROR(__xludf.DUMMYFUNCTION("""COMPUTED_VALUE"""),5379.0)</f>
        <v>5379</v>
      </c>
      <c r="D53" s="193"/>
      <c r="E53" s="217">
        <f>IFERROR(__xludf.DUMMYFUNCTION("""COMPUTED_VALUE"""),46206.64583333333)</f>
        <v>46206.64583</v>
      </c>
      <c r="F53" s="193">
        <f>IFERROR(__xludf.DUMMYFUNCTION("""COMPUTED_VALUE"""),2201.2)</f>
        <v>2201.2</v>
      </c>
      <c r="G53" s="193"/>
      <c r="H53" s="29">
        <f t="shared" si="3"/>
        <v>2.443667091</v>
      </c>
      <c r="I53" s="1">
        <f t="shared" si="4"/>
        <v>3177.8</v>
      </c>
      <c r="J53" s="113">
        <f t="shared" si="5"/>
        <v>-0.02712568159</v>
      </c>
      <c r="K53" s="199">
        <f t="shared" si="6"/>
        <v>2.443667091</v>
      </c>
      <c r="L53" s="213">
        <f t="shared" si="7"/>
        <v>5203.325</v>
      </c>
      <c r="M53" s="210">
        <f t="shared" si="8"/>
        <v>0.03265941625</v>
      </c>
      <c r="N53" s="213">
        <f t="shared" si="9"/>
        <v>2167.475</v>
      </c>
      <c r="O53" s="210">
        <f t="shared" si="10"/>
        <v>0.01532118844</v>
      </c>
      <c r="P53" s="210">
        <f t="shared" si="11"/>
        <v>0.01733822781</v>
      </c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</row>
    <row r="54">
      <c r="A54" s="193"/>
      <c r="B54" s="217">
        <f>IFERROR(__xludf.DUMMYFUNCTION("""COMPUTED_VALUE"""),46209.64583333333)</f>
        <v>46209.64583</v>
      </c>
      <c r="C54" s="193">
        <f>IFERROR(__xludf.DUMMYFUNCTION("""COMPUTED_VALUE"""),5454.5)</f>
        <v>5454.5</v>
      </c>
      <c r="D54" s="193"/>
      <c r="E54" s="217">
        <f>IFERROR(__xludf.DUMMYFUNCTION("""COMPUTED_VALUE"""),46209.64583333333)</f>
        <v>46209.64583</v>
      </c>
      <c r="F54" s="193">
        <f>IFERROR(__xludf.DUMMYFUNCTION("""COMPUTED_VALUE"""),2202.0)</f>
        <v>2202</v>
      </c>
      <c r="G54" s="193"/>
      <c r="H54" s="29">
        <f t="shared" si="3"/>
        <v>2.477066303</v>
      </c>
      <c r="I54" s="1">
        <f t="shared" si="4"/>
        <v>3252.5</v>
      </c>
      <c r="J54" s="113">
        <f t="shared" si="5"/>
        <v>0.4051918782</v>
      </c>
      <c r="K54" s="199">
        <f t="shared" si="6"/>
        <v>2.477066303</v>
      </c>
      <c r="L54" s="213">
        <f t="shared" si="7"/>
        <v>5220.025</v>
      </c>
      <c r="M54" s="210">
        <f t="shared" si="8"/>
        <v>0.04298744156</v>
      </c>
      <c r="N54" s="213">
        <f t="shared" si="9"/>
        <v>2171.5</v>
      </c>
      <c r="O54" s="210">
        <f t="shared" si="10"/>
        <v>0.0138510445</v>
      </c>
      <c r="P54" s="210">
        <f t="shared" si="11"/>
        <v>0.02913639706</v>
      </c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</row>
    <row r="55">
      <c r="A55" s="193"/>
      <c r="B55" s="217">
        <f>IFERROR(__xludf.DUMMYFUNCTION("""COMPUTED_VALUE"""),46210.64583333333)</f>
        <v>46210.64583</v>
      </c>
      <c r="C55" s="193">
        <f>IFERROR(__xludf.DUMMYFUNCTION("""COMPUTED_VALUE"""),5447.0)</f>
        <v>5447</v>
      </c>
      <c r="D55" s="193"/>
      <c r="E55" s="217">
        <f>IFERROR(__xludf.DUMMYFUNCTION("""COMPUTED_VALUE"""),46210.64583333333)</f>
        <v>46210.64583</v>
      </c>
      <c r="F55" s="193">
        <f>IFERROR(__xludf.DUMMYFUNCTION("""COMPUTED_VALUE"""),2208.8)</f>
        <v>2208.8</v>
      </c>
      <c r="G55" s="193"/>
      <c r="H55" s="29">
        <f t="shared" si="3"/>
        <v>2.466044911</v>
      </c>
      <c r="I55" s="1">
        <f t="shared" si="4"/>
        <v>3238.2</v>
      </c>
      <c r="J55" s="113">
        <f t="shared" si="5"/>
        <v>0.3224322918</v>
      </c>
      <c r="K55" s="199">
        <f t="shared" si="6"/>
        <v>2.466044911</v>
      </c>
      <c r="L55" s="213">
        <f t="shared" si="7"/>
        <v>5238.45</v>
      </c>
      <c r="M55" s="210">
        <f t="shared" si="8"/>
        <v>0.03828713053</v>
      </c>
      <c r="N55" s="213">
        <f t="shared" si="9"/>
        <v>2176.435</v>
      </c>
      <c r="O55" s="210">
        <f t="shared" si="10"/>
        <v>0.01465275263</v>
      </c>
      <c r="P55" s="210">
        <f t="shared" si="11"/>
        <v>0.0236343779</v>
      </c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</row>
    <row r="56">
      <c r="A56" s="193"/>
      <c r="B56" s="217">
        <f>IFERROR(__xludf.DUMMYFUNCTION("""COMPUTED_VALUE"""),46211.64583333333)</f>
        <v>46211.64583</v>
      </c>
      <c r="C56" s="193">
        <f>IFERROR(__xludf.DUMMYFUNCTION("""COMPUTED_VALUE"""),5315.5)</f>
        <v>5315.5</v>
      </c>
      <c r="D56" s="193"/>
      <c r="E56" s="217">
        <f>IFERROR(__xludf.DUMMYFUNCTION("""COMPUTED_VALUE"""),46211.64583333333)</f>
        <v>46211.64583</v>
      </c>
      <c r="F56" s="193">
        <f>IFERROR(__xludf.DUMMYFUNCTION("""COMPUTED_VALUE"""),2135.8)</f>
        <v>2135.8</v>
      </c>
      <c r="G56" s="193"/>
      <c r="H56" s="29">
        <f t="shared" si="3"/>
        <v>2.488762993</v>
      </c>
      <c r="I56" s="1">
        <f t="shared" si="4"/>
        <v>3179.7</v>
      </c>
      <c r="J56" s="113">
        <f t="shared" si="5"/>
        <v>-0.01612965262</v>
      </c>
      <c r="K56" s="199">
        <f t="shared" si="6"/>
        <v>2.488762993</v>
      </c>
      <c r="L56" s="213">
        <f t="shared" si="7"/>
        <v>5248.85</v>
      </c>
      <c r="M56" s="210">
        <f t="shared" si="8"/>
        <v>0.01253880162</v>
      </c>
      <c r="N56" s="213">
        <f t="shared" si="9"/>
        <v>2176.585</v>
      </c>
      <c r="O56" s="210">
        <f t="shared" si="10"/>
        <v>-0.01909588913</v>
      </c>
      <c r="P56" s="210">
        <f t="shared" si="11"/>
        <v>0.03163469075</v>
      </c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</row>
    <row r="57">
      <c r="A57" s="193"/>
      <c r="B57" s="217">
        <f>IFERROR(__xludf.DUMMYFUNCTION("""COMPUTED_VALUE"""),46212.64583333333)</f>
        <v>46212.64583</v>
      </c>
      <c r="C57" s="193">
        <f>IFERROR(__xludf.DUMMYFUNCTION("""COMPUTED_VALUE"""),5361.5)</f>
        <v>5361.5</v>
      </c>
      <c r="D57" s="193"/>
      <c r="E57" s="217">
        <f>IFERROR(__xludf.DUMMYFUNCTION("""COMPUTED_VALUE"""),46212.64583333333)</f>
        <v>46212.64583</v>
      </c>
      <c r="F57" s="193">
        <f>IFERROR(__xludf.DUMMYFUNCTION("""COMPUTED_VALUE"""),2144.5)</f>
        <v>2144.5</v>
      </c>
      <c r="G57" s="193"/>
      <c r="H57" s="29">
        <f t="shared" si="3"/>
        <v>2.500116577</v>
      </c>
      <c r="I57" s="1">
        <f t="shared" si="4"/>
        <v>3217</v>
      </c>
      <c r="J57" s="113">
        <f t="shared" si="5"/>
        <v>0.1997397581</v>
      </c>
      <c r="K57" s="199">
        <f t="shared" si="6"/>
        <v>2.500116577</v>
      </c>
      <c r="L57" s="213">
        <f t="shared" si="7"/>
        <v>5258.375</v>
      </c>
      <c r="M57" s="210">
        <f t="shared" si="8"/>
        <v>0.01923435606</v>
      </c>
      <c r="N57" s="213">
        <f t="shared" si="9"/>
        <v>2175.335</v>
      </c>
      <c r="O57" s="210">
        <f t="shared" si="10"/>
        <v>-0.01437864304</v>
      </c>
      <c r="P57" s="210">
        <f t="shared" si="11"/>
        <v>0.0336129991</v>
      </c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</row>
    <row r="58">
      <c r="A58" s="193"/>
      <c r="B58" s="217">
        <f>IFERROR(__xludf.DUMMYFUNCTION("""COMPUTED_VALUE"""),46213.64583333333)</f>
        <v>46213.64583</v>
      </c>
      <c r="C58" s="193">
        <f>IFERROR(__xludf.DUMMYFUNCTION("""COMPUTED_VALUE"""),5353.0)</f>
        <v>5353</v>
      </c>
      <c r="D58" s="193"/>
      <c r="E58" s="217">
        <f>IFERROR(__xludf.DUMMYFUNCTION("""COMPUTED_VALUE"""),46213.64583333333)</f>
        <v>46213.64583</v>
      </c>
      <c r="F58" s="193">
        <f>IFERROR(__xludf.DUMMYFUNCTION("""COMPUTED_VALUE"""),2150.6)</f>
        <v>2150.6</v>
      </c>
      <c r="G58" s="193"/>
      <c r="H58" s="29">
        <f t="shared" si="3"/>
        <v>2.489072817</v>
      </c>
      <c r="I58" s="1">
        <f t="shared" si="4"/>
        <v>3202.4</v>
      </c>
      <c r="J58" s="113">
        <f t="shared" si="5"/>
        <v>0.1152439566</v>
      </c>
      <c r="K58" s="199">
        <f t="shared" si="6"/>
        <v>2.489072817</v>
      </c>
      <c r="L58" s="213">
        <f t="shared" si="7"/>
        <v>5270.375</v>
      </c>
      <c r="M58" s="210">
        <f t="shared" si="8"/>
        <v>0.01543526994</v>
      </c>
      <c r="N58" s="213">
        <f t="shared" si="9"/>
        <v>2175.875</v>
      </c>
      <c r="O58" s="210">
        <f t="shared" si="10"/>
        <v>-0.01175253418</v>
      </c>
      <c r="P58" s="210">
        <f t="shared" si="11"/>
        <v>0.02718780412</v>
      </c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</row>
    <row r="59">
      <c r="A59" s="193"/>
      <c r="B59" s="217">
        <f>IFERROR(__xludf.DUMMYFUNCTION("""COMPUTED_VALUE"""),46216.64583333333)</f>
        <v>46216.64583</v>
      </c>
      <c r="C59" s="193">
        <f>IFERROR(__xludf.DUMMYFUNCTION("""COMPUTED_VALUE"""),5348.5)</f>
        <v>5348.5</v>
      </c>
      <c r="D59" s="193"/>
      <c r="E59" s="217">
        <f>IFERROR(__xludf.DUMMYFUNCTION("""COMPUTED_VALUE"""),46216.64583333333)</f>
        <v>46216.64583</v>
      </c>
      <c r="F59" s="193">
        <f>IFERROR(__xludf.DUMMYFUNCTION("""COMPUTED_VALUE"""),2130.6)</f>
        <v>2130.6</v>
      </c>
      <c r="G59" s="193"/>
      <c r="H59" s="29">
        <f t="shared" si="3"/>
        <v>2.51032573</v>
      </c>
      <c r="I59" s="1">
        <f t="shared" si="4"/>
        <v>3217.9</v>
      </c>
      <c r="J59" s="113">
        <f t="shared" si="5"/>
        <v>0.2049484034</v>
      </c>
      <c r="K59" s="199">
        <f t="shared" si="6"/>
        <v>2.51032573</v>
      </c>
      <c r="L59" s="213">
        <f t="shared" si="7"/>
        <v>5279.525</v>
      </c>
      <c r="M59" s="210">
        <f t="shared" si="8"/>
        <v>0.0128961391</v>
      </c>
      <c r="N59" s="213">
        <f t="shared" si="9"/>
        <v>2173.965</v>
      </c>
      <c r="O59" s="210">
        <f t="shared" si="10"/>
        <v>-0.02035342157</v>
      </c>
      <c r="P59" s="210">
        <f t="shared" si="11"/>
        <v>0.03324956068</v>
      </c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</row>
    <row r="60">
      <c r="A60" s="193"/>
      <c r="B60" s="217">
        <f>IFERROR(__xludf.DUMMYFUNCTION("""COMPUTED_VALUE"""),46217.64583333333)</f>
        <v>46217.64583</v>
      </c>
      <c r="C60" s="193">
        <f>IFERROR(__xludf.DUMMYFUNCTION("""COMPUTED_VALUE"""),5283.5)</f>
        <v>5283.5</v>
      </c>
      <c r="D60" s="193"/>
      <c r="E60" s="217">
        <f>IFERROR(__xludf.DUMMYFUNCTION("""COMPUTED_VALUE"""),46217.64583333333)</f>
        <v>46217.64583</v>
      </c>
      <c r="F60" s="193">
        <f>IFERROR(__xludf.DUMMYFUNCTION("""COMPUTED_VALUE"""),2120.2)</f>
        <v>2120.2</v>
      </c>
      <c r="G60" s="193"/>
      <c r="H60" s="29">
        <f t="shared" si="3"/>
        <v>2.491981889</v>
      </c>
      <c r="I60" s="1">
        <f t="shared" si="4"/>
        <v>3163.3</v>
      </c>
      <c r="J60" s="113">
        <f t="shared" si="5"/>
        <v>-0.1110427447</v>
      </c>
      <c r="K60" s="199">
        <f t="shared" si="6"/>
        <v>2.491981889</v>
      </c>
      <c r="L60" s="213">
        <f t="shared" si="7"/>
        <v>5283.725</v>
      </c>
      <c r="M60" s="210">
        <f t="shared" si="8"/>
        <v>-0.0000425854074</v>
      </c>
      <c r="N60" s="213">
        <f t="shared" si="9"/>
        <v>2172.17</v>
      </c>
      <c r="O60" s="210">
        <f t="shared" si="10"/>
        <v>-0.02451183851</v>
      </c>
      <c r="P60" s="210">
        <f t="shared" si="11"/>
        <v>0.0244692531</v>
      </c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</row>
    <row r="61">
      <c r="A61" s="193"/>
      <c r="B61" s="217">
        <f>IFERROR(__xludf.DUMMYFUNCTION("""COMPUTED_VALUE"""),46218.64583333333)</f>
        <v>46218.64583</v>
      </c>
      <c r="C61" s="193">
        <f>IFERROR(__xludf.DUMMYFUNCTION("""COMPUTED_VALUE"""),5315.5)</f>
        <v>5315.5</v>
      </c>
      <c r="D61" s="193"/>
      <c r="E61" s="217">
        <f>IFERROR(__xludf.DUMMYFUNCTION("""COMPUTED_VALUE"""),46218.64583333333)</f>
        <v>46218.64583</v>
      </c>
      <c r="F61" s="193">
        <f>IFERROR(__xludf.DUMMYFUNCTION("""COMPUTED_VALUE"""),2102.6)</f>
        <v>2102.6</v>
      </c>
      <c r="G61" s="193"/>
      <c r="H61" s="29">
        <f t="shared" si="3"/>
        <v>2.528060497</v>
      </c>
      <c r="I61" s="1">
        <f t="shared" si="4"/>
        <v>3212.9</v>
      </c>
      <c r="J61" s="113">
        <f t="shared" si="5"/>
        <v>0.1760114851</v>
      </c>
      <c r="K61" s="199">
        <f t="shared" si="6"/>
        <v>2.528060497</v>
      </c>
      <c r="L61" s="213">
        <f t="shared" si="7"/>
        <v>5288.625</v>
      </c>
      <c r="M61" s="210">
        <f t="shared" si="8"/>
        <v>0.005055968394</v>
      </c>
      <c r="N61" s="213">
        <f t="shared" si="9"/>
        <v>2167.305</v>
      </c>
      <c r="O61" s="210">
        <f t="shared" si="10"/>
        <v>-0.03077380386</v>
      </c>
      <c r="P61" s="210">
        <f t="shared" si="11"/>
        <v>0.03582977226</v>
      </c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</row>
    <row r="62">
      <c r="A62" s="193"/>
      <c r="B62" s="217">
        <f>IFERROR(__xludf.DUMMYFUNCTION("""COMPUTED_VALUE"""),46219.64583333333)</f>
        <v>46219.64583</v>
      </c>
      <c r="C62" s="193">
        <f>IFERROR(__xludf.DUMMYFUNCTION("""COMPUTED_VALUE"""),5310.5)</f>
        <v>5310.5</v>
      </c>
      <c r="D62" s="193"/>
      <c r="E62" s="217">
        <f>IFERROR(__xludf.DUMMYFUNCTION("""COMPUTED_VALUE"""),46219.64583333333)</f>
        <v>46219.64583</v>
      </c>
      <c r="F62" s="193">
        <f>IFERROR(__xludf.DUMMYFUNCTION("""COMPUTED_VALUE"""),2098.4)</f>
        <v>2098.4</v>
      </c>
      <c r="G62" s="193"/>
      <c r="H62" s="29">
        <f t="shared" si="3"/>
        <v>2.530737705</v>
      </c>
      <c r="I62" s="1">
        <f t="shared" si="4"/>
        <v>3212.1</v>
      </c>
      <c r="J62" s="113">
        <f t="shared" si="5"/>
        <v>0.1713815781</v>
      </c>
      <c r="K62" s="199">
        <f t="shared" si="6"/>
        <v>2.530737705</v>
      </c>
      <c r="L62" s="213">
        <f t="shared" si="7"/>
        <v>5292.55</v>
      </c>
      <c r="M62" s="210">
        <f t="shared" si="8"/>
        <v>0.003380096036</v>
      </c>
      <c r="N62" s="213">
        <f t="shared" si="9"/>
        <v>2162.345</v>
      </c>
      <c r="O62" s="210">
        <f t="shared" si="10"/>
        <v>-0.03047321769</v>
      </c>
      <c r="P62" s="210">
        <f t="shared" si="11"/>
        <v>0.03385331373</v>
      </c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</row>
    <row r="63">
      <c r="A63" s="193"/>
      <c r="B63" s="217">
        <f>IFERROR(__xludf.DUMMYFUNCTION("""COMPUTED_VALUE"""),46220.64583333333)</f>
        <v>46220.64583</v>
      </c>
      <c r="C63" s="193">
        <f>IFERROR(__xludf.DUMMYFUNCTION("""COMPUTED_VALUE"""),5412.5)</f>
        <v>5412.5</v>
      </c>
      <c r="D63" s="193"/>
      <c r="E63" s="217">
        <f>IFERROR(__xludf.DUMMYFUNCTION("""COMPUTED_VALUE"""),46220.64583333333)</f>
        <v>46220.64583</v>
      </c>
      <c r="F63" s="193">
        <f>IFERROR(__xludf.DUMMYFUNCTION("""COMPUTED_VALUE"""),2143.8)</f>
        <v>2143.8</v>
      </c>
      <c r="G63" s="193"/>
      <c r="H63" s="29">
        <f t="shared" si="3"/>
        <v>2.524722455</v>
      </c>
      <c r="I63" s="1">
        <f t="shared" si="4"/>
        <v>3268.7</v>
      </c>
      <c r="J63" s="113">
        <f t="shared" si="5"/>
        <v>0.4989474936</v>
      </c>
      <c r="K63" s="199">
        <f t="shared" si="6"/>
        <v>2.524722455</v>
      </c>
      <c r="L63" s="213">
        <f t="shared" si="7"/>
        <v>5300.925</v>
      </c>
      <c r="M63" s="210">
        <f t="shared" si="8"/>
        <v>0.02061431871</v>
      </c>
      <c r="N63" s="213">
        <f t="shared" si="9"/>
        <v>2158.61</v>
      </c>
      <c r="O63" s="210">
        <f t="shared" si="10"/>
        <v>-0.006908293684</v>
      </c>
      <c r="P63" s="210">
        <f t="shared" si="11"/>
        <v>0.02752261239</v>
      </c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</row>
    <row r="64">
      <c r="A64" s="193">
        <v>30.0</v>
      </c>
      <c r="B64" s="217">
        <f>IFERROR(__xludf.DUMMYFUNCTION("""COMPUTED_VALUE"""),46223.64583333333)</f>
        <v>46223.64583</v>
      </c>
      <c r="C64" s="193">
        <f>IFERROR(__xludf.DUMMYFUNCTION("""COMPUTED_VALUE"""),5470.0)</f>
        <v>5470</v>
      </c>
      <c r="D64" s="193"/>
      <c r="E64" s="217">
        <f>IFERROR(__xludf.DUMMYFUNCTION("""COMPUTED_VALUE"""),46223.64583333333)</f>
        <v>46223.64583</v>
      </c>
      <c r="F64" s="193">
        <f>IFERROR(__xludf.DUMMYFUNCTION("""COMPUTED_VALUE"""),2139.7)</f>
        <v>2139.7</v>
      </c>
      <c r="G64" s="193"/>
      <c r="H64" s="29">
        <f t="shared" si="3"/>
        <v>2.556433145</v>
      </c>
      <c r="I64" s="1">
        <f t="shared" si="4"/>
        <v>3330.3</v>
      </c>
      <c r="J64" s="113">
        <f t="shared" si="5"/>
        <v>0.8554503274</v>
      </c>
      <c r="K64" s="199">
        <f t="shared" si="6"/>
        <v>2.556433145</v>
      </c>
      <c r="L64" s="213">
        <f t="shared" si="7"/>
        <v>5314.675</v>
      </c>
      <c r="M64" s="210">
        <f t="shared" si="8"/>
        <v>0.02839579525</v>
      </c>
      <c r="N64" s="213">
        <f t="shared" si="9"/>
        <v>2155.865</v>
      </c>
      <c r="O64" s="210">
        <f t="shared" si="10"/>
        <v>-0.007554797402</v>
      </c>
      <c r="P64" s="210">
        <f t="shared" si="11"/>
        <v>0.03595059265</v>
      </c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</row>
    <row r="65">
      <c r="A65" s="193"/>
      <c r="B65" s="217">
        <f>IFERROR(__xludf.DUMMYFUNCTION("""COMPUTED_VALUE"""),46224.64583333333)</f>
        <v>46224.64583</v>
      </c>
      <c r="C65" s="193">
        <f>IFERROR(__xludf.DUMMYFUNCTION("""COMPUTED_VALUE"""),5482.0)</f>
        <v>5482</v>
      </c>
      <c r="D65" s="193"/>
      <c r="E65" s="217">
        <f>IFERROR(__xludf.DUMMYFUNCTION("""COMPUTED_VALUE"""),46224.64583333333)</f>
        <v>46224.64583</v>
      </c>
      <c r="F65" s="193">
        <f>IFERROR(__xludf.DUMMYFUNCTION("""COMPUTED_VALUE"""),2142.5)</f>
        <v>2142.5</v>
      </c>
      <c r="G65" s="193"/>
      <c r="H65" s="29">
        <f t="shared" si="3"/>
        <v>2.558693116</v>
      </c>
      <c r="I65" s="1">
        <f t="shared" si="4"/>
        <v>3339.5</v>
      </c>
      <c r="J65" s="113">
        <f t="shared" si="5"/>
        <v>0.9086942571</v>
      </c>
      <c r="K65" s="199">
        <f t="shared" si="6"/>
        <v>2.558693116</v>
      </c>
      <c r="L65" s="213">
        <f t="shared" si="7"/>
        <v>5327.9</v>
      </c>
      <c r="M65" s="210">
        <f t="shared" si="8"/>
        <v>0.02811017877</v>
      </c>
      <c r="N65" s="213">
        <f t="shared" si="9"/>
        <v>2153.745</v>
      </c>
      <c r="O65" s="210">
        <f t="shared" si="10"/>
        <v>-0.005248541424</v>
      </c>
      <c r="P65" s="210">
        <f t="shared" si="11"/>
        <v>0.03335872019</v>
      </c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</row>
    <row r="66">
      <c r="A66" s="193"/>
      <c r="B66" s="217">
        <f>IFERROR(__xludf.DUMMYFUNCTION("""COMPUTED_VALUE"""),46225.64583333333)</f>
        <v>46225.64583</v>
      </c>
      <c r="C66" s="193">
        <f>IFERROR(__xludf.DUMMYFUNCTION("""COMPUTED_VALUE"""),5485.5)</f>
        <v>5485.5</v>
      </c>
      <c r="D66" s="193"/>
      <c r="E66" s="217">
        <f>IFERROR(__xludf.DUMMYFUNCTION("""COMPUTED_VALUE"""),46225.64583333333)</f>
        <v>46225.64583</v>
      </c>
      <c r="F66" s="193">
        <f>IFERROR(__xludf.DUMMYFUNCTION("""COMPUTED_VALUE"""),2154.6)</f>
        <v>2154.6</v>
      </c>
      <c r="G66" s="193"/>
      <c r="H66" s="29">
        <f t="shared" si="3"/>
        <v>2.545948204</v>
      </c>
      <c r="I66" s="1">
        <f t="shared" si="4"/>
        <v>3330.9</v>
      </c>
      <c r="J66" s="113">
        <f t="shared" si="5"/>
        <v>0.8589227576</v>
      </c>
      <c r="K66" s="199">
        <f t="shared" si="6"/>
        <v>2.545948204</v>
      </c>
      <c r="L66" s="213">
        <f t="shared" si="7"/>
        <v>5340.125</v>
      </c>
      <c r="M66" s="210">
        <f t="shared" si="8"/>
        <v>0.02650168626</v>
      </c>
      <c r="N66" s="213">
        <f t="shared" si="9"/>
        <v>2153.47</v>
      </c>
      <c r="O66" s="210">
        <f t="shared" si="10"/>
        <v>0.0005244592964</v>
      </c>
      <c r="P66" s="210">
        <f t="shared" si="11"/>
        <v>0.02597722697</v>
      </c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</row>
    <row r="67">
      <c r="A67" s="193"/>
      <c r="B67" s="217">
        <f>IFERROR(__xludf.DUMMYFUNCTION("""COMPUTED_VALUE"""),46226.64583333333)</f>
        <v>46226.64583</v>
      </c>
      <c r="C67" s="193">
        <f>IFERROR(__xludf.DUMMYFUNCTION("""COMPUTED_VALUE"""),5388.0)</f>
        <v>5388</v>
      </c>
      <c r="D67" s="193"/>
      <c r="E67" s="217">
        <f>IFERROR(__xludf.DUMMYFUNCTION("""COMPUTED_VALUE"""),46226.64583333333)</f>
        <v>46226.64583</v>
      </c>
      <c r="F67" s="193">
        <f>IFERROR(__xludf.DUMMYFUNCTION("""COMPUTED_VALUE"""),2161.8)</f>
        <v>2161.8</v>
      </c>
      <c r="G67" s="193"/>
      <c r="H67" s="29">
        <f t="shared" si="3"/>
        <v>2.492367472</v>
      </c>
      <c r="I67" s="1">
        <f t="shared" si="4"/>
        <v>3226.2</v>
      </c>
      <c r="J67" s="113">
        <f t="shared" si="5"/>
        <v>0.2529836878</v>
      </c>
      <c r="K67" s="199">
        <f t="shared" si="6"/>
        <v>2.492367472</v>
      </c>
      <c r="L67" s="213">
        <f t="shared" si="7"/>
        <v>5346.4</v>
      </c>
      <c r="M67" s="210">
        <f t="shared" si="8"/>
        <v>0.007720861173</v>
      </c>
      <c r="N67" s="213">
        <f t="shared" si="9"/>
        <v>2153.67</v>
      </c>
      <c r="O67" s="210">
        <f t="shared" si="10"/>
        <v>0.003760754926</v>
      </c>
      <c r="P67" s="210">
        <f t="shared" si="11"/>
        <v>0.003960106247</v>
      </c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</row>
    <row r="68">
      <c r="A68" s="193"/>
      <c r="B68" s="217">
        <f>IFERROR(__xludf.DUMMYFUNCTION("""COMPUTED_VALUE"""),46227.64583333333)</f>
        <v>46227.64583</v>
      </c>
      <c r="C68" s="193">
        <f>IFERROR(__xludf.DUMMYFUNCTION("""COMPUTED_VALUE"""),5379.5)</f>
        <v>5379.5</v>
      </c>
      <c r="D68" s="193"/>
      <c r="E68" s="217">
        <f>IFERROR(__xludf.DUMMYFUNCTION("""COMPUTED_VALUE"""),46227.64583333333)</f>
        <v>46227.64583</v>
      </c>
      <c r="F68" s="193">
        <f>IFERROR(__xludf.DUMMYFUNCTION("""COMPUTED_VALUE"""),2145.0)</f>
        <v>2145</v>
      </c>
      <c r="G68" s="193"/>
      <c r="H68" s="29">
        <f t="shared" si="3"/>
        <v>2.507925408</v>
      </c>
      <c r="I68" s="1">
        <f t="shared" si="4"/>
        <v>3234.5</v>
      </c>
      <c r="J68" s="113">
        <f t="shared" si="5"/>
        <v>0.3010189722</v>
      </c>
      <c r="K68" s="199">
        <f t="shared" si="6"/>
        <v>2.507925408</v>
      </c>
      <c r="L68" s="213">
        <f t="shared" si="7"/>
        <v>5353.525</v>
      </c>
      <c r="M68" s="210">
        <f t="shared" si="8"/>
        <v>0.004828515661</v>
      </c>
      <c r="N68" s="213">
        <f t="shared" si="9"/>
        <v>2152.21</v>
      </c>
      <c r="O68" s="210">
        <f t="shared" si="10"/>
        <v>-0.003361305361</v>
      </c>
      <c r="P68" s="210">
        <f t="shared" si="11"/>
        <v>0.008189821023</v>
      </c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</row>
    <row r="69">
      <c r="A69" s="193"/>
      <c r="B69" s="217">
        <f>IFERROR(__xludf.DUMMYFUNCTION("""COMPUTED_VALUE"""),46230.64583333333)</f>
        <v>46230.64583</v>
      </c>
      <c r="C69" s="193">
        <f>IFERROR(__xludf.DUMMYFUNCTION("""COMPUTED_VALUE"""),5384.5)</f>
        <v>5384.5</v>
      </c>
      <c r="D69" s="193"/>
      <c r="E69" s="217">
        <f>IFERROR(__xludf.DUMMYFUNCTION("""COMPUTED_VALUE"""),46230.64583333333)</f>
        <v>46230.64583</v>
      </c>
      <c r="F69" s="193">
        <f>IFERROR(__xludf.DUMMYFUNCTION("""COMPUTED_VALUE"""),2174.6)</f>
        <v>2174.6</v>
      </c>
      <c r="G69" s="193"/>
      <c r="H69" s="29">
        <f t="shared" si="3"/>
        <v>2.476087556</v>
      </c>
      <c r="I69" s="1">
        <f t="shared" si="4"/>
        <v>3209.9</v>
      </c>
      <c r="J69" s="113">
        <f t="shared" si="5"/>
        <v>0.1586493341</v>
      </c>
      <c r="K69" s="199">
        <f t="shared" si="6"/>
        <v>2.476087556</v>
      </c>
      <c r="L69" s="213">
        <f t="shared" si="7"/>
        <v>5367.65</v>
      </c>
      <c r="M69" s="210">
        <f t="shared" si="8"/>
        <v>0.003129352772</v>
      </c>
      <c r="N69" s="213">
        <f t="shared" si="9"/>
        <v>2153.375</v>
      </c>
      <c r="O69" s="210">
        <f t="shared" si="10"/>
        <v>0.009760415709</v>
      </c>
      <c r="P69" s="210">
        <f t="shared" si="11"/>
        <v>-0.006631062937</v>
      </c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</row>
    <row r="70">
      <c r="A70" s="193"/>
      <c r="B70" s="217">
        <f>IFERROR(__xludf.DUMMYFUNCTION("""COMPUTED_VALUE"""),46231.64583333333)</f>
        <v>46231.64583</v>
      </c>
      <c r="C70" s="193">
        <f>IFERROR(__xludf.DUMMYFUNCTION("""COMPUTED_VALUE"""),5478.5)</f>
        <v>5478.5</v>
      </c>
      <c r="D70" s="193"/>
      <c r="E70" s="217">
        <f>IFERROR(__xludf.DUMMYFUNCTION("""COMPUTED_VALUE"""),46231.64583333333)</f>
        <v>46231.64583</v>
      </c>
      <c r="F70" s="193">
        <f>IFERROR(__xludf.DUMMYFUNCTION("""COMPUTED_VALUE"""),2022.7)</f>
        <v>2022.7</v>
      </c>
      <c r="G70" s="193"/>
      <c r="H70" s="29">
        <f t="shared" si="3"/>
        <v>2.708508429</v>
      </c>
      <c r="I70" s="1">
        <f t="shared" si="4"/>
        <v>3455.8</v>
      </c>
      <c r="J70" s="113">
        <f t="shared" si="5"/>
        <v>1.581766977</v>
      </c>
      <c r="K70" s="199">
        <f t="shared" si="6"/>
        <v>2.708508429</v>
      </c>
      <c r="L70" s="213">
        <f t="shared" si="7"/>
        <v>5384.25</v>
      </c>
      <c r="M70" s="210">
        <f t="shared" si="8"/>
        <v>0.01720361413</v>
      </c>
      <c r="N70" s="213">
        <f t="shared" si="9"/>
        <v>2148.6</v>
      </c>
      <c r="O70" s="210">
        <f t="shared" si="10"/>
        <v>-0.06224353587</v>
      </c>
      <c r="P70" s="210">
        <f t="shared" si="11"/>
        <v>0.07944715</v>
      </c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</row>
    <row r="71">
      <c r="A71" s="193"/>
      <c r="B71" s="217">
        <f>IFERROR(__xludf.DUMMYFUNCTION("""COMPUTED_VALUE"""),46232.64583333333)</f>
        <v>46232.64583</v>
      </c>
      <c r="C71" s="193">
        <f>IFERROR(__xludf.DUMMYFUNCTION("""COMPUTED_VALUE"""),5517.5)</f>
        <v>5517.5</v>
      </c>
      <c r="D71" s="193"/>
      <c r="E71" s="217">
        <f>IFERROR(__xludf.DUMMYFUNCTION("""COMPUTED_VALUE"""),46232.64583333333)</f>
        <v>46232.64583</v>
      </c>
      <c r="F71" s="193">
        <f>IFERROR(__xludf.DUMMYFUNCTION("""COMPUTED_VALUE"""),2117.8)</f>
        <v>2117.8</v>
      </c>
      <c r="G71" s="193"/>
      <c r="H71" s="29">
        <f t="shared" si="3"/>
        <v>2.605297951</v>
      </c>
      <c r="I71" s="1">
        <f t="shared" si="4"/>
        <v>3399.7</v>
      </c>
      <c r="J71" s="113">
        <f t="shared" si="5"/>
        <v>1.257094754</v>
      </c>
      <c r="K71" s="199">
        <f t="shared" si="6"/>
        <v>2.605297951</v>
      </c>
      <c r="L71" s="213">
        <f t="shared" si="7"/>
        <v>5397.025</v>
      </c>
      <c r="M71" s="210">
        <f t="shared" si="8"/>
        <v>0.02183507023</v>
      </c>
      <c r="N71" s="213">
        <f t="shared" si="9"/>
        <v>2145.39</v>
      </c>
      <c r="O71" s="210">
        <f t="shared" si="10"/>
        <v>-0.01302767022</v>
      </c>
      <c r="P71" s="210">
        <f t="shared" si="11"/>
        <v>0.03486274045</v>
      </c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</row>
    <row r="72">
      <c r="A72" s="193"/>
      <c r="B72" s="217">
        <f>IFERROR(__xludf.DUMMYFUNCTION("""COMPUTED_VALUE"""),46233.64583333333)</f>
        <v>46233.64583</v>
      </c>
      <c r="C72" s="193">
        <f>IFERROR(__xludf.DUMMYFUNCTION("""COMPUTED_VALUE"""),5524.5)</f>
        <v>5524.5</v>
      </c>
      <c r="D72" s="193"/>
      <c r="E72" s="217">
        <f>IFERROR(__xludf.DUMMYFUNCTION("""COMPUTED_VALUE"""),46233.64583333333)</f>
        <v>46233.64583</v>
      </c>
      <c r="F72" s="193">
        <f>IFERROR(__xludf.DUMMYFUNCTION("""COMPUTED_VALUE"""),2107.9)</f>
        <v>2107.9</v>
      </c>
      <c r="G72" s="193"/>
      <c r="H72" s="29">
        <f t="shared" si="3"/>
        <v>2.620854879</v>
      </c>
      <c r="I72" s="1">
        <f t="shared" si="4"/>
        <v>3416.6</v>
      </c>
      <c r="J72" s="113">
        <f t="shared" si="5"/>
        <v>1.354901538</v>
      </c>
      <c r="K72" s="199">
        <f t="shared" si="6"/>
        <v>2.620854879</v>
      </c>
      <c r="L72" s="213">
        <f t="shared" si="7"/>
        <v>5404.55</v>
      </c>
      <c r="M72" s="210">
        <f t="shared" si="8"/>
        <v>0.02171237216</v>
      </c>
      <c r="N72" s="213">
        <f t="shared" si="9"/>
        <v>2140.255</v>
      </c>
      <c r="O72" s="210">
        <f t="shared" si="10"/>
        <v>-0.01534939988</v>
      </c>
      <c r="P72" s="210">
        <f t="shared" si="11"/>
        <v>0.03706177204</v>
      </c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</row>
    <row r="73">
      <c r="A73" s="193"/>
      <c r="B73" s="217">
        <f>IFERROR(__xludf.DUMMYFUNCTION("""COMPUTED_VALUE"""),46234.64583333333)</f>
        <v>46234.64583</v>
      </c>
      <c r="C73" s="193">
        <f>IFERROR(__xludf.DUMMYFUNCTION("""COMPUTED_VALUE"""),5416.5)</f>
        <v>5416.5</v>
      </c>
      <c r="D73" s="193"/>
      <c r="E73" s="217">
        <f>IFERROR(__xludf.DUMMYFUNCTION("""COMPUTED_VALUE"""),46234.64583333333)</f>
        <v>46234.64583</v>
      </c>
      <c r="F73" s="193">
        <f>IFERROR(__xludf.DUMMYFUNCTION("""COMPUTED_VALUE"""),2101.3)</f>
        <v>2101.3</v>
      </c>
      <c r="G73" s="193"/>
      <c r="H73" s="29">
        <f t="shared" si="3"/>
        <v>2.577690001</v>
      </c>
      <c r="I73" s="1">
        <f t="shared" si="4"/>
        <v>3315.2</v>
      </c>
      <c r="J73" s="113">
        <f t="shared" si="5"/>
        <v>0.768060834</v>
      </c>
      <c r="K73" s="199">
        <f t="shared" si="6"/>
        <v>2.577690001</v>
      </c>
      <c r="L73" s="213">
        <f t="shared" si="7"/>
        <v>5406.425</v>
      </c>
      <c r="M73" s="210">
        <f t="shared" si="8"/>
        <v>0.001860057233</v>
      </c>
      <c r="N73" s="213">
        <f t="shared" si="9"/>
        <v>2135.26</v>
      </c>
      <c r="O73" s="210">
        <f t="shared" si="10"/>
        <v>-0.01616142388</v>
      </c>
      <c r="P73" s="210">
        <f t="shared" si="11"/>
        <v>0.01802148111</v>
      </c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</row>
    <row r="74">
      <c r="A74" s="193">
        <v>20.0</v>
      </c>
      <c r="B74" s="217">
        <f>IFERROR(__xludf.DUMMYFUNCTION("""COMPUTED_VALUE"""),46237.64583333333)</f>
        <v>46237.64583</v>
      </c>
      <c r="C74" s="193">
        <f>IFERROR(__xludf.DUMMYFUNCTION("""COMPUTED_VALUE"""),5531.0)</f>
        <v>5531</v>
      </c>
      <c r="D74" s="193"/>
      <c r="E74" s="217">
        <f>IFERROR(__xludf.DUMMYFUNCTION("""COMPUTED_VALUE"""),46237.64583333333)</f>
        <v>46237.64583</v>
      </c>
      <c r="F74" s="193">
        <f>IFERROR(__xludf.DUMMYFUNCTION("""COMPUTED_VALUE"""),2138.0)</f>
        <v>2138</v>
      </c>
      <c r="G74" s="193"/>
      <c r="H74" s="29">
        <f t="shared" si="3"/>
        <v>2.586997194</v>
      </c>
      <c r="I74" s="1">
        <f t="shared" si="4"/>
        <v>3393</v>
      </c>
      <c r="J74" s="113">
        <f t="shared" si="5"/>
        <v>1.218319283</v>
      </c>
      <c r="K74" s="199">
        <f t="shared" si="6"/>
        <v>2.586997194</v>
      </c>
      <c r="L74" s="213">
        <f t="shared" si="7"/>
        <v>5410.25</v>
      </c>
      <c r="M74" s="210">
        <f t="shared" si="8"/>
        <v>0.02183149521</v>
      </c>
      <c r="N74" s="213">
        <f t="shared" si="9"/>
        <v>2132.06</v>
      </c>
      <c r="O74" s="210">
        <f t="shared" si="10"/>
        <v>0.002778297474</v>
      </c>
      <c r="P74" s="210">
        <f t="shared" si="11"/>
        <v>0.01905319773</v>
      </c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</row>
    <row r="75">
      <c r="A75" s="193"/>
      <c r="B75" s="217">
        <f>IFERROR(__xludf.DUMMYFUNCTION("""COMPUTED_VALUE"""),46238.64583333333)</f>
        <v>46238.64583</v>
      </c>
      <c r="C75" s="193">
        <f>IFERROR(__xludf.DUMMYFUNCTION("""COMPUTED_VALUE"""),5478.0)</f>
        <v>5478</v>
      </c>
      <c r="D75" s="193"/>
      <c r="E75" s="217">
        <f>IFERROR(__xludf.DUMMYFUNCTION("""COMPUTED_VALUE"""),46238.64583333333)</f>
        <v>46238.64583</v>
      </c>
      <c r="F75" s="193">
        <f>IFERROR(__xludf.DUMMYFUNCTION("""COMPUTED_VALUE"""),2096.5)</f>
        <v>2096.5</v>
      </c>
      <c r="G75" s="193"/>
      <c r="H75" s="29">
        <f t="shared" si="3"/>
        <v>2.612926306</v>
      </c>
      <c r="I75" s="1">
        <f t="shared" si="4"/>
        <v>3381.5</v>
      </c>
      <c r="J75" s="113">
        <f t="shared" si="5"/>
        <v>1.151764371</v>
      </c>
      <c r="K75" s="199">
        <f t="shared" si="6"/>
        <v>2.612926306</v>
      </c>
      <c r="L75" s="213">
        <f t="shared" si="7"/>
        <v>5411.8</v>
      </c>
      <c r="M75" s="210">
        <f t="shared" si="8"/>
        <v>0.01208470245</v>
      </c>
      <c r="N75" s="213">
        <f t="shared" si="9"/>
        <v>2126.445</v>
      </c>
      <c r="O75" s="210">
        <f t="shared" si="10"/>
        <v>-0.01428332936</v>
      </c>
      <c r="P75" s="210">
        <f t="shared" si="11"/>
        <v>0.0263680318</v>
      </c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</row>
    <row r="76">
      <c r="A76" s="193"/>
      <c r="B76" s="217">
        <f>IFERROR(__xludf.DUMMYFUNCTION("""COMPUTED_VALUE"""),46239.64583333333)</f>
        <v>46239.64583</v>
      </c>
      <c r="C76" s="193">
        <f>IFERROR(__xludf.DUMMYFUNCTION("""COMPUTED_VALUE"""),5440.0)</f>
        <v>5440</v>
      </c>
      <c r="D76" s="193"/>
      <c r="E76" s="217">
        <f>IFERROR(__xludf.DUMMYFUNCTION("""COMPUTED_VALUE"""),46239.64583333333)</f>
        <v>46239.64583</v>
      </c>
      <c r="F76" s="193">
        <f>IFERROR(__xludf.DUMMYFUNCTION("""COMPUTED_VALUE"""),2085.3)</f>
        <v>2085.3</v>
      </c>
      <c r="G76" s="193"/>
      <c r="H76" s="29">
        <f t="shared" si="3"/>
        <v>2.608737352</v>
      </c>
      <c r="I76" s="1">
        <f t="shared" si="4"/>
        <v>3354.7</v>
      </c>
      <c r="J76" s="113">
        <f t="shared" si="5"/>
        <v>0.9966624888</v>
      </c>
      <c r="K76" s="199">
        <f t="shared" si="6"/>
        <v>2.608737352</v>
      </c>
      <c r="L76" s="213">
        <f t="shared" si="7"/>
        <v>5418.025</v>
      </c>
      <c r="M76" s="210">
        <f t="shared" si="8"/>
        <v>0.004039522059</v>
      </c>
      <c r="N76" s="213">
        <f t="shared" si="9"/>
        <v>2123.92</v>
      </c>
      <c r="O76" s="210">
        <f t="shared" si="10"/>
        <v>-0.01852011701</v>
      </c>
      <c r="P76" s="210">
        <f t="shared" si="11"/>
        <v>0.02255963907</v>
      </c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</row>
    <row r="77">
      <c r="A77" s="193"/>
      <c r="B77" s="217">
        <f>IFERROR(__xludf.DUMMYFUNCTION("""COMPUTED_VALUE"""),46240.64583333333)</f>
        <v>46240.64583</v>
      </c>
      <c r="C77" s="193">
        <f>IFERROR(__xludf.DUMMYFUNCTION("""COMPUTED_VALUE"""),5404.0)</f>
        <v>5404</v>
      </c>
      <c r="D77" s="193"/>
      <c r="E77" s="217">
        <f>IFERROR(__xludf.DUMMYFUNCTION("""COMPUTED_VALUE"""),46240.64583333333)</f>
        <v>46240.64583</v>
      </c>
      <c r="F77" s="193">
        <f>IFERROR(__xludf.DUMMYFUNCTION("""COMPUTED_VALUE"""),2079.5)</f>
        <v>2079.5</v>
      </c>
      <c r="G77" s="193"/>
      <c r="H77" s="29">
        <f t="shared" si="3"/>
        <v>2.598701611</v>
      </c>
      <c r="I77" s="1">
        <f t="shared" si="4"/>
        <v>3324.5</v>
      </c>
      <c r="J77" s="113">
        <f t="shared" si="5"/>
        <v>0.8218835021</v>
      </c>
      <c r="K77" s="199">
        <f t="shared" si="6"/>
        <v>2.598701611</v>
      </c>
      <c r="L77" s="213">
        <f t="shared" si="7"/>
        <v>5420.15</v>
      </c>
      <c r="M77" s="210">
        <f t="shared" si="8"/>
        <v>-0.002988527017</v>
      </c>
      <c r="N77" s="213">
        <f t="shared" si="9"/>
        <v>2120.67</v>
      </c>
      <c r="O77" s="210">
        <f t="shared" si="10"/>
        <v>-0.01979802837</v>
      </c>
      <c r="P77" s="210">
        <f t="shared" si="11"/>
        <v>0.01680950136</v>
      </c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</row>
    <row r="78">
      <c r="A78" s="193"/>
      <c r="B78" s="217">
        <f>IFERROR(__xludf.DUMMYFUNCTION("""COMPUTED_VALUE"""),46241.64583333333)</f>
        <v>46241.64583</v>
      </c>
      <c r="C78" s="193">
        <f>IFERROR(__xludf.DUMMYFUNCTION("""COMPUTED_VALUE"""),5510.0)</f>
        <v>5510</v>
      </c>
      <c r="D78" s="193"/>
      <c r="E78" s="217">
        <f>IFERROR(__xludf.DUMMYFUNCTION("""COMPUTED_VALUE"""),46241.64583333333)</f>
        <v>46241.64583</v>
      </c>
      <c r="F78" s="193">
        <f>IFERROR(__xludf.DUMMYFUNCTION("""COMPUTED_VALUE"""),2096.0)</f>
        <v>2096</v>
      </c>
      <c r="G78" s="193"/>
      <c r="H78" s="29">
        <f t="shared" si="3"/>
        <v>2.628816794</v>
      </c>
      <c r="I78" s="1">
        <f t="shared" si="4"/>
        <v>3414</v>
      </c>
      <c r="J78" s="113">
        <f t="shared" si="5"/>
        <v>1.33985434</v>
      </c>
      <c r="K78" s="199">
        <f t="shared" si="6"/>
        <v>2.628816794</v>
      </c>
      <c r="L78" s="213">
        <f t="shared" si="7"/>
        <v>5428</v>
      </c>
      <c r="M78" s="210">
        <f t="shared" si="8"/>
        <v>0.01488203267</v>
      </c>
      <c r="N78" s="213">
        <f t="shared" si="9"/>
        <v>2117.94</v>
      </c>
      <c r="O78" s="210">
        <f t="shared" si="10"/>
        <v>-0.01046755725</v>
      </c>
      <c r="P78" s="210">
        <f t="shared" si="11"/>
        <v>0.02534958992</v>
      </c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</row>
    <row r="79">
      <c r="A79" s="193"/>
      <c r="B79" s="217">
        <f>IFERROR(__xludf.DUMMYFUNCTION("""COMPUTED_VALUE"""),46244.64583333333)</f>
        <v>46244.64583</v>
      </c>
      <c r="C79" s="193">
        <f>IFERROR(__xludf.DUMMYFUNCTION("""COMPUTED_VALUE"""),5623.5)</f>
        <v>5623.5</v>
      </c>
      <c r="D79" s="193"/>
      <c r="E79" s="217">
        <f>IFERROR(__xludf.DUMMYFUNCTION("""COMPUTED_VALUE"""),46244.64583333333)</f>
        <v>46244.64583</v>
      </c>
      <c r="F79" s="193">
        <f>IFERROR(__xludf.DUMMYFUNCTION("""COMPUTED_VALUE"""),2087.2)</f>
        <v>2087.2</v>
      </c>
      <c r="G79" s="193"/>
      <c r="H79" s="29">
        <f t="shared" si="3"/>
        <v>2.694279417</v>
      </c>
      <c r="I79" s="1">
        <f t="shared" si="4"/>
        <v>3536.3</v>
      </c>
      <c r="J79" s="113">
        <f t="shared" si="5"/>
        <v>2.047651362</v>
      </c>
      <c r="K79" s="199">
        <f t="shared" si="6"/>
        <v>2.694279417</v>
      </c>
      <c r="L79" s="213">
        <f t="shared" si="7"/>
        <v>5441.75</v>
      </c>
      <c r="M79" s="210">
        <f t="shared" si="8"/>
        <v>0.03231972971</v>
      </c>
      <c r="N79" s="213">
        <f t="shared" si="9"/>
        <v>2115.77</v>
      </c>
      <c r="O79" s="210">
        <f t="shared" si="10"/>
        <v>-0.01368819471</v>
      </c>
      <c r="P79" s="210">
        <f t="shared" si="11"/>
        <v>0.04600792442</v>
      </c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</row>
    <row r="80">
      <c r="A80" s="193"/>
      <c r="B80" s="217">
        <f>IFERROR(__xludf.DUMMYFUNCTION("""COMPUTED_VALUE"""),46245.64583333333)</f>
        <v>46245.64583</v>
      </c>
      <c r="C80" s="193">
        <f>IFERROR(__xludf.DUMMYFUNCTION("""COMPUTED_VALUE"""),5598.0)</f>
        <v>5598</v>
      </c>
      <c r="D80" s="193"/>
      <c r="E80" s="217">
        <f>IFERROR(__xludf.DUMMYFUNCTION("""COMPUTED_VALUE"""),46245.64583333333)</f>
        <v>46245.64583</v>
      </c>
      <c r="F80" s="193">
        <f>IFERROR(__xludf.DUMMYFUNCTION("""COMPUTED_VALUE"""),2064.9)</f>
        <v>2064.9</v>
      </c>
      <c r="G80" s="193"/>
      <c r="H80" s="29">
        <f t="shared" si="3"/>
        <v>2.711027168</v>
      </c>
      <c r="I80" s="1">
        <f t="shared" si="4"/>
        <v>3533.1</v>
      </c>
      <c r="J80" s="113">
        <f t="shared" si="5"/>
        <v>2.029131735</v>
      </c>
      <c r="K80" s="199">
        <f t="shared" si="6"/>
        <v>2.711027168</v>
      </c>
      <c r="L80" s="213">
        <f t="shared" si="7"/>
        <v>5457.475</v>
      </c>
      <c r="M80" s="210">
        <f t="shared" si="8"/>
        <v>0.02510271526</v>
      </c>
      <c r="N80" s="213">
        <f t="shared" si="9"/>
        <v>2113.005</v>
      </c>
      <c r="O80" s="210">
        <f t="shared" si="10"/>
        <v>-0.02329652768</v>
      </c>
      <c r="P80" s="210">
        <f t="shared" si="11"/>
        <v>0.04839924293</v>
      </c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</row>
    <row r="81">
      <c r="A81" s="193"/>
      <c r="B81" s="217">
        <f>IFERROR(__xludf.DUMMYFUNCTION("""COMPUTED_VALUE"""),46246.64583333333)</f>
        <v>46246.64583</v>
      </c>
      <c r="C81" s="193">
        <f>IFERROR(__xludf.DUMMYFUNCTION("""COMPUTED_VALUE"""),5645.5)</f>
        <v>5645.5</v>
      </c>
      <c r="D81" s="193"/>
      <c r="E81" s="217">
        <f>IFERROR(__xludf.DUMMYFUNCTION("""COMPUTED_VALUE"""),46246.64583333333)</f>
        <v>46246.64583</v>
      </c>
      <c r="F81" s="193">
        <f>IFERROR(__xludf.DUMMYFUNCTION("""COMPUTED_VALUE"""),2063.0)</f>
        <v>2063</v>
      </c>
      <c r="G81" s="193"/>
      <c r="H81" s="29">
        <f t="shared" si="3"/>
        <v>2.736548715</v>
      </c>
      <c r="I81" s="1">
        <f t="shared" si="4"/>
        <v>3582.5</v>
      </c>
      <c r="J81" s="113">
        <f t="shared" si="5"/>
        <v>2.315028488</v>
      </c>
      <c r="K81" s="199">
        <f t="shared" si="6"/>
        <v>2.736548715</v>
      </c>
      <c r="L81" s="213">
        <f t="shared" si="7"/>
        <v>5473.975</v>
      </c>
      <c r="M81" s="210">
        <f t="shared" si="8"/>
        <v>0.03038260562</v>
      </c>
      <c r="N81" s="213">
        <f t="shared" si="9"/>
        <v>2111.025</v>
      </c>
      <c r="O81" s="210">
        <f t="shared" si="10"/>
        <v>-0.02327920504</v>
      </c>
      <c r="P81" s="210">
        <f t="shared" si="11"/>
        <v>0.05366181066</v>
      </c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</row>
    <row r="82">
      <c r="A82" s="193"/>
      <c r="B82" s="217">
        <f>IFERROR(__xludf.DUMMYFUNCTION("""COMPUTED_VALUE"""),46247.64583333333)</f>
        <v>46247.64583</v>
      </c>
      <c r="C82" s="193">
        <f>IFERROR(__xludf.DUMMYFUNCTION("""COMPUTED_VALUE"""),5615.0)</f>
        <v>5615</v>
      </c>
      <c r="D82" s="193"/>
      <c r="E82" s="217">
        <f>IFERROR(__xludf.DUMMYFUNCTION("""COMPUTED_VALUE"""),46247.64583333333)</f>
        <v>46247.64583</v>
      </c>
      <c r="F82" s="193">
        <f>IFERROR(__xludf.DUMMYFUNCTION("""COMPUTED_VALUE"""),2092.0)</f>
        <v>2092</v>
      </c>
      <c r="G82" s="193"/>
      <c r="H82" s="29">
        <f t="shared" si="3"/>
        <v>2.684034417</v>
      </c>
      <c r="I82" s="1">
        <f t="shared" si="4"/>
        <v>3523</v>
      </c>
      <c r="J82" s="113">
        <f t="shared" si="5"/>
        <v>1.97067916</v>
      </c>
      <c r="K82" s="199">
        <f t="shared" si="6"/>
        <v>2.684034417</v>
      </c>
      <c r="L82" s="213">
        <f t="shared" si="7"/>
        <v>5489.2</v>
      </c>
      <c r="M82" s="210">
        <f t="shared" si="8"/>
        <v>0.02240427427</v>
      </c>
      <c r="N82" s="213">
        <f t="shared" si="9"/>
        <v>2110.705</v>
      </c>
      <c r="O82" s="210">
        <f t="shared" si="10"/>
        <v>-0.008941204589</v>
      </c>
      <c r="P82" s="210">
        <f t="shared" si="11"/>
        <v>0.03134547885</v>
      </c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</row>
    <row r="83">
      <c r="A83" s="193"/>
      <c r="B83" s="217">
        <f>IFERROR(__xludf.DUMMYFUNCTION("""COMPUTED_VALUE"""),46248.64583333333)</f>
        <v>46248.64583</v>
      </c>
      <c r="C83" s="193">
        <f>IFERROR(__xludf.DUMMYFUNCTION("""COMPUTED_VALUE"""),5558.0)</f>
        <v>5558</v>
      </c>
      <c r="D83" s="193"/>
      <c r="E83" s="217">
        <f>IFERROR(__xludf.DUMMYFUNCTION("""COMPUTED_VALUE"""),46248.64583333333)</f>
        <v>46248.64583</v>
      </c>
      <c r="F83" s="193">
        <f>IFERROR(__xludf.DUMMYFUNCTION("""COMPUTED_VALUE"""),2077.0)</f>
        <v>2077</v>
      </c>
      <c r="G83" s="193"/>
      <c r="H83" s="29">
        <f t="shared" si="3"/>
        <v>2.675974964</v>
      </c>
      <c r="I83" s="1">
        <f t="shared" si="4"/>
        <v>3481</v>
      </c>
      <c r="J83" s="113">
        <f t="shared" si="5"/>
        <v>1.727609046</v>
      </c>
      <c r="K83" s="199">
        <f t="shared" si="6"/>
        <v>2.675974964</v>
      </c>
      <c r="L83" s="213">
        <f t="shared" si="7"/>
        <v>5496.475</v>
      </c>
      <c r="M83" s="210">
        <f t="shared" si="8"/>
        <v>0.01106962936</v>
      </c>
      <c r="N83" s="213">
        <f t="shared" si="9"/>
        <v>2107.365</v>
      </c>
      <c r="O83" s="210">
        <f t="shared" si="10"/>
        <v>-0.01461964372</v>
      </c>
      <c r="P83" s="210">
        <f t="shared" si="11"/>
        <v>0.02568927308</v>
      </c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</row>
    <row r="84">
      <c r="A84" s="193">
        <v>10.0</v>
      </c>
      <c r="B84" s="217">
        <f>IFERROR(__xludf.DUMMYFUNCTION("""COMPUTED_VALUE"""),46251.64583333333)</f>
        <v>46251.64583</v>
      </c>
      <c r="C84" s="193">
        <f>IFERROR(__xludf.DUMMYFUNCTION("""COMPUTED_VALUE"""),5521.0)</f>
        <v>5521</v>
      </c>
      <c r="D84" s="193"/>
      <c r="E84" s="217">
        <f>IFERROR(__xludf.DUMMYFUNCTION("""COMPUTED_VALUE"""),46251.64583333333)</f>
        <v>46251.64583</v>
      </c>
      <c r="F84" s="193">
        <f>IFERROR(__xludf.DUMMYFUNCTION("""COMPUTED_VALUE"""),2055.0)</f>
        <v>2055</v>
      </c>
      <c r="G84" s="193"/>
      <c r="H84" s="29">
        <f t="shared" si="3"/>
        <v>2.686618005</v>
      </c>
      <c r="I84" s="1">
        <f t="shared" si="4"/>
        <v>3466</v>
      </c>
      <c r="J84" s="113">
        <f t="shared" si="5"/>
        <v>1.640798291</v>
      </c>
      <c r="K84" s="199">
        <f t="shared" si="6"/>
        <v>2.686618005</v>
      </c>
      <c r="L84" s="213">
        <f t="shared" si="7"/>
        <v>5499.025</v>
      </c>
      <c r="M84" s="210">
        <f t="shared" si="8"/>
        <v>0.0039802572</v>
      </c>
      <c r="N84" s="213">
        <f t="shared" si="9"/>
        <v>2103.13</v>
      </c>
      <c r="O84" s="210">
        <f t="shared" si="10"/>
        <v>-0.02342092457</v>
      </c>
      <c r="P84" s="210">
        <f t="shared" si="11"/>
        <v>0.02740118177</v>
      </c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</row>
    <row r="85">
      <c r="A85" s="193"/>
      <c r="B85" s="217">
        <f>IFERROR(__xludf.DUMMYFUNCTION("""COMPUTED_VALUE"""),46252.64583333333)</f>
        <v>46252.64583</v>
      </c>
      <c r="C85" s="193">
        <f>IFERROR(__xludf.DUMMYFUNCTION("""COMPUTED_VALUE"""),5495.0)</f>
        <v>5495</v>
      </c>
      <c r="D85" s="193"/>
      <c r="E85" s="217">
        <f>IFERROR(__xludf.DUMMYFUNCTION("""COMPUTED_VALUE"""),46252.64583333333)</f>
        <v>46252.64583</v>
      </c>
      <c r="F85" s="193">
        <f>IFERROR(__xludf.DUMMYFUNCTION("""COMPUTED_VALUE"""),2035.0)</f>
        <v>2035</v>
      </c>
      <c r="G85" s="193"/>
      <c r="H85" s="29">
        <f t="shared" si="3"/>
        <v>2.7002457</v>
      </c>
      <c r="I85" s="1">
        <f t="shared" si="4"/>
        <v>3460</v>
      </c>
      <c r="J85" s="113">
        <f t="shared" si="5"/>
        <v>1.606073989</v>
      </c>
      <c r="K85" s="199">
        <f t="shared" si="6"/>
        <v>2.7002457</v>
      </c>
      <c r="L85" s="213">
        <f t="shared" si="7"/>
        <v>5499.675</v>
      </c>
      <c r="M85" s="210">
        <f t="shared" si="8"/>
        <v>-0.0008507734304</v>
      </c>
      <c r="N85" s="213">
        <f t="shared" si="9"/>
        <v>2097.755</v>
      </c>
      <c r="O85" s="210">
        <f t="shared" si="10"/>
        <v>-0.03083783784</v>
      </c>
      <c r="P85" s="210">
        <f t="shared" si="11"/>
        <v>0.02998706441</v>
      </c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</row>
    <row r="86">
      <c r="A86" s="193"/>
      <c r="B86" s="217">
        <f>IFERROR(__xludf.DUMMYFUNCTION("""COMPUTED_VALUE"""),46253.64583333333)</f>
        <v>46253.64583</v>
      </c>
      <c r="C86" s="193">
        <f>IFERROR(__xludf.DUMMYFUNCTION("""COMPUTED_VALUE"""),5453.0)</f>
        <v>5453</v>
      </c>
      <c r="D86" s="193"/>
      <c r="E86" s="217">
        <f>IFERROR(__xludf.DUMMYFUNCTION("""COMPUTED_VALUE"""),46253.64583333333)</f>
        <v>46253.64583</v>
      </c>
      <c r="F86" s="193">
        <f>IFERROR(__xludf.DUMMYFUNCTION("""COMPUTED_VALUE"""),2020.7)</f>
        <v>2020.7</v>
      </c>
      <c r="G86" s="193"/>
      <c r="H86" s="29">
        <f t="shared" si="3"/>
        <v>2.698569803</v>
      </c>
      <c r="I86" s="1">
        <f t="shared" si="4"/>
        <v>3432.3</v>
      </c>
      <c r="J86" s="113">
        <f t="shared" si="5"/>
        <v>1.445763461</v>
      </c>
      <c r="K86" s="199">
        <f t="shared" si="6"/>
        <v>2.698569803</v>
      </c>
      <c r="L86" s="213">
        <f t="shared" si="7"/>
        <v>5498.05</v>
      </c>
      <c r="M86" s="210">
        <f t="shared" si="8"/>
        <v>-0.008261507427</v>
      </c>
      <c r="N86" s="213">
        <f t="shared" si="9"/>
        <v>2091.06</v>
      </c>
      <c r="O86" s="210">
        <f t="shared" si="10"/>
        <v>-0.03481961696</v>
      </c>
      <c r="P86" s="210">
        <f t="shared" si="11"/>
        <v>0.02655810954</v>
      </c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</row>
    <row r="87">
      <c r="A87" s="193"/>
      <c r="B87" s="217">
        <f>IFERROR(__xludf.DUMMYFUNCTION("""COMPUTED_VALUE"""),46254.64583333333)</f>
        <v>46254.64583</v>
      </c>
      <c r="C87" s="193">
        <f>IFERROR(__xludf.DUMMYFUNCTION("""COMPUTED_VALUE"""),5548.0)</f>
        <v>5548</v>
      </c>
      <c r="D87" s="193"/>
      <c r="E87" s="217">
        <f>IFERROR(__xludf.DUMMYFUNCTION("""COMPUTED_VALUE"""),46254.64583333333)</f>
        <v>46254.64583</v>
      </c>
      <c r="F87" s="193">
        <f>IFERROR(__xludf.DUMMYFUNCTION("""COMPUTED_VALUE"""),2028.0)</f>
        <v>2028</v>
      </c>
      <c r="G87" s="193"/>
      <c r="H87" s="29">
        <f t="shared" si="3"/>
        <v>2.735700197</v>
      </c>
      <c r="I87" s="1">
        <f t="shared" si="4"/>
        <v>3520</v>
      </c>
      <c r="J87" s="113">
        <f t="shared" si="5"/>
        <v>1.953317009</v>
      </c>
      <c r="K87" s="199">
        <f t="shared" si="6"/>
        <v>2.735700197</v>
      </c>
      <c r="L87" s="213">
        <f t="shared" si="7"/>
        <v>5506.05</v>
      </c>
      <c r="M87" s="210">
        <f t="shared" si="8"/>
        <v>0.007561283345</v>
      </c>
      <c r="N87" s="213">
        <f t="shared" si="9"/>
        <v>2084.37</v>
      </c>
      <c r="O87" s="210">
        <f t="shared" si="10"/>
        <v>-0.02779585799</v>
      </c>
      <c r="P87" s="210">
        <f t="shared" si="11"/>
        <v>0.03535714133</v>
      </c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</row>
    <row r="88">
      <c r="A88" s="193"/>
      <c r="B88" s="217">
        <f>IFERROR(__xludf.DUMMYFUNCTION("""COMPUTED_VALUE"""),46255.64583333333)</f>
        <v>46255.64583</v>
      </c>
      <c r="C88" s="193">
        <f>IFERROR(__xludf.DUMMYFUNCTION("""COMPUTED_VALUE"""),5365.0)</f>
        <v>5365</v>
      </c>
      <c r="D88" s="193"/>
      <c r="E88" s="217">
        <f>IFERROR(__xludf.DUMMYFUNCTION("""COMPUTED_VALUE"""),46255.64583333333)</f>
        <v>46255.64583</v>
      </c>
      <c r="F88" s="193">
        <f>IFERROR(__xludf.DUMMYFUNCTION("""COMPUTED_VALUE"""),2015.0)</f>
        <v>2015</v>
      </c>
      <c r="G88" s="193"/>
      <c r="H88" s="29">
        <f t="shared" si="3"/>
        <v>2.662531017</v>
      </c>
      <c r="I88" s="1">
        <f t="shared" si="4"/>
        <v>3350</v>
      </c>
      <c r="J88" s="113">
        <f t="shared" si="5"/>
        <v>0.9694617856</v>
      </c>
      <c r="K88" s="199">
        <f t="shared" si="6"/>
        <v>2.662531017</v>
      </c>
      <c r="L88" s="213">
        <f t="shared" si="7"/>
        <v>5505.325</v>
      </c>
      <c r="M88" s="210">
        <f t="shared" si="8"/>
        <v>-0.0261556384</v>
      </c>
      <c r="N88" s="213">
        <f t="shared" si="9"/>
        <v>2077.87</v>
      </c>
      <c r="O88" s="210">
        <f t="shared" si="10"/>
        <v>-0.03120099256</v>
      </c>
      <c r="P88" s="210">
        <f t="shared" si="11"/>
        <v>0.005045354159</v>
      </c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</row>
    <row r="89">
      <c r="A89" s="193"/>
      <c r="B89" s="217">
        <f>IFERROR(__xludf.DUMMYFUNCTION("""COMPUTED_VALUE"""),46258.64583333333)</f>
        <v>46258.64583</v>
      </c>
      <c r="C89" s="193">
        <f>IFERROR(__xludf.DUMMYFUNCTION("""COMPUTED_VALUE"""),5311.0)</f>
        <v>5311</v>
      </c>
      <c r="D89" s="193"/>
      <c r="E89" s="217">
        <f>IFERROR(__xludf.DUMMYFUNCTION("""COMPUTED_VALUE"""),46258.64583333333)</f>
        <v>46258.64583</v>
      </c>
      <c r="F89" s="193">
        <f>IFERROR(__xludf.DUMMYFUNCTION("""COMPUTED_VALUE"""),2030.0)</f>
        <v>2030</v>
      </c>
      <c r="G89" s="193"/>
      <c r="H89" s="29">
        <f t="shared" si="3"/>
        <v>2.616256158</v>
      </c>
      <c r="I89" s="1">
        <f t="shared" si="4"/>
        <v>3281</v>
      </c>
      <c r="J89" s="113">
        <f t="shared" si="5"/>
        <v>0.5701323127</v>
      </c>
      <c r="K89" s="199">
        <f t="shared" si="6"/>
        <v>2.616256158</v>
      </c>
      <c r="L89" s="213">
        <f t="shared" si="7"/>
        <v>5501.65</v>
      </c>
      <c r="M89" s="210">
        <f t="shared" si="8"/>
        <v>-0.0358971945</v>
      </c>
      <c r="N89" s="213">
        <f t="shared" si="9"/>
        <v>2070.64</v>
      </c>
      <c r="O89" s="210">
        <f t="shared" si="10"/>
        <v>-0.02001970443</v>
      </c>
      <c r="P89" s="210">
        <f t="shared" si="11"/>
        <v>-0.01587749007</v>
      </c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</row>
    <row r="90">
      <c r="A90" s="193"/>
      <c r="B90" s="217">
        <f>IFERROR(__xludf.DUMMYFUNCTION("""COMPUTED_VALUE"""),46259.64583333333)</f>
        <v>46259.64583</v>
      </c>
      <c r="C90" s="193">
        <f>IFERROR(__xludf.DUMMYFUNCTION("""COMPUTED_VALUE"""),5382.5)</f>
        <v>5382.5</v>
      </c>
      <c r="D90" s="210"/>
      <c r="E90" s="217">
        <f>IFERROR(__xludf.DUMMYFUNCTION("""COMPUTED_VALUE"""),46259.64583333333)</f>
        <v>46259.64583</v>
      </c>
      <c r="F90" s="193">
        <f>IFERROR(__xludf.DUMMYFUNCTION("""COMPUTED_VALUE"""),2024.2)</f>
        <v>2024.2</v>
      </c>
      <c r="G90" s="193"/>
      <c r="H90" s="29">
        <f t="shared" si="3"/>
        <v>2.65907519</v>
      </c>
      <c r="I90" s="1">
        <f t="shared" si="4"/>
        <v>3358.3</v>
      </c>
      <c r="J90" s="113">
        <f t="shared" si="5"/>
        <v>1.01749707</v>
      </c>
      <c r="K90" s="199">
        <f t="shared" si="6"/>
        <v>2.65907519</v>
      </c>
      <c r="L90" s="213">
        <f t="shared" si="7"/>
        <v>5496.85</v>
      </c>
      <c r="M90" s="210">
        <f t="shared" si="8"/>
        <v>-0.02124477473</v>
      </c>
      <c r="N90" s="213">
        <f t="shared" si="9"/>
        <v>2070.715</v>
      </c>
      <c r="O90" s="210">
        <f t="shared" si="10"/>
        <v>-0.02297944867</v>
      </c>
      <c r="P90" s="210">
        <f t="shared" si="11"/>
        <v>0.001734673938</v>
      </c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</row>
    <row r="91">
      <c r="A91" s="193"/>
      <c r="B91" s="217">
        <f>IFERROR(__xludf.DUMMYFUNCTION("""COMPUTED_VALUE"""),46260.64583333333)</f>
        <v>46260.64583</v>
      </c>
      <c r="C91" s="193">
        <f>IFERROR(__xludf.DUMMYFUNCTION("""COMPUTED_VALUE"""),5310.0)</f>
        <v>5310</v>
      </c>
      <c r="D91" s="193"/>
      <c r="E91" s="217">
        <f>IFERROR(__xludf.DUMMYFUNCTION("""COMPUTED_VALUE"""),46260.64583333333)</f>
        <v>46260.64583</v>
      </c>
      <c r="F91" s="193">
        <f>IFERROR(__xludf.DUMMYFUNCTION("""COMPUTED_VALUE"""),2021.0)</f>
        <v>2021</v>
      </c>
      <c r="G91" s="193"/>
      <c r="H91" s="29">
        <f t="shared" si="3"/>
        <v>2.627412172</v>
      </c>
      <c r="I91" s="1">
        <f t="shared" si="4"/>
        <v>3289</v>
      </c>
      <c r="J91" s="113">
        <f t="shared" si="5"/>
        <v>0.616431382</v>
      </c>
      <c r="K91" s="199">
        <f t="shared" si="6"/>
        <v>2.627412172</v>
      </c>
      <c r="L91" s="213">
        <f t="shared" si="7"/>
        <v>5486.475</v>
      </c>
      <c r="M91" s="210">
        <f t="shared" si="8"/>
        <v>-0.03323446328</v>
      </c>
      <c r="N91" s="213">
        <f t="shared" si="9"/>
        <v>2065.875</v>
      </c>
      <c r="O91" s="210">
        <f t="shared" si="10"/>
        <v>-0.02220435428</v>
      </c>
      <c r="P91" s="210">
        <f t="shared" si="11"/>
        <v>-0.011030109</v>
      </c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</row>
    <row r="92">
      <c r="A92" s="193"/>
      <c r="B92" s="217">
        <f>IFERROR(__xludf.DUMMYFUNCTION("""COMPUTED_VALUE"""),46261.64583333333)</f>
        <v>46261.64583</v>
      </c>
      <c r="C92" s="193">
        <f>IFERROR(__xludf.DUMMYFUNCTION("""COMPUTED_VALUE"""),5298.0)</f>
        <v>5298</v>
      </c>
      <c r="D92" s="193"/>
      <c r="E92" s="217">
        <f>IFERROR(__xludf.DUMMYFUNCTION("""COMPUTED_VALUE"""),46261.64583333333)</f>
        <v>46261.64583</v>
      </c>
      <c r="F92" s="193">
        <f>IFERROR(__xludf.DUMMYFUNCTION("""COMPUTED_VALUE"""),2009.0)</f>
        <v>2009</v>
      </c>
      <c r="G92" s="193"/>
      <c r="H92" s="29">
        <f t="shared" si="3"/>
        <v>2.637132902</v>
      </c>
      <c r="I92" s="1">
        <f t="shared" si="4"/>
        <v>3289</v>
      </c>
      <c r="J92" s="113">
        <f t="shared" si="5"/>
        <v>0.616431382</v>
      </c>
      <c r="K92" s="199">
        <f t="shared" si="6"/>
        <v>2.637132902</v>
      </c>
      <c r="L92" s="213">
        <f t="shared" si="7"/>
        <v>5475.15</v>
      </c>
      <c r="M92" s="210">
        <f t="shared" si="8"/>
        <v>-0.03343714609</v>
      </c>
      <c r="N92" s="213">
        <f t="shared" si="9"/>
        <v>2060.93</v>
      </c>
      <c r="O92" s="210">
        <f t="shared" si="10"/>
        <v>-0.02584868094</v>
      </c>
      <c r="P92" s="210">
        <f t="shared" si="11"/>
        <v>-0.007588465157</v>
      </c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</row>
    <row r="93">
      <c r="A93" s="193"/>
      <c r="B93" s="217">
        <f>IFERROR(__xludf.DUMMYFUNCTION("""COMPUTED_VALUE"""),46262.64583333333)</f>
        <v>46262.64583</v>
      </c>
      <c r="C93" s="193">
        <f>IFERROR(__xludf.DUMMYFUNCTION("""COMPUTED_VALUE"""),5308.5)</f>
        <v>5308.5</v>
      </c>
      <c r="D93" s="193"/>
      <c r="E93" s="217">
        <f>IFERROR(__xludf.DUMMYFUNCTION("""COMPUTED_VALUE"""),46262.64583333333)</f>
        <v>46262.64583</v>
      </c>
      <c r="F93" s="193">
        <f>IFERROR(__xludf.DUMMYFUNCTION("""COMPUTED_VALUE"""),2010.4)</f>
        <v>2010.4</v>
      </c>
      <c r="G93" s="193"/>
      <c r="H93" s="29">
        <f t="shared" si="3"/>
        <v>2.6405193</v>
      </c>
      <c r="I93" s="1">
        <f t="shared" si="4"/>
        <v>3298.1</v>
      </c>
      <c r="J93" s="113">
        <f t="shared" si="5"/>
        <v>0.6690965733</v>
      </c>
      <c r="K93" s="199">
        <f t="shared" si="6"/>
        <v>2.6405193</v>
      </c>
      <c r="L93" s="213">
        <f t="shared" si="7"/>
        <v>5469.75</v>
      </c>
      <c r="M93" s="210">
        <f t="shared" si="8"/>
        <v>-0.03037581238</v>
      </c>
      <c r="N93" s="213">
        <f t="shared" si="9"/>
        <v>2056.385</v>
      </c>
      <c r="O93" s="210">
        <f t="shared" si="10"/>
        <v>-0.0228735575</v>
      </c>
      <c r="P93" s="210">
        <f t="shared" si="11"/>
        <v>-0.007502254875</v>
      </c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</row>
    <row r="94">
      <c r="A94" s="193"/>
      <c r="B94" s="217">
        <f>IFERROR(__xludf.DUMMYFUNCTION("""COMPUTED_VALUE"""),46265.64583333333)</f>
        <v>46265.64583</v>
      </c>
      <c r="C94" s="193">
        <f>IFERROR(__xludf.DUMMYFUNCTION("""COMPUTED_VALUE"""),5250.0)</f>
        <v>5250</v>
      </c>
      <c r="D94" s="193"/>
      <c r="E94" s="217">
        <f>IFERROR(__xludf.DUMMYFUNCTION("""COMPUTED_VALUE"""),46265.64583333333)</f>
        <v>46265.64583</v>
      </c>
      <c r="F94" s="193">
        <f>IFERROR(__xludf.DUMMYFUNCTION("""COMPUTED_VALUE"""),1967.4)</f>
        <v>1967.4</v>
      </c>
      <c r="G94" s="193"/>
      <c r="H94" s="29">
        <f t="shared" si="3"/>
        <v>2.668496493</v>
      </c>
      <c r="I94" s="1">
        <f t="shared" si="4"/>
        <v>3282.6</v>
      </c>
      <c r="J94" s="113">
        <f t="shared" si="5"/>
        <v>0.5793921265</v>
      </c>
      <c r="K94" s="199">
        <f t="shared" si="6"/>
        <v>2.668496493</v>
      </c>
      <c r="L94" s="213">
        <f t="shared" si="7"/>
        <v>5455.7</v>
      </c>
      <c r="M94" s="210">
        <f t="shared" si="8"/>
        <v>-0.03918095238</v>
      </c>
      <c r="N94" s="213">
        <f t="shared" si="9"/>
        <v>2047.855</v>
      </c>
      <c r="O94" s="210">
        <f t="shared" si="10"/>
        <v>-0.0408940734</v>
      </c>
      <c r="P94" s="210">
        <f t="shared" si="11"/>
        <v>0.001713121015</v>
      </c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</row>
    <row r="95">
      <c r="A95" s="193"/>
      <c r="B95" s="217">
        <f>IFERROR(__xludf.DUMMYFUNCTION("""COMPUTED_VALUE"""),46266.64583333333)</f>
        <v>46266.64583</v>
      </c>
      <c r="C95" s="193">
        <f>IFERROR(__xludf.DUMMYFUNCTION("""COMPUTED_VALUE"""),5187.0)</f>
        <v>5187</v>
      </c>
      <c r="D95" s="193"/>
      <c r="E95" s="217">
        <f>IFERROR(__xludf.DUMMYFUNCTION("""COMPUTED_VALUE"""),46266.64583333333)</f>
        <v>46266.64583</v>
      </c>
      <c r="F95" s="193">
        <f>IFERROR(__xludf.DUMMYFUNCTION("""COMPUTED_VALUE"""),1994.8)</f>
        <v>1994.8</v>
      </c>
      <c r="G95" s="193"/>
      <c r="H95" s="29">
        <f t="shared" si="3"/>
        <v>2.600260678</v>
      </c>
      <c r="I95" s="1">
        <f t="shared" si="4"/>
        <v>3192.2</v>
      </c>
      <c r="J95" s="113">
        <f t="shared" si="5"/>
        <v>0.05621264319</v>
      </c>
      <c r="K95" s="199">
        <f t="shared" si="6"/>
        <v>2.600260678</v>
      </c>
      <c r="L95" s="213">
        <f t="shared" si="7"/>
        <v>5441.15</v>
      </c>
      <c r="M95" s="210">
        <f t="shared" si="8"/>
        <v>-0.04899749373</v>
      </c>
      <c r="N95" s="213">
        <f t="shared" si="9"/>
        <v>2042.77</v>
      </c>
      <c r="O95" s="210">
        <f t="shared" si="10"/>
        <v>-0.02404752356</v>
      </c>
      <c r="P95" s="210">
        <f t="shared" si="11"/>
        <v>-0.02494997017</v>
      </c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</row>
    <row r="96">
      <c r="A96" s="193"/>
      <c r="B96" s="217">
        <f>IFERROR(__xludf.DUMMYFUNCTION("""COMPUTED_VALUE"""),46267.64583333333)</f>
        <v>46267.64583</v>
      </c>
      <c r="C96" s="193">
        <f>IFERROR(__xludf.DUMMYFUNCTION("""COMPUTED_VALUE"""),5154.0)</f>
        <v>5154</v>
      </c>
      <c r="D96" s="193"/>
      <c r="E96" s="217">
        <f>IFERROR(__xludf.DUMMYFUNCTION("""COMPUTED_VALUE"""),46267.64583333333)</f>
        <v>46267.64583</v>
      </c>
      <c r="F96" s="193">
        <f>IFERROR(__xludf.DUMMYFUNCTION("""COMPUTED_VALUE"""),1975.0)</f>
        <v>1975</v>
      </c>
      <c r="G96" s="193"/>
      <c r="H96" s="29">
        <f t="shared" si="3"/>
        <v>2.609620253</v>
      </c>
      <c r="I96" s="1">
        <f t="shared" si="4"/>
        <v>3179</v>
      </c>
      <c r="J96" s="113">
        <f t="shared" si="5"/>
        <v>-0.02018082119</v>
      </c>
      <c r="K96" s="199">
        <f t="shared" si="6"/>
        <v>2.609620253</v>
      </c>
      <c r="L96" s="213">
        <f t="shared" si="7"/>
        <v>5426.85</v>
      </c>
      <c r="M96" s="210">
        <f t="shared" si="8"/>
        <v>-0.05293946449</v>
      </c>
      <c r="N96" s="213">
        <f t="shared" si="9"/>
        <v>2037.255</v>
      </c>
      <c r="O96" s="210">
        <f t="shared" si="10"/>
        <v>-0.03152151899</v>
      </c>
      <c r="P96" s="210">
        <f t="shared" si="11"/>
        <v>-0.02141794551</v>
      </c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</row>
    <row r="97">
      <c r="A97" s="193"/>
      <c r="B97" s="217">
        <f>IFERROR(__xludf.DUMMYFUNCTION("""COMPUTED_VALUE"""),46268.64583333333)</f>
        <v>46268.64583</v>
      </c>
      <c r="C97" s="193">
        <f>IFERROR(__xludf.DUMMYFUNCTION("""COMPUTED_VALUE"""),5130.0)</f>
        <v>5130</v>
      </c>
      <c r="D97" s="193"/>
      <c r="E97" s="217">
        <f>IFERROR(__xludf.DUMMYFUNCTION("""COMPUTED_VALUE"""),46268.64583333333)</f>
        <v>46268.64583</v>
      </c>
      <c r="F97" s="193">
        <f>IFERROR(__xludf.DUMMYFUNCTION("""COMPUTED_VALUE"""),1962.0)</f>
        <v>1962</v>
      </c>
      <c r="G97" s="193"/>
      <c r="H97" s="29">
        <f t="shared" si="3"/>
        <v>2.614678899</v>
      </c>
      <c r="I97" s="1">
        <f t="shared" si="4"/>
        <v>3168</v>
      </c>
      <c r="J97" s="113">
        <f t="shared" si="5"/>
        <v>-0.08384204151</v>
      </c>
      <c r="K97" s="199">
        <f t="shared" si="6"/>
        <v>2.614678899</v>
      </c>
      <c r="L97" s="213">
        <f t="shared" si="7"/>
        <v>5413.15</v>
      </c>
      <c r="M97" s="210">
        <f t="shared" si="8"/>
        <v>-0.05519493177</v>
      </c>
      <c r="N97" s="213">
        <f t="shared" si="9"/>
        <v>2031.38</v>
      </c>
      <c r="O97" s="210">
        <f t="shared" si="10"/>
        <v>-0.03536187564</v>
      </c>
      <c r="P97" s="210">
        <f t="shared" si="11"/>
        <v>-0.01983305614</v>
      </c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</row>
    <row r="98">
      <c r="A98" s="193"/>
      <c r="B98" s="217">
        <f>IFERROR(__xludf.DUMMYFUNCTION("""COMPUTED_VALUE"""),46269.64583333333)</f>
        <v>46269.64583</v>
      </c>
      <c r="C98" s="193">
        <f>IFERROR(__xludf.DUMMYFUNCTION("""COMPUTED_VALUE"""),5101.5)</f>
        <v>5101.5</v>
      </c>
      <c r="D98" s="193"/>
      <c r="E98" s="217">
        <f>IFERROR(__xludf.DUMMYFUNCTION("""COMPUTED_VALUE"""),46269.64583333333)</f>
        <v>46269.64583</v>
      </c>
      <c r="F98" s="193">
        <f>IFERROR(__xludf.DUMMYFUNCTION("""COMPUTED_VALUE"""),1973.4)</f>
        <v>1973.4</v>
      </c>
      <c r="G98" s="193"/>
      <c r="H98" s="29">
        <f t="shared" si="3"/>
        <v>2.585132259</v>
      </c>
      <c r="I98" s="1">
        <f t="shared" si="4"/>
        <v>3128.1</v>
      </c>
      <c r="J98" s="113">
        <f t="shared" si="5"/>
        <v>-0.3147586498</v>
      </c>
      <c r="K98" s="199">
        <f t="shared" si="6"/>
        <v>2.585132259</v>
      </c>
      <c r="L98" s="213">
        <f t="shared" si="7"/>
        <v>5392.725</v>
      </c>
      <c r="M98" s="210">
        <f t="shared" si="8"/>
        <v>-0.05708615113</v>
      </c>
      <c r="N98" s="213">
        <f t="shared" si="9"/>
        <v>2025.25</v>
      </c>
      <c r="O98" s="210">
        <f t="shared" si="10"/>
        <v>-0.02627445019</v>
      </c>
      <c r="P98" s="210">
        <f t="shared" si="11"/>
        <v>-0.03081170094</v>
      </c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</row>
    <row r="99">
      <c r="A99" s="193"/>
      <c r="B99" s="217">
        <f>IFERROR(__xludf.DUMMYFUNCTION("""COMPUTED_VALUE"""),46272.64583333333)</f>
        <v>46272.64583</v>
      </c>
      <c r="C99" s="193">
        <f>IFERROR(__xludf.DUMMYFUNCTION("""COMPUTED_VALUE"""),5042.5)</f>
        <v>5042.5</v>
      </c>
      <c r="D99" s="193"/>
      <c r="E99" s="217">
        <f>IFERROR(__xludf.DUMMYFUNCTION("""COMPUTED_VALUE"""),46272.64583333333)</f>
        <v>46272.64583</v>
      </c>
      <c r="F99" s="193">
        <f>IFERROR(__xludf.DUMMYFUNCTION("""COMPUTED_VALUE"""),1960.0)</f>
        <v>1960</v>
      </c>
      <c r="G99" s="193"/>
      <c r="H99" s="29">
        <f t="shared" si="3"/>
        <v>2.572704082</v>
      </c>
      <c r="I99" s="1">
        <f t="shared" si="4"/>
        <v>3082.5</v>
      </c>
      <c r="J99" s="113">
        <f t="shared" si="5"/>
        <v>-0.5786633449</v>
      </c>
      <c r="K99" s="199">
        <f t="shared" si="6"/>
        <v>2.572704082</v>
      </c>
      <c r="L99" s="213">
        <f t="shared" si="7"/>
        <v>5363.675</v>
      </c>
      <c r="M99" s="210">
        <f t="shared" si="8"/>
        <v>-0.06369360436</v>
      </c>
      <c r="N99" s="213">
        <f t="shared" si="9"/>
        <v>2018.89</v>
      </c>
      <c r="O99" s="210">
        <f t="shared" si="10"/>
        <v>-0.03004591837</v>
      </c>
      <c r="P99" s="210">
        <f t="shared" si="11"/>
        <v>-0.033647686</v>
      </c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</row>
    <row r="100">
      <c r="A100" s="193"/>
      <c r="B100" s="217">
        <f>IFERROR(__xludf.DUMMYFUNCTION("""COMPUTED_VALUE"""),46273.64583333333)</f>
        <v>46273.64583</v>
      </c>
      <c r="C100" s="193">
        <f>IFERROR(__xludf.DUMMYFUNCTION("""COMPUTED_VALUE"""),5064.0)</f>
        <v>5064</v>
      </c>
      <c r="D100" s="193"/>
      <c r="E100" s="217">
        <f>IFERROR(__xludf.DUMMYFUNCTION("""COMPUTED_VALUE"""),46273.64583333333)</f>
        <v>46273.64583</v>
      </c>
      <c r="F100" s="193">
        <f>IFERROR(__xludf.DUMMYFUNCTION("""COMPUTED_VALUE"""),1980.0)</f>
        <v>1980</v>
      </c>
      <c r="G100" s="214"/>
      <c r="H100" s="29">
        <f t="shared" si="3"/>
        <v>2.557575758</v>
      </c>
      <c r="I100" s="1">
        <f t="shared" si="4"/>
        <v>3084</v>
      </c>
      <c r="J100" s="113">
        <f t="shared" si="5"/>
        <v>-0.5699822694</v>
      </c>
      <c r="K100" s="199">
        <f t="shared" si="6"/>
        <v>2.557575758</v>
      </c>
      <c r="L100" s="213">
        <f t="shared" si="7"/>
        <v>5336.975</v>
      </c>
      <c r="M100" s="210">
        <f t="shared" si="8"/>
        <v>-0.0539050158</v>
      </c>
      <c r="N100" s="213">
        <f t="shared" si="9"/>
        <v>2014.645</v>
      </c>
      <c r="O100" s="210">
        <f t="shared" si="10"/>
        <v>-0.01749747475</v>
      </c>
      <c r="P100" s="210">
        <f t="shared" si="11"/>
        <v>-0.03640754105</v>
      </c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</row>
    <row r="101">
      <c r="A101" s="193"/>
      <c r="B101" s="217">
        <f>IFERROR(__xludf.DUMMYFUNCTION("""COMPUTED_VALUE"""),46274.64583333333)</f>
        <v>46274.64583</v>
      </c>
      <c r="C101" s="193">
        <f>IFERROR(__xludf.DUMMYFUNCTION("""COMPUTED_VALUE"""),5090.0)</f>
        <v>5090</v>
      </c>
      <c r="D101" s="193"/>
      <c r="E101" s="217">
        <f>IFERROR(__xludf.DUMMYFUNCTION("""COMPUTED_VALUE"""),46274.64583333333)</f>
        <v>46274.64583</v>
      </c>
      <c r="F101" s="193">
        <f>IFERROR(__xludf.DUMMYFUNCTION("""COMPUTED_VALUE"""),1945.0)</f>
        <v>1945</v>
      </c>
      <c r="G101" s="195"/>
      <c r="H101" s="29">
        <f t="shared" si="3"/>
        <v>2.616966581</v>
      </c>
      <c r="I101" s="1">
        <f t="shared" si="4"/>
        <v>3145</v>
      </c>
      <c r="J101" s="113">
        <f t="shared" si="5"/>
        <v>-0.2169518658</v>
      </c>
      <c r="K101" s="199">
        <f t="shared" si="6"/>
        <v>2.616966581</v>
      </c>
      <c r="L101" s="213">
        <f t="shared" si="7"/>
        <v>5309.2</v>
      </c>
      <c r="M101" s="210">
        <f t="shared" si="8"/>
        <v>-0.04306483301</v>
      </c>
      <c r="N101" s="213">
        <f t="shared" si="9"/>
        <v>2008.745</v>
      </c>
      <c r="O101" s="210">
        <f t="shared" si="10"/>
        <v>-0.03277377892</v>
      </c>
      <c r="P101" s="210">
        <f t="shared" si="11"/>
        <v>-0.01029105409</v>
      </c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</row>
    <row r="102">
      <c r="A102" s="193"/>
      <c r="B102" s="217">
        <f>IFERROR(__xludf.DUMMYFUNCTION("""COMPUTED_VALUE"""),46275.64583333333)</f>
        <v>46275.64583</v>
      </c>
      <c r="C102" s="193">
        <f>IFERROR(__xludf.DUMMYFUNCTION("""COMPUTED_VALUE"""),5009.0)</f>
        <v>5009</v>
      </c>
      <c r="D102" s="193"/>
      <c r="E102" s="217">
        <f>IFERROR(__xludf.DUMMYFUNCTION("""COMPUTED_VALUE"""),46275.64583333333)</f>
        <v>46275.64583</v>
      </c>
      <c r="F102" s="193">
        <f>IFERROR(__xludf.DUMMYFUNCTION("""COMPUTED_VALUE"""),1942.3)</f>
        <v>1942.3</v>
      </c>
      <c r="G102" s="195"/>
      <c r="H102" s="29">
        <f t="shared" si="3"/>
        <v>2.578901303</v>
      </c>
      <c r="I102" s="1">
        <f t="shared" si="4"/>
        <v>3066.7</v>
      </c>
      <c r="J102" s="113">
        <f t="shared" si="5"/>
        <v>-0.6701040068</v>
      </c>
      <c r="K102" s="199">
        <f t="shared" si="6"/>
        <v>2.578901303</v>
      </c>
      <c r="L102" s="213">
        <f t="shared" si="7"/>
        <v>5278.9</v>
      </c>
      <c r="M102" s="210">
        <f t="shared" si="8"/>
        <v>-0.05388301058</v>
      </c>
      <c r="N102" s="213">
        <f t="shared" si="9"/>
        <v>2001.26</v>
      </c>
      <c r="O102" s="210">
        <f t="shared" si="10"/>
        <v>-0.03035576379</v>
      </c>
      <c r="P102" s="210">
        <f t="shared" si="11"/>
        <v>-0.0235272468</v>
      </c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</row>
    <row r="103">
      <c r="A103" s="193"/>
      <c r="B103" s="217">
        <f>IFERROR(__xludf.DUMMYFUNCTION("""COMPUTED_VALUE"""),46276.64583333333)</f>
        <v>46276.64583</v>
      </c>
      <c r="C103" s="193">
        <f>IFERROR(__xludf.DUMMYFUNCTION("""COMPUTED_VALUE"""),4962.0)</f>
        <v>4962</v>
      </c>
      <c r="D103" s="193"/>
      <c r="E103" s="217">
        <f>IFERROR(__xludf.DUMMYFUNCTION("""COMPUTED_VALUE"""),46276.64583333333)</f>
        <v>46276.64583</v>
      </c>
      <c r="F103" s="193">
        <f>IFERROR(__xludf.DUMMYFUNCTION("""COMPUTED_VALUE"""),1927.0)</f>
        <v>1927</v>
      </c>
      <c r="G103" s="195"/>
      <c r="H103" s="29">
        <f t="shared" si="3"/>
        <v>2.574987026</v>
      </c>
      <c r="I103" s="1">
        <f t="shared" si="4"/>
        <v>3035</v>
      </c>
      <c r="J103" s="113">
        <f t="shared" si="5"/>
        <v>-0.853564069</v>
      </c>
      <c r="K103" s="199">
        <f t="shared" si="6"/>
        <v>2.574987026</v>
      </c>
      <c r="L103" s="213">
        <f t="shared" si="7"/>
        <v>5249.1</v>
      </c>
      <c r="M103" s="210">
        <f t="shared" si="8"/>
        <v>-0.05785973398</v>
      </c>
      <c r="N103" s="213">
        <f t="shared" si="9"/>
        <v>1993.76</v>
      </c>
      <c r="O103" s="210">
        <f t="shared" si="10"/>
        <v>-0.03464452517</v>
      </c>
      <c r="P103" s="210">
        <f t="shared" si="11"/>
        <v>-0.02321520881</v>
      </c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</row>
    <row r="104">
      <c r="A104" s="193"/>
      <c r="B104" s="217">
        <f>IFERROR(__xludf.DUMMYFUNCTION("""COMPUTED_VALUE"""),46280.64583333333)</f>
        <v>46280.64583</v>
      </c>
      <c r="C104" s="193">
        <f>IFERROR(__xludf.DUMMYFUNCTION("""COMPUTED_VALUE"""),4947.5)</f>
        <v>4947.5</v>
      </c>
      <c r="D104" s="193"/>
      <c r="E104" s="217">
        <f>IFERROR(__xludf.DUMMYFUNCTION("""COMPUTED_VALUE"""),46280.64583333333)</f>
        <v>46280.64583</v>
      </c>
      <c r="F104" s="193">
        <f>IFERROR(__xludf.DUMMYFUNCTION("""COMPUTED_VALUE"""),1938.1)</f>
        <v>1938.1</v>
      </c>
      <c r="G104" s="195"/>
      <c r="H104" s="29">
        <f t="shared" si="3"/>
        <v>2.552757856</v>
      </c>
      <c r="I104" s="1">
        <f t="shared" si="4"/>
        <v>3009.4</v>
      </c>
      <c r="J104" s="113">
        <f t="shared" si="5"/>
        <v>-1.001721091</v>
      </c>
      <c r="K104" s="199">
        <f t="shared" si="6"/>
        <v>2.552757856</v>
      </c>
      <c r="L104" s="213">
        <f t="shared" si="7"/>
        <v>5220.425</v>
      </c>
      <c r="M104" s="210">
        <f t="shared" si="8"/>
        <v>-0.05516422436</v>
      </c>
      <c r="N104" s="213">
        <f t="shared" si="9"/>
        <v>1987.915</v>
      </c>
      <c r="O104" s="210">
        <f t="shared" si="10"/>
        <v>-0.0257030081</v>
      </c>
      <c r="P104" s="210">
        <f t="shared" si="11"/>
        <v>-0.02946121626</v>
      </c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</row>
    <row r="105">
      <c r="A105" s="193"/>
      <c r="B105" s="217">
        <f>IFERROR(__xludf.DUMMYFUNCTION("""COMPUTED_VALUE"""),46281.64583333333)</f>
        <v>46281.64583</v>
      </c>
      <c r="C105" s="193">
        <f>IFERROR(__xludf.DUMMYFUNCTION("""COMPUTED_VALUE"""),4999.5)</f>
        <v>4999.5</v>
      </c>
      <c r="D105" s="193"/>
      <c r="E105" s="217">
        <f>IFERROR(__xludf.DUMMYFUNCTION("""COMPUTED_VALUE"""),46281.64583333333)</f>
        <v>46281.64583</v>
      </c>
      <c r="F105" s="193">
        <f>IFERROR(__xludf.DUMMYFUNCTION("""COMPUTED_VALUE"""),1962.0)</f>
        <v>1962</v>
      </c>
      <c r="G105" s="195"/>
      <c r="H105" s="29">
        <f t="shared" si="3"/>
        <v>2.548165138</v>
      </c>
      <c r="I105" s="1">
        <f t="shared" si="4"/>
        <v>3037.5</v>
      </c>
      <c r="J105" s="113">
        <f t="shared" si="5"/>
        <v>-0.8390956098</v>
      </c>
      <c r="K105" s="199">
        <f t="shared" si="6"/>
        <v>2.548165138</v>
      </c>
      <c r="L105" s="213">
        <f t="shared" si="7"/>
        <v>5195.65</v>
      </c>
      <c r="M105" s="210">
        <f t="shared" si="8"/>
        <v>-0.03923392339</v>
      </c>
      <c r="N105" s="213">
        <f t="shared" si="9"/>
        <v>1984.265</v>
      </c>
      <c r="O105" s="210">
        <f t="shared" si="10"/>
        <v>-0.01134811417</v>
      </c>
      <c r="P105" s="210">
        <f t="shared" si="11"/>
        <v>-0.02788580922</v>
      </c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</row>
    <row r="106">
      <c r="A106" s="193"/>
      <c r="B106" s="217">
        <f>IFERROR(__xludf.DUMMYFUNCTION("""COMPUTED_VALUE"""),46282.64583333333)</f>
        <v>46282.64583</v>
      </c>
      <c r="C106" s="193">
        <f>IFERROR(__xludf.DUMMYFUNCTION("""COMPUTED_VALUE"""),4982.0)</f>
        <v>4982</v>
      </c>
      <c r="D106" s="193"/>
      <c r="E106" s="217">
        <f>IFERROR(__xludf.DUMMYFUNCTION("""COMPUTED_VALUE"""),46282.64583333333)</f>
        <v>46282.64583</v>
      </c>
      <c r="F106" s="193">
        <f>IFERROR(__xludf.DUMMYFUNCTION("""COMPUTED_VALUE"""),1942.2)</f>
        <v>1942.2</v>
      </c>
      <c r="G106" s="195"/>
      <c r="H106" s="29">
        <f t="shared" si="3"/>
        <v>2.565132324</v>
      </c>
      <c r="I106" s="1">
        <f t="shared" si="4"/>
        <v>3039.8</v>
      </c>
      <c r="J106" s="113">
        <f t="shared" si="5"/>
        <v>-0.8257846274</v>
      </c>
      <c r="K106" s="199">
        <f t="shared" si="6"/>
        <v>2.565132324</v>
      </c>
      <c r="L106" s="213">
        <f t="shared" si="7"/>
        <v>5172.1</v>
      </c>
      <c r="M106" s="210">
        <f t="shared" si="8"/>
        <v>-0.03815736652</v>
      </c>
      <c r="N106" s="213">
        <f t="shared" si="9"/>
        <v>1980.34</v>
      </c>
      <c r="O106" s="210">
        <f t="shared" si="10"/>
        <v>-0.01963752446</v>
      </c>
      <c r="P106" s="210">
        <f t="shared" si="11"/>
        <v>-0.01851984206</v>
      </c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</row>
    <row r="107">
      <c r="A107" s="193"/>
      <c r="B107" s="217">
        <f>IFERROR(__xludf.DUMMYFUNCTION("""COMPUTED_VALUE"""),46283.64583333333)</f>
        <v>46283.64583</v>
      </c>
      <c r="C107" s="193">
        <f>IFERROR(__xludf.DUMMYFUNCTION("""COMPUTED_VALUE"""),4998.0)</f>
        <v>4998</v>
      </c>
      <c r="D107" s="193"/>
      <c r="E107" s="217">
        <f>IFERROR(__xludf.DUMMYFUNCTION("""COMPUTED_VALUE"""),46283.64583333333)</f>
        <v>46283.64583</v>
      </c>
      <c r="F107" s="193">
        <f>IFERROR(__xludf.DUMMYFUNCTION("""COMPUTED_VALUE"""),1932.0)</f>
        <v>1932</v>
      </c>
      <c r="G107" s="195"/>
      <c r="H107" s="29">
        <f t="shared" si="3"/>
        <v>2.586956522</v>
      </c>
      <c r="I107" s="1">
        <f t="shared" si="4"/>
        <v>3066</v>
      </c>
      <c r="J107" s="113">
        <f t="shared" si="5"/>
        <v>-0.6741551754</v>
      </c>
      <c r="K107" s="199">
        <f t="shared" si="6"/>
        <v>2.586956522</v>
      </c>
      <c r="L107" s="213">
        <f t="shared" si="7"/>
        <v>5144.6</v>
      </c>
      <c r="M107" s="210">
        <f t="shared" si="8"/>
        <v>-0.02933173269</v>
      </c>
      <c r="N107" s="213">
        <f t="shared" si="9"/>
        <v>1975.54</v>
      </c>
      <c r="O107" s="210">
        <f t="shared" si="10"/>
        <v>-0.02253623188</v>
      </c>
      <c r="P107" s="210">
        <f t="shared" si="11"/>
        <v>-0.006795500809</v>
      </c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</row>
    <row r="108">
      <c r="A108" s="193"/>
      <c r="B108" s="217">
        <f>IFERROR(__xludf.DUMMYFUNCTION("""COMPUTED_VALUE"""),46286.64583333333)</f>
        <v>46286.64583</v>
      </c>
      <c r="C108" s="193">
        <f>IFERROR(__xludf.DUMMYFUNCTION("""COMPUTED_VALUE"""),5023.0)</f>
        <v>5023</v>
      </c>
      <c r="D108" s="193"/>
      <c r="E108" s="217">
        <f>IFERROR(__xludf.DUMMYFUNCTION("""COMPUTED_VALUE"""),46286.64583333333)</f>
        <v>46286.64583</v>
      </c>
      <c r="F108" s="193">
        <f>IFERROR(__xludf.DUMMYFUNCTION("""COMPUTED_VALUE"""),1947.0)</f>
        <v>1947</v>
      </c>
      <c r="G108" s="195"/>
      <c r="H108" s="29">
        <f t="shared" si="3"/>
        <v>2.579866461</v>
      </c>
      <c r="I108" s="1">
        <f t="shared" si="4"/>
        <v>3076</v>
      </c>
      <c r="J108" s="113">
        <f t="shared" si="5"/>
        <v>-0.6162813387</v>
      </c>
      <c r="K108" s="199">
        <f t="shared" si="6"/>
        <v>2.579866461</v>
      </c>
      <c r="L108" s="213">
        <f t="shared" si="7"/>
        <v>5127.5</v>
      </c>
      <c r="M108" s="210">
        <f t="shared" si="8"/>
        <v>-0.02080430022</v>
      </c>
      <c r="N108" s="213">
        <f t="shared" si="9"/>
        <v>1972.14</v>
      </c>
      <c r="O108" s="210">
        <f t="shared" si="10"/>
        <v>-0.01291217257</v>
      </c>
      <c r="P108" s="210">
        <f t="shared" si="11"/>
        <v>-0.007892127646</v>
      </c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</row>
    <row r="109">
      <c r="A109" s="193"/>
      <c r="B109" s="217">
        <f>IFERROR(__xludf.DUMMYFUNCTION("""COMPUTED_VALUE"""),46287.64583333333)</f>
        <v>46287.64583</v>
      </c>
      <c r="C109" s="193">
        <f>IFERROR(__xludf.DUMMYFUNCTION("""COMPUTED_VALUE"""),4918.0)</f>
        <v>4918</v>
      </c>
      <c r="D109" s="193"/>
      <c r="E109" s="217">
        <f>IFERROR(__xludf.DUMMYFUNCTION("""COMPUTED_VALUE"""),46287.64583333333)</f>
        <v>46287.64583</v>
      </c>
      <c r="F109" s="193">
        <f>IFERROR(__xludf.DUMMYFUNCTION("""COMPUTED_VALUE"""),1933.8)</f>
        <v>1933.8</v>
      </c>
      <c r="G109" s="195"/>
      <c r="H109" s="29">
        <f t="shared" si="3"/>
        <v>2.543179233</v>
      </c>
      <c r="I109" s="1">
        <f t="shared" si="4"/>
        <v>2984.2</v>
      </c>
      <c r="J109" s="113">
        <f t="shared" si="5"/>
        <v>-1.147563159</v>
      </c>
      <c r="K109" s="199">
        <f t="shared" si="6"/>
        <v>2.543179233</v>
      </c>
      <c r="L109" s="213">
        <f t="shared" si="7"/>
        <v>5107.85</v>
      </c>
      <c r="M109" s="210">
        <f t="shared" si="8"/>
        <v>-0.03860309069</v>
      </c>
      <c r="N109" s="213">
        <f t="shared" si="9"/>
        <v>1967.33</v>
      </c>
      <c r="O109" s="210">
        <f t="shared" si="10"/>
        <v>-0.01733891819</v>
      </c>
      <c r="P109" s="210">
        <f t="shared" si="11"/>
        <v>-0.0212641725</v>
      </c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</row>
    <row r="110">
      <c r="A110" s="193"/>
      <c r="B110" s="217">
        <f>IFERROR(__xludf.DUMMYFUNCTION("""COMPUTED_VALUE"""),46288.64583333333)</f>
        <v>46288.64583</v>
      </c>
      <c r="C110" s="193">
        <f>IFERROR(__xludf.DUMMYFUNCTION("""COMPUTED_VALUE"""),4929.0)</f>
        <v>4929</v>
      </c>
      <c r="D110" s="193"/>
      <c r="E110" s="217">
        <f>IFERROR(__xludf.DUMMYFUNCTION("""COMPUTED_VALUE"""),46288.64583333333)</f>
        <v>46288.64583</v>
      </c>
      <c r="F110" s="193">
        <f>IFERROR(__xludf.DUMMYFUNCTION("""COMPUTED_VALUE"""),1950.0)</f>
        <v>1950</v>
      </c>
      <c r="G110" s="195"/>
      <c r="H110" s="29">
        <f t="shared" si="3"/>
        <v>2.527692308</v>
      </c>
      <c r="I110" s="1">
        <f t="shared" si="4"/>
        <v>2979</v>
      </c>
      <c r="J110" s="113">
        <f t="shared" si="5"/>
        <v>-1.177657554</v>
      </c>
      <c r="K110" s="199">
        <f t="shared" si="6"/>
        <v>2.527692308</v>
      </c>
      <c r="L110" s="213">
        <f t="shared" si="7"/>
        <v>5085.175</v>
      </c>
      <c r="M110" s="210">
        <f t="shared" si="8"/>
        <v>-0.03168492595</v>
      </c>
      <c r="N110" s="213">
        <f t="shared" si="9"/>
        <v>1963.62</v>
      </c>
      <c r="O110" s="210">
        <f t="shared" si="10"/>
        <v>-0.006984615385</v>
      </c>
      <c r="P110" s="210">
        <f t="shared" si="11"/>
        <v>-0.02470031056</v>
      </c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</row>
    <row r="111">
      <c r="A111" s="193"/>
      <c r="B111" s="217">
        <f>IFERROR(__xludf.DUMMYFUNCTION("""COMPUTED_VALUE"""),46289.64583333333)</f>
        <v>46289.64583</v>
      </c>
      <c r="C111" s="193">
        <f>IFERROR(__xludf.DUMMYFUNCTION("""COMPUTED_VALUE"""),4895.0)</f>
        <v>4895</v>
      </c>
      <c r="D111" s="193"/>
      <c r="E111" s="217">
        <f>IFERROR(__xludf.DUMMYFUNCTION("""COMPUTED_VALUE"""),46289.64583333333)</f>
        <v>46289.64583</v>
      </c>
      <c r="F111" s="193">
        <f>IFERROR(__xludf.DUMMYFUNCTION("""COMPUTED_VALUE"""),1933.5)</f>
        <v>1933.5</v>
      </c>
      <c r="G111" s="195"/>
      <c r="H111" s="29">
        <f t="shared" si="3"/>
        <v>2.531678304</v>
      </c>
      <c r="I111" s="1">
        <f t="shared" si="4"/>
        <v>2961.5</v>
      </c>
      <c r="J111" s="113">
        <f t="shared" si="5"/>
        <v>-1.278936768</v>
      </c>
      <c r="K111" s="199">
        <f t="shared" si="6"/>
        <v>2.531678304</v>
      </c>
      <c r="L111" s="213">
        <f t="shared" si="7"/>
        <v>5064.425</v>
      </c>
      <c r="M111" s="210">
        <f t="shared" si="8"/>
        <v>-0.03461184883</v>
      </c>
      <c r="N111" s="213">
        <f t="shared" si="9"/>
        <v>1959.245</v>
      </c>
      <c r="O111" s="210">
        <f t="shared" si="10"/>
        <v>-0.01331523145</v>
      </c>
      <c r="P111" s="210">
        <f t="shared" si="11"/>
        <v>-0.02129661738</v>
      </c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</row>
    <row r="112">
      <c r="A112" s="193"/>
      <c r="B112" s="217">
        <f>IFERROR(__xludf.DUMMYFUNCTION("""COMPUTED_VALUE"""),46290.64583333333)</f>
        <v>46290.64583</v>
      </c>
      <c r="C112" s="193">
        <f>IFERROR(__xludf.DUMMYFUNCTION("""COMPUTED_VALUE"""),4937.5)</f>
        <v>4937.5</v>
      </c>
      <c r="D112" s="193"/>
      <c r="E112" s="217">
        <f>IFERROR(__xludf.DUMMYFUNCTION("""COMPUTED_VALUE"""),46290.64583333333)</f>
        <v>46290.64583</v>
      </c>
      <c r="F112" s="193">
        <f>IFERROR(__xludf.DUMMYFUNCTION("""COMPUTED_VALUE"""),1942.9)</f>
        <v>1942.9</v>
      </c>
      <c r="G112" s="195"/>
      <c r="H112" s="29">
        <f t="shared" si="3"/>
        <v>2.541304236</v>
      </c>
      <c r="I112" s="1">
        <f t="shared" si="4"/>
        <v>2994.6</v>
      </c>
      <c r="J112" s="113">
        <f t="shared" si="5"/>
        <v>-1.087374369</v>
      </c>
      <c r="K112" s="199">
        <f t="shared" si="6"/>
        <v>2.541304236</v>
      </c>
      <c r="L112" s="213">
        <f t="shared" si="7"/>
        <v>5046.4</v>
      </c>
      <c r="M112" s="210">
        <f t="shared" si="8"/>
        <v>-0.0220556962</v>
      </c>
      <c r="N112" s="213">
        <f t="shared" si="9"/>
        <v>1955.94</v>
      </c>
      <c r="O112" s="210">
        <f t="shared" si="10"/>
        <v>-0.006711616656</v>
      </c>
      <c r="P112" s="210">
        <f t="shared" si="11"/>
        <v>-0.01534407955</v>
      </c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</row>
    <row r="113">
      <c r="A113" s="193"/>
      <c r="B113" s="217">
        <f>IFERROR(__xludf.DUMMYFUNCTION("""COMPUTED_VALUE"""),46293.64583333333)</f>
        <v>46293.64583</v>
      </c>
      <c r="C113" s="193">
        <f>IFERROR(__xludf.DUMMYFUNCTION("""COMPUTED_VALUE"""),4915.0)</f>
        <v>4915</v>
      </c>
      <c r="D113" s="193"/>
      <c r="E113" s="217">
        <f>IFERROR(__xludf.DUMMYFUNCTION("""COMPUTED_VALUE"""),46293.64583333333)</f>
        <v>46293.64583</v>
      </c>
      <c r="F113" s="193">
        <f>IFERROR(__xludf.DUMMYFUNCTION("""COMPUTED_VALUE"""),1896.0)</f>
        <v>1896</v>
      </c>
      <c r="G113" s="195"/>
      <c r="H113" s="29">
        <f t="shared" si="3"/>
        <v>2.592299578</v>
      </c>
      <c r="I113" s="1">
        <f t="shared" si="4"/>
        <v>3019</v>
      </c>
      <c r="J113" s="113">
        <f t="shared" si="5"/>
        <v>-0.9461622076</v>
      </c>
      <c r="K113" s="199">
        <f t="shared" si="6"/>
        <v>2.592299578</v>
      </c>
      <c r="L113" s="213">
        <f t="shared" si="7"/>
        <v>5026.725</v>
      </c>
      <c r="M113" s="210">
        <f t="shared" si="8"/>
        <v>-0.02273143438</v>
      </c>
      <c r="N113" s="213">
        <f t="shared" si="9"/>
        <v>1950.22</v>
      </c>
      <c r="O113" s="210">
        <f t="shared" si="10"/>
        <v>-0.02859704641</v>
      </c>
      <c r="P113" s="210">
        <f t="shared" si="11"/>
        <v>0.005865612029</v>
      </c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</row>
    <row r="114">
      <c r="A114" s="193"/>
      <c r="B114" s="217">
        <f>IFERROR(__xludf.DUMMYFUNCTION("""COMPUTED_VALUE"""),46294.64583333333)</f>
        <v>46294.64583</v>
      </c>
      <c r="C114" s="193">
        <f>IFERROR(__xludf.DUMMYFUNCTION("""COMPUTED_VALUE"""),4835.0)</f>
        <v>4835</v>
      </c>
      <c r="D114" s="193"/>
      <c r="E114" s="217">
        <f>IFERROR(__xludf.DUMMYFUNCTION("""COMPUTED_VALUE"""),46294.64583333333)</f>
        <v>46294.64583</v>
      </c>
      <c r="F114" s="193">
        <f>IFERROR(__xludf.DUMMYFUNCTION("""COMPUTED_VALUE"""),1863.8)</f>
        <v>1863.8</v>
      </c>
      <c r="G114" s="195"/>
      <c r="H114" s="29">
        <f t="shared" si="3"/>
        <v>2.594162464</v>
      </c>
      <c r="I114" s="1">
        <f t="shared" si="4"/>
        <v>2971.2</v>
      </c>
      <c r="J114" s="113">
        <f t="shared" si="5"/>
        <v>-1.222799147</v>
      </c>
      <c r="K114" s="199">
        <f t="shared" si="6"/>
        <v>2.594162464</v>
      </c>
      <c r="L114" s="213">
        <f t="shared" si="7"/>
        <v>5005.975</v>
      </c>
      <c r="M114" s="210">
        <f t="shared" si="8"/>
        <v>-0.03536194416</v>
      </c>
      <c r="N114" s="213">
        <f t="shared" si="9"/>
        <v>1945.04</v>
      </c>
      <c r="O114" s="210">
        <f t="shared" si="10"/>
        <v>-0.04358836785</v>
      </c>
      <c r="P114" s="210">
        <f t="shared" si="11"/>
        <v>0.008226423693</v>
      </c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</row>
    <row r="115">
      <c r="A115" s="193"/>
      <c r="B115" s="217">
        <f>IFERROR(__xludf.DUMMYFUNCTION("""COMPUTED_VALUE"""),46295.64583333333)</f>
        <v>46295.64583</v>
      </c>
      <c r="C115" s="193">
        <f>IFERROR(__xludf.DUMMYFUNCTION("""COMPUTED_VALUE"""),4830.0)</f>
        <v>4830</v>
      </c>
      <c r="D115" s="193"/>
      <c r="E115" s="217">
        <f>IFERROR(__xludf.DUMMYFUNCTION("""COMPUTED_VALUE"""),46295.64583333333)</f>
        <v>46295.64583</v>
      </c>
      <c r="F115" s="193">
        <f>IFERROR(__xludf.DUMMYFUNCTION("""COMPUTED_VALUE"""),1879.1)</f>
        <v>1879.1</v>
      </c>
      <c r="G115" s="195"/>
      <c r="H115" s="29">
        <f t="shared" si="3"/>
        <v>2.570379437</v>
      </c>
      <c r="I115" s="1">
        <f t="shared" si="4"/>
        <v>2950.9</v>
      </c>
      <c r="J115" s="113">
        <f t="shared" si="5"/>
        <v>-1.340283035</v>
      </c>
      <c r="K115" s="199">
        <f t="shared" si="6"/>
        <v>2.570379437</v>
      </c>
      <c r="L115" s="213">
        <f t="shared" si="7"/>
        <v>4988.125</v>
      </c>
      <c r="M115" s="210">
        <f t="shared" si="8"/>
        <v>-0.03273809524</v>
      </c>
      <c r="N115" s="213">
        <f t="shared" si="9"/>
        <v>1939.255</v>
      </c>
      <c r="O115" s="210">
        <f t="shared" si="10"/>
        <v>-0.03201266564</v>
      </c>
      <c r="P115" s="210">
        <f t="shared" si="11"/>
        <v>-0.0007254296003</v>
      </c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</row>
    <row r="116">
      <c r="A116" s="193"/>
      <c r="B116" s="217">
        <f>IFERROR(__xludf.DUMMYFUNCTION("""COMPUTED_VALUE"""),46296.64583333333)</f>
        <v>46296.64583</v>
      </c>
      <c r="C116" s="193">
        <f>IFERROR(__xludf.DUMMYFUNCTION("""COMPUTED_VALUE"""),4778.0)</f>
        <v>4778</v>
      </c>
      <c r="D116" s="193"/>
      <c r="E116" s="217">
        <f>IFERROR(__xludf.DUMMYFUNCTION("""COMPUTED_VALUE"""),46296.64583333333)</f>
        <v>46296.64583</v>
      </c>
      <c r="F116" s="193">
        <f>IFERROR(__xludf.DUMMYFUNCTION("""COMPUTED_VALUE"""),1836.0)</f>
        <v>1836</v>
      </c>
      <c r="G116" s="195"/>
      <c r="H116" s="29">
        <f t="shared" si="3"/>
        <v>2.602396514</v>
      </c>
      <c r="I116" s="1">
        <f t="shared" si="4"/>
        <v>2942</v>
      </c>
      <c r="J116" s="113">
        <f t="shared" si="5"/>
        <v>-1.39179075</v>
      </c>
      <c r="K116" s="199">
        <f t="shared" si="6"/>
        <v>2.602396514</v>
      </c>
      <c r="L116" s="213">
        <f t="shared" si="7"/>
        <v>4969.325</v>
      </c>
      <c r="M116" s="210">
        <f t="shared" si="8"/>
        <v>-0.04004290498</v>
      </c>
      <c r="N116" s="213">
        <f t="shared" si="9"/>
        <v>1932.305</v>
      </c>
      <c r="O116" s="210">
        <f t="shared" si="10"/>
        <v>-0.0524537037</v>
      </c>
      <c r="P116" s="210">
        <f t="shared" si="11"/>
        <v>0.01241079872</v>
      </c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</row>
    <row r="117">
      <c r="A117" s="193"/>
      <c r="B117" s="217">
        <f>IFERROR(__xludf.DUMMYFUNCTION("""COMPUTED_VALUE"""),46300.64583333333)</f>
        <v>46300.64583</v>
      </c>
      <c r="C117" s="193">
        <f>IFERROR(__xludf.DUMMYFUNCTION("""COMPUTED_VALUE"""),4770.0)</f>
        <v>4770</v>
      </c>
      <c r="D117" s="193"/>
      <c r="E117" s="217">
        <f>IFERROR(__xludf.DUMMYFUNCTION("""COMPUTED_VALUE"""),46300.64583333333)</f>
        <v>46300.64583</v>
      </c>
      <c r="F117" s="193">
        <f>IFERROR(__xludf.DUMMYFUNCTION("""COMPUTED_VALUE"""),1838.4)</f>
        <v>1838.4</v>
      </c>
      <c r="G117" s="195"/>
      <c r="H117" s="29">
        <f t="shared" ref="H117:H122" si="12">C116/F117</f>
        <v>2.59899913</v>
      </c>
      <c r="I117" s="1">
        <f t="shared" si="4"/>
        <v>2931.6</v>
      </c>
      <c r="J117" s="113">
        <f t="shared" si="5"/>
        <v>-1.45197954</v>
      </c>
      <c r="K117" s="247">
        <f t="shared" ref="K117:K122" si="13">C116/F117</f>
        <v>2.59899913</v>
      </c>
      <c r="L117" s="213">
        <f t="shared" si="7"/>
        <v>4951.325</v>
      </c>
      <c r="M117" s="210">
        <f t="shared" si="8"/>
        <v>-0.03801362683</v>
      </c>
      <c r="N117" s="213">
        <f t="shared" si="9"/>
        <v>1926.125</v>
      </c>
      <c r="O117" s="210">
        <f t="shared" si="10"/>
        <v>-0.04771812446</v>
      </c>
      <c r="P117" s="210">
        <f t="shared" si="11"/>
        <v>0.009704497622</v>
      </c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</row>
    <row r="118">
      <c r="A118" s="193"/>
      <c r="B118" s="217">
        <f>IFERROR(__xludf.DUMMYFUNCTION("""COMPUTED_VALUE"""),46301.64583333333)</f>
        <v>46301.64583</v>
      </c>
      <c r="C118" s="193">
        <f>IFERROR(__xludf.DUMMYFUNCTION("""COMPUTED_VALUE"""),4883.8)</f>
        <v>4883.8</v>
      </c>
      <c r="D118" s="193"/>
      <c r="E118" s="217">
        <f>IFERROR(__xludf.DUMMYFUNCTION("""COMPUTED_VALUE"""),46301.64583333333)</f>
        <v>46301.64583</v>
      </c>
      <c r="F118" s="193">
        <f>IFERROR(__xludf.DUMMYFUNCTION("""COMPUTED_VALUE"""),1895.2)</f>
        <v>1895.2</v>
      </c>
      <c r="G118" s="195"/>
      <c r="H118" s="29">
        <f t="shared" si="12"/>
        <v>2.516884762</v>
      </c>
      <c r="I118" s="1">
        <f t="shared" si="4"/>
        <v>2988.6</v>
      </c>
      <c r="J118" s="113">
        <f t="shared" si="5"/>
        <v>-1.122098671</v>
      </c>
      <c r="K118" s="247">
        <f t="shared" si="13"/>
        <v>2.516884762</v>
      </c>
      <c r="L118" s="213">
        <f t="shared" si="7"/>
        <v>4940.44</v>
      </c>
      <c r="M118" s="210">
        <f t="shared" si="8"/>
        <v>-0.01159752652</v>
      </c>
      <c r="N118" s="213">
        <f t="shared" si="9"/>
        <v>1922.215</v>
      </c>
      <c r="O118" s="210">
        <f t="shared" si="10"/>
        <v>-0.01425443225</v>
      </c>
      <c r="P118" s="210">
        <f t="shared" si="11"/>
        <v>0.002656905734</v>
      </c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</row>
    <row r="119">
      <c r="A119" s="193"/>
      <c r="B119" s="217">
        <f>IFERROR(__xludf.DUMMYFUNCTION("""COMPUTED_VALUE"""),46302.64583333333)</f>
        <v>46302.64583</v>
      </c>
      <c r="C119" s="193">
        <f>IFERROR(__xludf.DUMMYFUNCTION("""COMPUTED_VALUE"""),4780.0)</f>
        <v>4780</v>
      </c>
      <c r="D119" s="193"/>
      <c r="E119" s="217">
        <f>IFERROR(__xludf.DUMMYFUNCTION("""COMPUTED_VALUE"""),46302.64583333333)</f>
        <v>46302.64583</v>
      </c>
      <c r="F119" s="193">
        <f>IFERROR(__xludf.DUMMYFUNCTION("""COMPUTED_VALUE"""),1865.4)</f>
        <v>1865.4</v>
      </c>
      <c r="G119" s="195"/>
      <c r="H119" s="29">
        <f t="shared" si="12"/>
        <v>2.618097995</v>
      </c>
      <c r="I119" s="1">
        <f t="shared" si="4"/>
        <v>2914.6</v>
      </c>
      <c r="J119" s="113">
        <f t="shared" si="5"/>
        <v>-1.550365062</v>
      </c>
      <c r="K119" s="247">
        <f t="shared" si="13"/>
        <v>2.618097995</v>
      </c>
      <c r="L119" s="195"/>
      <c r="M119" s="195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</row>
    <row r="120">
      <c r="A120" s="235"/>
      <c r="B120" s="236">
        <f>IFERROR(__xludf.DUMMYFUNCTION("""COMPUTED_VALUE"""),46303.64583333333)</f>
        <v>46303.64583</v>
      </c>
      <c r="C120" s="235">
        <f>IFERROR(__xludf.DUMMYFUNCTION("""COMPUTED_VALUE"""),4745.6)</f>
        <v>4745.6</v>
      </c>
      <c r="D120" s="235"/>
      <c r="E120" s="236">
        <f>IFERROR(__xludf.DUMMYFUNCTION("""COMPUTED_VALUE"""),46303.64583333333)</f>
        <v>46303.64583</v>
      </c>
      <c r="F120" s="235">
        <f>IFERROR(__xludf.DUMMYFUNCTION("""COMPUTED_VALUE"""),1844.5)</f>
        <v>1844.5</v>
      </c>
      <c r="G120" s="277"/>
      <c r="H120" s="29">
        <f t="shared" si="12"/>
        <v>2.591488208</v>
      </c>
      <c r="I120" s="1">
        <f t="shared" si="4"/>
        <v>2901.1</v>
      </c>
      <c r="J120" s="113">
        <f t="shared" si="5"/>
        <v>-1.628494742</v>
      </c>
      <c r="K120" s="247">
        <f t="shared" si="13"/>
        <v>2.591488208</v>
      </c>
      <c r="L120" s="240"/>
      <c r="M120" s="241"/>
      <c r="N120" s="240"/>
      <c r="O120" s="241"/>
      <c r="P120" s="241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</row>
    <row r="121">
      <c r="A121" s="235"/>
      <c r="B121" s="236">
        <f>IFERROR(__xludf.DUMMYFUNCTION("""COMPUTED_VALUE"""),46304.64583333333)</f>
        <v>46304.64583</v>
      </c>
      <c r="C121" s="235">
        <f>IFERROR(__xludf.DUMMYFUNCTION("""COMPUTED_VALUE"""),4825.0)</f>
        <v>4825</v>
      </c>
      <c r="D121" s="235"/>
      <c r="E121" s="236">
        <f>IFERROR(__xludf.DUMMYFUNCTION("""COMPUTED_VALUE"""),46304.64583333333)</f>
        <v>46304.64583</v>
      </c>
      <c r="F121" s="235">
        <f>IFERROR(__xludf.DUMMYFUNCTION("""COMPUTED_VALUE"""),1856.7)</f>
        <v>1856.7</v>
      </c>
      <c r="G121" s="277"/>
      <c r="H121" s="29">
        <f t="shared" si="12"/>
        <v>2.555932569</v>
      </c>
      <c r="I121" s="1">
        <f t="shared" si="4"/>
        <v>2968.3</v>
      </c>
      <c r="J121" s="113">
        <f t="shared" si="5"/>
        <v>-1.239582559</v>
      </c>
      <c r="K121" s="247">
        <f t="shared" si="13"/>
        <v>2.555932569</v>
      </c>
      <c r="L121" s="240"/>
      <c r="M121" s="241"/>
      <c r="N121" s="240"/>
      <c r="O121" s="241"/>
      <c r="P121" s="241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</row>
    <row r="122">
      <c r="A122" s="235"/>
      <c r="B122" s="236">
        <f>IFERROR(__xludf.DUMMYFUNCTION("""COMPUTED_VALUE"""),46307.64583333333)</f>
        <v>46307.64583</v>
      </c>
      <c r="C122" s="235">
        <f>IFERROR(__xludf.DUMMYFUNCTION("""COMPUTED_VALUE"""),4774.5)</f>
        <v>4774.5</v>
      </c>
      <c r="D122" s="235"/>
      <c r="E122" s="236">
        <f>IFERROR(__xludf.DUMMYFUNCTION("""COMPUTED_VALUE"""),46307.64583333333)</f>
        <v>46307.64583</v>
      </c>
      <c r="F122" s="235">
        <f>IFERROR(__xludf.DUMMYFUNCTION("""COMPUTED_VALUE"""),1820.7)</f>
        <v>1820.7</v>
      </c>
      <c r="G122" s="277"/>
      <c r="H122" s="29">
        <f t="shared" si="12"/>
        <v>2.65007964</v>
      </c>
      <c r="I122" s="1">
        <f t="shared" si="4"/>
        <v>2953.8</v>
      </c>
      <c r="J122" s="113">
        <f t="shared" si="5"/>
        <v>-1.323499623</v>
      </c>
      <c r="K122" s="247">
        <f t="shared" si="13"/>
        <v>2.65007964</v>
      </c>
      <c r="L122" s="240"/>
      <c r="M122" s="241"/>
      <c r="N122" s="240"/>
      <c r="O122" s="241"/>
      <c r="P122" s="241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</row>
    <row r="123">
      <c r="A123" s="235"/>
      <c r="B123" s="236">
        <f>IFERROR(__xludf.DUMMYFUNCTION("""COMPUTED_VALUE"""),46308.64583333333)</f>
        <v>46308.64583</v>
      </c>
      <c r="C123" s="235">
        <f>IFERROR(__xludf.DUMMYFUNCTION("""COMPUTED_VALUE"""),4801.3)</f>
        <v>4801.3</v>
      </c>
      <c r="D123" s="235"/>
      <c r="E123" s="236">
        <f>IFERROR(__xludf.DUMMYFUNCTION("""COMPUTED_VALUE"""),46308.64583333333)</f>
        <v>46308.64583</v>
      </c>
      <c r="F123" s="235">
        <f>IFERROR(__xludf.DUMMYFUNCTION("""COMPUTED_VALUE"""),1875.5)</f>
        <v>1875.5</v>
      </c>
      <c r="G123" s="277"/>
      <c r="H123" s="179"/>
      <c r="I123" s="175"/>
      <c r="J123" s="176"/>
      <c r="K123" s="239"/>
      <c r="L123" s="240"/>
      <c r="M123" s="241"/>
      <c r="N123" s="240"/>
      <c r="O123" s="241"/>
      <c r="P123" s="241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</row>
    <row r="124">
      <c r="A124" s="235"/>
      <c r="B124" s="236">
        <f>IFERROR(__xludf.DUMMYFUNCTION("""COMPUTED_VALUE"""),46309.64583333333)</f>
        <v>46309.64583</v>
      </c>
      <c r="C124" s="235">
        <f>IFERROR(__xludf.DUMMYFUNCTION("""COMPUTED_VALUE"""),4928.0)</f>
        <v>4928</v>
      </c>
      <c r="D124" s="235"/>
      <c r="E124" s="236">
        <f>IFERROR(__xludf.DUMMYFUNCTION("""COMPUTED_VALUE"""),46309.64583333333)</f>
        <v>46309.64583</v>
      </c>
      <c r="F124" s="235">
        <f>IFERROR(__xludf.DUMMYFUNCTION("""COMPUTED_VALUE"""),1895.5)</f>
        <v>1895.5</v>
      </c>
      <c r="G124" s="277"/>
      <c r="H124" s="179"/>
      <c r="I124" s="175"/>
      <c r="J124" s="176"/>
      <c r="K124" s="239"/>
      <c r="L124" s="240"/>
      <c r="M124" s="241"/>
      <c r="N124" s="240"/>
      <c r="O124" s="241"/>
      <c r="P124" s="241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</row>
    <row r="125">
      <c r="B125" s="166">
        <f>IFERROR(__xludf.DUMMYFUNCTION("""COMPUTED_VALUE"""),46310.64583333333)</f>
        <v>46310.64583</v>
      </c>
      <c r="C125" s="230">
        <f>IFERROR(__xludf.DUMMYFUNCTION("""COMPUTED_VALUE"""),4850.0)</f>
        <v>4850</v>
      </c>
      <c r="E125" s="166">
        <f>IFERROR(__xludf.DUMMYFUNCTION("""COMPUTED_VALUE"""),46310.64583333333)</f>
        <v>46310.64583</v>
      </c>
      <c r="F125" s="230">
        <f>IFERROR(__xludf.DUMMYFUNCTION("""COMPUTED_VALUE"""),1897.1)</f>
        <v>1897.1</v>
      </c>
    </row>
    <row r="126">
      <c r="B126" s="166">
        <f>IFERROR(__xludf.DUMMYFUNCTION("""COMPUTED_VALUE"""),46311.64583333333)</f>
        <v>46311.64583</v>
      </c>
      <c r="C126" s="230">
        <f>IFERROR(__xludf.DUMMYFUNCTION("""COMPUTED_VALUE"""),4764.0)</f>
        <v>4764</v>
      </c>
      <c r="E126" s="166">
        <f>IFERROR(__xludf.DUMMYFUNCTION("""COMPUTED_VALUE"""),46311.64583333333)</f>
        <v>46311.64583</v>
      </c>
      <c r="F126" s="230">
        <f>IFERROR(__xludf.DUMMYFUNCTION("""COMPUTED_VALUE"""),1893.8)</f>
        <v>1893.8</v>
      </c>
    </row>
    <row r="129">
      <c r="A129" s="193"/>
      <c r="B129" s="193"/>
      <c r="C129" s="110"/>
      <c r="D129" s="193"/>
      <c r="E129" s="193"/>
      <c r="F129" s="110"/>
      <c r="G129" s="195"/>
      <c r="H129" s="195"/>
      <c r="I129" s="195"/>
      <c r="J129" s="195"/>
      <c r="K129" s="195"/>
      <c r="L129" s="195"/>
      <c r="M129" s="195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</row>
    <row r="130">
      <c r="A130" s="235" t="s">
        <v>9</v>
      </c>
      <c r="B130" s="236">
        <f>IFERROR(__xludf.DUMMYFUNCTION("GOOGLEFINANCE(B9,""TRADETIME"")"),46311.64583333333)</f>
        <v>46311.64583</v>
      </c>
      <c r="C130" s="235">
        <f>IFERROR(__xludf.DUMMYFUNCTION("GOOGLEFINANCE(B9,""PRICE"")"),4764.0)</f>
        <v>4764</v>
      </c>
      <c r="D130" s="235"/>
      <c r="E130" s="236">
        <f>IFERROR(__xludf.DUMMYFUNCTION("GOOGLEFINANCE(E9,""TRADETIME"")"),46311.64583333333)</f>
        <v>46311.64583</v>
      </c>
      <c r="F130" s="235">
        <f>IFERROR(__xludf.DUMMYFUNCTION("GOOGLEFINANCE(E9,""PRICE"")"),1893.8)</f>
        <v>1893.8</v>
      </c>
      <c r="G130" s="277"/>
      <c r="H130" s="179">
        <f>C130/F130</f>
        <v>2.515577146</v>
      </c>
      <c r="I130" s="175">
        <f>C130-F130</f>
        <v>2870.2</v>
      </c>
      <c r="J130" s="176">
        <f>((I130-$I$131)/$I$132)</f>
        <v>-1.807324897</v>
      </c>
      <c r="K130" s="239">
        <f>C130/F130</f>
        <v>2.515577146</v>
      </c>
      <c r="L130" s="240">
        <f>AVERAGE(C73:C109)</f>
        <v>5288.364865</v>
      </c>
      <c r="M130" s="241">
        <f>(C130-L130)/C130</f>
        <v>-0.1100681916</v>
      </c>
      <c r="N130" s="240">
        <f>AVERAGE(F73:F109)</f>
        <v>2013.810811</v>
      </c>
      <c r="O130" s="241">
        <f>(F130-N130)/F130</f>
        <v>-0.06337037217</v>
      </c>
      <c r="P130" s="241">
        <f>M130-O130</f>
        <v>-0.04669781945</v>
      </c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</row>
    <row r="131">
      <c r="A131" s="193"/>
      <c r="B131" s="193"/>
      <c r="C131" s="193"/>
      <c r="D131" s="193"/>
      <c r="E131" s="193"/>
      <c r="F131" s="193"/>
      <c r="G131" s="195"/>
      <c r="H131" s="96" t="s">
        <v>138</v>
      </c>
      <c r="I131" s="177">
        <f>AVERAGE(I11:I118)</f>
        <v>3182.487037</v>
      </c>
      <c r="J131" s="1"/>
      <c r="K131" s="195"/>
      <c r="L131" s="195"/>
      <c r="M131" s="195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</row>
    <row r="132">
      <c r="A132" s="193"/>
      <c r="B132" s="193"/>
      <c r="C132" s="193"/>
      <c r="D132" s="193"/>
      <c r="E132" s="193"/>
      <c r="F132" s="193"/>
      <c r="G132" s="195"/>
      <c r="H132" s="96" t="s">
        <v>139</v>
      </c>
      <c r="I132" s="189">
        <f>_xlfn.STDEV.P(I11:I117)</f>
        <v>172.7896504</v>
      </c>
      <c r="J132" s="1"/>
      <c r="K132" s="195"/>
      <c r="L132" s="195"/>
      <c r="M132" s="195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</row>
    <row r="133">
      <c r="A133" s="193"/>
      <c r="B133" s="193"/>
      <c r="C133" s="193"/>
      <c r="D133" s="193"/>
      <c r="E133" s="193"/>
      <c r="F133" s="194"/>
      <c r="G133" s="199"/>
      <c r="H133" s="195"/>
      <c r="I133" s="195"/>
      <c r="J133" s="195"/>
      <c r="K133" s="195"/>
      <c r="L133" s="195"/>
      <c r="M133" s="195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</row>
    <row r="134">
      <c r="A134" s="193"/>
      <c r="B134" s="193"/>
      <c r="C134" s="278"/>
      <c r="D134" s="193"/>
      <c r="E134" s="193"/>
      <c r="F134" s="278"/>
      <c r="G134" s="199"/>
      <c r="H134" s="195"/>
      <c r="I134" s="195"/>
      <c r="J134" s="195"/>
      <c r="K134" s="195"/>
      <c r="L134" s="195"/>
      <c r="M134" s="195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</row>
    <row r="135">
      <c r="A135" s="193"/>
      <c r="B135" s="193"/>
      <c r="C135" s="110"/>
      <c r="D135" s="193"/>
      <c r="E135" s="193"/>
      <c r="F135" s="110"/>
      <c r="G135" s="195"/>
      <c r="H135" s="195"/>
      <c r="I135" s="195"/>
      <c r="J135" s="195"/>
      <c r="K135" s="195"/>
      <c r="L135" s="195"/>
      <c r="M135" s="195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</row>
    <row r="136">
      <c r="A136" s="193"/>
      <c r="B136" s="193"/>
      <c r="C136" s="110"/>
      <c r="D136" s="193"/>
      <c r="E136" s="193"/>
      <c r="F136" s="110"/>
      <c r="G136" s="195"/>
      <c r="H136" s="195"/>
      <c r="I136" s="195"/>
      <c r="J136" s="195"/>
      <c r="K136" s="195"/>
      <c r="L136" s="195"/>
      <c r="M136" s="195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</row>
    <row r="137">
      <c r="A137" s="193"/>
      <c r="B137" s="193"/>
      <c r="C137" s="193"/>
      <c r="D137" s="193"/>
      <c r="E137" s="193"/>
      <c r="F137" s="193"/>
      <c r="G137" s="195"/>
      <c r="H137" s="195"/>
      <c r="I137" s="195"/>
      <c r="J137" s="195"/>
      <c r="K137" s="195"/>
      <c r="L137" s="195"/>
      <c r="M137" s="195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</row>
    <row r="138">
      <c r="A138" s="193"/>
      <c r="B138" s="193"/>
      <c r="C138" s="193"/>
      <c r="D138" s="193"/>
      <c r="E138" s="193"/>
      <c r="F138" s="193"/>
      <c r="G138" s="195"/>
      <c r="H138" s="195"/>
      <c r="I138" s="195"/>
      <c r="J138" s="195"/>
      <c r="K138" s="195"/>
      <c r="L138" s="195"/>
      <c r="M138" s="195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</row>
    <row r="139">
      <c r="A139" s="193"/>
      <c r="B139" s="193"/>
      <c r="C139" s="193"/>
      <c r="D139" s="193"/>
      <c r="E139" s="193"/>
      <c r="F139" s="193"/>
      <c r="G139" s="194"/>
      <c r="H139" s="195"/>
      <c r="I139" s="195"/>
      <c r="J139" s="195"/>
      <c r="K139" s="195"/>
      <c r="L139" s="195"/>
      <c r="M139" s="195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</row>
    <row r="140">
      <c r="A140" s="193"/>
      <c r="B140" s="193"/>
      <c r="C140" s="193"/>
      <c r="D140" s="193"/>
      <c r="E140" s="193"/>
      <c r="F140" s="193"/>
      <c r="G140" s="195"/>
      <c r="H140" s="195"/>
      <c r="I140" s="195"/>
      <c r="J140" s="195"/>
      <c r="K140" s="195"/>
      <c r="L140" s="195"/>
      <c r="M140" s="195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</row>
    <row r="141">
      <c r="A141" s="193"/>
      <c r="B141" s="193"/>
      <c r="C141" s="193"/>
      <c r="D141" s="193"/>
      <c r="E141" s="193"/>
      <c r="F141" s="193"/>
      <c r="G141" s="279"/>
      <c r="H141" s="195"/>
      <c r="I141" s="195"/>
      <c r="J141" s="195"/>
      <c r="K141" s="195"/>
      <c r="L141" s="195"/>
      <c r="M141" s="195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</row>
    <row r="142">
      <c r="A142" s="193"/>
      <c r="B142" s="193"/>
      <c r="C142" s="193"/>
      <c r="D142" s="110"/>
      <c r="E142" s="193"/>
      <c r="F142" s="193"/>
      <c r="G142" s="195"/>
      <c r="H142" s="195"/>
      <c r="I142" s="195"/>
      <c r="J142" s="195"/>
      <c r="K142" s="195"/>
      <c r="L142" s="195"/>
      <c r="M142" s="195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</row>
    <row r="143">
      <c r="A143" s="193"/>
      <c r="B143" s="193"/>
      <c r="C143" s="193"/>
      <c r="D143" s="193"/>
      <c r="E143" s="193"/>
      <c r="F143" s="193"/>
      <c r="G143" s="195"/>
      <c r="H143" s="195"/>
      <c r="I143" s="195"/>
      <c r="J143" s="195"/>
      <c r="K143" s="195"/>
      <c r="L143" s="195"/>
      <c r="M143" s="195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</row>
    <row r="144">
      <c r="A144" s="193"/>
      <c r="B144" s="193"/>
      <c r="C144" s="193"/>
      <c r="D144" s="193"/>
      <c r="E144" s="193"/>
      <c r="F144" s="193"/>
      <c r="G144" s="195"/>
      <c r="H144" s="195"/>
      <c r="I144" s="195"/>
      <c r="J144" s="195"/>
      <c r="K144" s="195"/>
      <c r="L144" s="195"/>
      <c r="M144" s="195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</row>
    <row r="145">
      <c r="A145" s="193"/>
      <c r="B145" s="193"/>
      <c r="C145" s="193"/>
      <c r="D145" s="193"/>
      <c r="E145" s="193"/>
      <c r="F145" s="193"/>
      <c r="G145" s="195"/>
      <c r="H145" s="195"/>
      <c r="I145" s="195"/>
      <c r="J145" s="195"/>
      <c r="K145" s="195"/>
      <c r="L145" s="195"/>
      <c r="M145" s="195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</row>
    <row r="146">
      <c r="A146" s="193"/>
      <c r="B146" s="193"/>
      <c r="C146" s="193"/>
      <c r="D146" s="193"/>
      <c r="E146" s="193"/>
      <c r="F146" s="193"/>
      <c r="G146" s="195"/>
      <c r="H146" s="195"/>
      <c r="I146" s="195"/>
      <c r="J146" s="195"/>
      <c r="K146" s="195"/>
      <c r="L146" s="195"/>
      <c r="M146" s="195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</row>
    <row r="147">
      <c r="A147" s="193"/>
      <c r="B147" s="193"/>
      <c r="C147" s="193"/>
      <c r="D147" s="193"/>
      <c r="E147" s="193"/>
      <c r="F147" s="193"/>
      <c r="G147" s="195"/>
      <c r="H147" s="195"/>
      <c r="I147" s="195"/>
      <c r="J147" s="195"/>
      <c r="K147" s="195"/>
      <c r="L147" s="195"/>
      <c r="M147" s="195"/>
      <c r="N147" s="195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</row>
    <row r="148">
      <c r="A148" s="193"/>
      <c r="B148" s="193"/>
      <c r="C148" s="193"/>
      <c r="D148" s="193"/>
      <c r="E148" s="193"/>
      <c r="F148" s="193"/>
      <c r="G148" s="195"/>
      <c r="H148" s="195"/>
      <c r="I148" s="195"/>
      <c r="J148" s="195"/>
      <c r="K148" s="195"/>
      <c r="L148" s="195"/>
      <c r="M148" s="195"/>
      <c r="N148" s="195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</row>
    <row r="149">
      <c r="A149" s="193"/>
      <c r="B149" s="193"/>
      <c r="C149" s="193"/>
      <c r="D149" s="193"/>
      <c r="E149" s="193"/>
      <c r="F149" s="193"/>
      <c r="G149" s="195"/>
      <c r="H149" s="195"/>
      <c r="I149" s="195"/>
      <c r="J149" s="195"/>
      <c r="K149" s="195"/>
      <c r="L149" s="195"/>
      <c r="M149" s="195"/>
      <c r="N149" s="195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</row>
    <row r="150">
      <c r="A150" s="193"/>
      <c r="B150" s="193"/>
      <c r="C150" s="193"/>
      <c r="D150" s="193"/>
      <c r="E150" s="193"/>
      <c r="F150" s="193"/>
      <c r="G150" s="195"/>
      <c r="H150" s="195"/>
      <c r="I150" s="195"/>
      <c r="J150" s="195"/>
      <c r="K150" s="195"/>
      <c r="L150" s="195"/>
      <c r="M150" s="195"/>
      <c r="N150" s="195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</row>
    <row r="151">
      <c r="A151" s="193"/>
      <c r="B151" s="193"/>
      <c r="C151" s="193"/>
      <c r="D151" s="193"/>
      <c r="E151" s="193"/>
      <c r="F151" s="193"/>
      <c r="G151" s="195"/>
      <c r="H151" s="195"/>
      <c r="I151" s="195"/>
      <c r="J151" s="195"/>
      <c r="K151" s="195"/>
      <c r="L151" s="195"/>
      <c r="M151" s="195"/>
      <c r="N151" s="195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</row>
    <row r="152">
      <c r="A152" s="193"/>
      <c r="B152" s="193"/>
      <c r="C152" s="193"/>
      <c r="D152" s="193"/>
      <c r="E152" s="193"/>
      <c r="F152" s="193"/>
      <c r="G152" s="195"/>
      <c r="H152" s="195"/>
      <c r="I152" s="195"/>
      <c r="J152" s="195"/>
      <c r="K152" s="195"/>
      <c r="L152" s="195"/>
      <c r="M152" s="195"/>
      <c r="N152" s="195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</row>
    <row r="153">
      <c r="A153" s="193"/>
      <c r="B153" s="193"/>
      <c r="C153" s="193"/>
      <c r="D153" s="193"/>
      <c r="E153" s="193"/>
      <c r="F153" s="193"/>
      <c r="G153" s="195"/>
      <c r="H153" s="195"/>
      <c r="I153" s="195"/>
      <c r="J153" s="195"/>
      <c r="K153" s="195"/>
      <c r="L153" s="195"/>
      <c r="M153" s="195"/>
      <c r="N153" s="195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</row>
    <row r="154">
      <c r="A154" s="193"/>
      <c r="B154" s="193"/>
      <c r="C154" s="193"/>
      <c r="D154" s="193"/>
      <c r="E154" s="193"/>
      <c r="F154" s="193"/>
      <c r="G154" s="195"/>
      <c r="H154" s="195"/>
      <c r="I154" s="195"/>
      <c r="J154" s="195"/>
      <c r="K154" s="195"/>
      <c r="L154" s="195"/>
      <c r="M154" s="195"/>
      <c r="N154" s="195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</row>
    <row r="155">
      <c r="A155" s="193"/>
      <c r="B155" s="193"/>
      <c r="C155" s="193"/>
      <c r="D155" s="193"/>
      <c r="E155" s="193"/>
      <c r="F155" s="193"/>
      <c r="G155" s="195"/>
      <c r="H155" s="195"/>
      <c r="I155" s="195"/>
      <c r="J155" s="195"/>
      <c r="K155" s="195"/>
      <c r="L155" s="195"/>
      <c r="M155" s="195"/>
      <c r="N155" s="195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</row>
    <row r="156">
      <c r="A156" s="193"/>
      <c r="B156" s="193"/>
      <c r="C156" s="193"/>
      <c r="D156" s="193"/>
      <c r="E156" s="193"/>
      <c r="F156" s="193"/>
      <c r="G156" s="195"/>
      <c r="H156" s="195"/>
      <c r="I156" s="195"/>
      <c r="J156" s="195"/>
      <c r="K156" s="195"/>
      <c r="L156" s="195"/>
      <c r="M156" s="195"/>
      <c r="N156" s="195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</row>
    <row r="157">
      <c r="A157" s="193"/>
      <c r="B157" s="193"/>
      <c r="C157" s="193"/>
      <c r="D157" s="193"/>
      <c r="E157" s="193"/>
      <c r="F157" s="193"/>
      <c r="G157" s="195"/>
      <c r="H157" s="195"/>
      <c r="I157" s="195"/>
      <c r="J157" s="195"/>
      <c r="K157" s="195"/>
      <c r="L157" s="195"/>
      <c r="M157" s="195"/>
      <c r="N157" s="195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</row>
    <row r="158">
      <c r="A158" s="193"/>
      <c r="B158" s="193"/>
      <c r="C158" s="193"/>
      <c r="D158" s="193"/>
      <c r="E158" s="193"/>
      <c r="F158" s="193"/>
      <c r="G158" s="195"/>
      <c r="H158" s="195"/>
      <c r="I158" s="195"/>
      <c r="J158" s="195"/>
      <c r="K158" s="195"/>
      <c r="L158" s="195"/>
      <c r="M158" s="195"/>
      <c r="N158" s="195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</row>
    <row r="159">
      <c r="A159" s="193"/>
      <c r="B159" s="193"/>
      <c r="C159" s="193"/>
      <c r="D159" s="193"/>
      <c r="E159" s="193"/>
      <c r="F159" s="193"/>
      <c r="G159" s="195"/>
      <c r="H159" s="195"/>
      <c r="I159" s="195"/>
      <c r="J159" s="195"/>
      <c r="K159" s="195"/>
      <c r="L159" s="195"/>
      <c r="M159" s="195"/>
      <c r="N159" s="195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</row>
    <row r="160">
      <c r="A160" s="193"/>
      <c r="B160" s="193"/>
      <c r="C160" s="193"/>
      <c r="D160" s="193"/>
      <c r="E160" s="193"/>
      <c r="F160" s="193"/>
      <c r="G160" s="195"/>
      <c r="H160" s="195"/>
      <c r="I160" s="195"/>
      <c r="J160" s="195"/>
      <c r="K160" s="195"/>
      <c r="L160" s="195"/>
      <c r="M160" s="195"/>
      <c r="N160" s="195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</row>
    <row r="161">
      <c r="A161" s="193"/>
      <c r="B161" s="193"/>
      <c r="C161" s="193"/>
      <c r="D161" s="193"/>
      <c r="E161" s="193"/>
      <c r="F161" s="193"/>
      <c r="G161" s="195"/>
      <c r="H161" s="195"/>
      <c r="I161" s="195"/>
      <c r="J161" s="195"/>
      <c r="K161" s="195"/>
      <c r="L161" s="195"/>
      <c r="M161" s="195"/>
      <c r="N161" s="195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</row>
    <row r="162">
      <c r="A162" s="193"/>
      <c r="B162" s="193"/>
      <c r="C162" s="193"/>
      <c r="D162" s="193"/>
      <c r="E162" s="193"/>
      <c r="F162" s="193"/>
      <c r="G162" s="195"/>
      <c r="H162" s="195"/>
      <c r="I162" s="195"/>
      <c r="J162" s="195"/>
      <c r="K162" s="195"/>
      <c r="L162" s="195"/>
      <c r="M162" s="195"/>
      <c r="N162" s="195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</row>
    <row r="163">
      <c r="A163" s="193"/>
      <c r="B163" s="193"/>
      <c r="C163" s="193"/>
      <c r="D163" s="193"/>
      <c r="E163" s="193"/>
      <c r="F163" s="193"/>
      <c r="G163" s="195"/>
      <c r="H163" s="195"/>
      <c r="I163" s="195"/>
      <c r="J163" s="195"/>
      <c r="K163" s="195"/>
      <c r="L163" s="195"/>
      <c r="M163" s="195"/>
      <c r="N163" s="195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</row>
    <row r="164">
      <c r="A164" s="193"/>
      <c r="B164" s="193"/>
      <c r="C164" s="193"/>
      <c r="D164" s="193"/>
      <c r="E164" s="193"/>
      <c r="F164" s="193"/>
      <c r="G164" s="195"/>
      <c r="H164" s="195"/>
      <c r="I164" s="195"/>
      <c r="J164" s="195"/>
      <c r="K164" s="195"/>
      <c r="L164" s="195"/>
      <c r="M164" s="195"/>
      <c r="N164" s="195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</row>
    <row r="165">
      <c r="A165" s="193"/>
      <c r="B165" s="193"/>
      <c r="C165" s="193"/>
      <c r="D165" s="193"/>
      <c r="E165" s="193"/>
      <c r="F165" s="193"/>
      <c r="G165" s="195"/>
      <c r="H165" s="195"/>
      <c r="I165" s="195"/>
      <c r="J165" s="195"/>
      <c r="K165" s="195"/>
      <c r="L165" s="195"/>
      <c r="M165" s="195"/>
      <c r="N165" s="195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</row>
    <row r="166">
      <c r="A166" s="193"/>
      <c r="B166" s="193"/>
      <c r="C166" s="193"/>
      <c r="D166" s="193"/>
      <c r="E166" s="193"/>
      <c r="F166" s="193"/>
      <c r="G166" s="195"/>
      <c r="H166" s="195"/>
      <c r="I166" s="195"/>
      <c r="J166" s="195"/>
      <c r="K166" s="195"/>
      <c r="L166" s="195"/>
      <c r="M166" s="195"/>
      <c r="N166" s="195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</row>
    <row r="167">
      <c r="A167" s="193"/>
      <c r="B167" s="193"/>
      <c r="C167" s="193"/>
      <c r="D167" s="193"/>
      <c r="E167" s="193"/>
      <c r="F167" s="193"/>
      <c r="G167" s="195"/>
      <c r="H167" s="195"/>
      <c r="I167" s="195"/>
      <c r="J167" s="195"/>
      <c r="K167" s="195"/>
      <c r="L167" s="195"/>
      <c r="M167" s="195"/>
      <c r="N167" s="195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</row>
    <row r="168">
      <c r="A168" s="193"/>
      <c r="B168" s="193"/>
      <c r="C168" s="193"/>
      <c r="D168" s="193"/>
      <c r="E168" s="193"/>
      <c r="F168" s="193"/>
      <c r="G168" s="195"/>
      <c r="H168" s="195"/>
      <c r="I168" s="195"/>
      <c r="J168" s="195"/>
      <c r="K168" s="195"/>
      <c r="L168" s="195"/>
      <c r="M168" s="195"/>
      <c r="N168" s="195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</row>
    <row r="169">
      <c r="A169" s="193"/>
      <c r="B169" s="193"/>
      <c r="C169" s="193"/>
      <c r="D169" s="193"/>
      <c r="E169" s="193"/>
      <c r="F169" s="193"/>
      <c r="G169" s="195"/>
      <c r="H169" s="195"/>
      <c r="I169" s="195"/>
      <c r="J169" s="195"/>
      <c r="K169" s="195"/>
      <c r="L169" s="195"/>
      <c r="M169" s="195"/>
      <c r="N169" s="195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</row>
    <row r="170">
      <c r="A170" s="193"/>
      <c r="B170" s="193"/>
      <c r="C170" s="193"/>
      <c r="D170" s="193"/>
      <c r="E170" s="193"/>
      <c r="F170" s="193"/>
      <c r="G170" s="195"/>
      <c r="H170" s="195"/>
      <c r="I170" s="195"/>
      <c r="J170" s="195"/>
      <c r="K170" s="195"/>
      <c r="L170" s="195"/>
      <c r="M170" s="195"/>
      <c r="N170" s="195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</row>
    <row r="171">
      <c r="A171" s="193"/>
      <c r="B171" s="193"/>
      <c r="C171" s="193"/>
      <c r="D171" s="193"/>
      <c r="E171" s="193"/>
      <c r="F171" s="193"/>
      <c r="G171" s="195"/>
      <c r="H171" s="195"/>
      <c r="I171" s="195"/>
      <c r="J171" s="195"/>
      <c r="K171" s="195"/>
      <c r="L171" s="195"/>
      <c r="M171" s="195"/>
      <c r="N171" s="195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</row>
    <row r="172">
      <c r="A172" s="193"/>
      <c r="B172" s="193"/>
      <c r="C172" s="193"/>
      <c r="D172" s="193"/>
      <c r="E172" s="193"/>
      <c r="F172" s="193"/>
      <c r="G172" s="195"/>
      <c r="H172" s="195"/>
      <c r="I172" s="195"/>
      <c r="J172" s="195"/>
      <c r="K172" s="195"/>
      <c r="L172" s="195"/>
      <c r="M172" s="195"/>
      <c r="N172" s="195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</row>
    <row r="173">
      <c r="A173" s="193"/>
      <c r="B173" s="193"/>
      <c r="C173" s="193"/>
      <c r="D173" s="193"/>
      <c r="E173" s="193"/>
      <c r="F173" s="193"/>
      <c r="G173" s="195"/>
      <c r="H173" s="195"/>
      <c r="I173" s="195"/>
      <c r="J173" s="195"/>
      <c r="K173" s="195"/>
      <c r="L173" s="195"/>
      <c r="M173" s="195"/>
      <c r="N173" s="195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</row>
    <row r="174">
      <c r="A174" s="193"/>
      <c r="B174" s="193"/>
      <c r="C174" s="193"/>
      <c r="D174" s="193"/>
      <c r="E174" s="193"/>
      <c r="F174" s="193"/>
      <c r="G174" s="195"/>
      <c r="H174" s="195"/>
      <c r="I174" s="195"/>
      <c r="J174" s="195"/>
      <c r="K174" s="195"/>
      <c r="L174" s="195"/>
      <c r="M174" s="195"/>
      <c r="N174" s="195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</row>
    <row r="175">
      <c r="A175" s="193"/>
      <c r="B175" s="193"/>
      <c r="C175" s="193"/>
      <c r="D175" s="193"/>
      <c r="E175" s="193"/>
      <c r="F175" s="193"/>
      <c r="G175" s="195"/>
      <c r="H175" s="195"/>
      <c r="I175" s="195"/>
      <c r="J175" s="195"/>
      <c r="K175" s="195"/>
      <c r="L175" s="195"/>
      <c r="M175" s="195"/>
      <c r="N175" s="195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</row>
    <row r="176">
      <c r="A176" s="193"/>
      <c r="B176" s="193"/>
      <c r="C176" s="193"/>
      <c r="D176" s="193"/>
      <c r="E176" s="193"/>
      <c r="F176" s="193"/>
      <c r="G176" s="195"/>
      <c r="H176" s="195"/>
      <c r="I176" s="195"/>
      <c r="J176" s="195"/>
      <c r="K176" s="195"/>
      <c r="L176" s="195"/>
      <c r="M176" s="195"/>
      <c r="N176" s="195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</row>
    <row r="177">
      <c r="A177" s="193"/>
      <c r="B177" s="193"/>
      <c r="C177" s="193"/>
      <c r="D177" s="193"/>
      <c r="E177" s="193"/>
      <c r="F177" s="193"/>
      <c r="G177" s="195"/>
      <c r="H177" s="195"/>
      <c r="I177" s="195"/>
      <c r="J177" s="195"/>
      <c r="K177" s="195"/>
      <c r="L177" s="195"/>
      <c r="M177" s="195"/>
      <c r="N177" s="195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</row>
    <row r="178">
      <c r="A178" s="193"/>
      <c r="B178" s="193"/>
      <c r="C178" s="193"/>
      <c r="D178" s="193"/>
      <c r="E178" s="193"/>
      <c r="F178" s="193"/>
      <c r="G178" s="195"/>
      <c r="H178" s="195"/>
      <c r="I178" s="195"/>
      <c r="J178" s="195"/>
      <c r="K178" s="195"/>
      <c r="L178" s="195"/>
      <c r="M178" s="195"/>
      <c r="N178" s="195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</row>
    <row r="179">
      <c r="A179" s="193"/>
      <c r="B179" s="193"/>
      <c r="C179" s="193"/>
      <c r="D179" s="193"/>
      <c r="E179" s="193"/>
      <c r="F179" s="193"/>
      <c r="G179" s="195"/>
      <c r="H179" s="195"/>
      <c r="I179" s="195"/>
      <c r="J179" s="195"/>
      <c r="K179" s="195"/>
      <c r="L179" s="195"/>
      <c r="M179" s="195"/>
      <c r="N179" s="195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</row>
    <row r="180">
      <c r="A180" s="193"/>
      <c r="B180" s="193"/>
      <c r="C180" s="193"/>
      <c r="D180" s="193"/>
      <c r="E180" s="193"/>
      <c r="F180" s="193"/>
      <c r="G180" s="195"/>
      <c r="H180" s="195"/>
      <c r="I180" s="195"/>
      <c r="J180" s="195"/>
      <c r="K180" s="195"/>
      <c r="L180" s="195"/>
      <c r="M180" s="195"/>
      <c r="N180" s="195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</row>
    <row r="181">
      <c r="A181" s="193"/>
      <c r="B181" s="193"/>
      <c r="C181" s="193"/>
      <c r="D181" s="193"/>
      <c r="E181" s="193"/>
      <c r="F181" s="193"/>
      <c r="G181" s="195"/>
      <c r="H181" s="195"/>
      <c r="I181" s="195"/>
      <c r="J181" s="195"/>
      <c r="K181" s="195"/>
      <c r="L181" s="195"/>
      <c r="M181" s="195"/>
      <c r="N181" s="195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</row>
    <row r="182">
      <c r="A182" s="193"/>
      <c r="B182" s="193"/>
      <c r="C182" s="193"/>
      <c r="D182" s="193"/>
      <c r="E182" s="193"/>
      <c r="F182" s="193"/>
      <c r="G182" s="195"/>
      <c r="H182" s="195"/>
      <c r="I182" s="195"/>
      <c r="J182" s="195"/>
      <c r="K182" s="195"/>
      <c r="L182" s="195"/>
      <c r="M182" s="195"/>
      <c r="N182" s="195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</row>
    <row r="183">
      <c r="A183" s="193"/>
      <c r="B183" s="193"/>
      <c r="C183" s="193"/>
      <c r="D183" s="193"/>
      <c r="E183" s="193"/>
      <c r="F183" s="193"/>
      <c r="G183" s="195"/>
      <c r="H183" s="195"/>
      <c r="I183" s="195"/>
      <c r="J183" s="195"/>
      <c r="K183" s="195"/>
      <c r="L183" s="195"/>
      <c r="M183" s="195"/>
      <c r="N183" s="195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</row>
    <row r="184">
      <c r="A184" s="193"/>
      <c r="B184" s="193"/>
      <c r="C184" s="193"/>
      <c r="D184" s="193"/>
      <c r="E184" s="193"/>
      <c r="F184" s="193"/>
      <c r="G184" s="195"/>
      <c r="H184" s="195"/>
      <c r="I184" s="195"/>
      <c r="J184" s="195"/>
      <c r="K184" s="195"/>
      <c r="L184" s="195"/>
      <c r="M184" s="195"/>
      <c r="N184" s="195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</row>
    <row r="185">
      <c r="A185" s="193"/>
      <c r="B185" s="193"/>
      <c r="C185" s="193"/>
      <c r="D185" s="193"/>
      <c r="E185" s="193"/>
      <c r="F185" s="193"/>
      <c r="G185" s="195"/>
      <c r="H185" s="195"/>
      <c r="I185" s="195"/>
      <c r="J185" s="195"/>
      <c r="K185" s="195"/>
      <c r="L185" s="195"/>
      <c r="M185" s="195"/>
      <c r="N185" s="195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</row>
    <row r="186">
      <c r="A186" s="193"/>
      <c r="B186" s="193"/>
      <c r="C186" s="193"/>
      <c r="D186" s="193"/>
      <c r="E186" s="193"/>
      <c r="F186" s="193"/>
      <c r="G186" s="195"/>
      <c r="H186" s="195"/>
      <c r="I186" s="195"/>
      <c r="J186" s="195"/>
      <c r="K186" s="195"/>
      <c r="L186" s="195"/>
      <c r="M186" s="195"/>
      <c r="N186" s="195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</row>
    <row r="187">
      <c r="A187" s="193"/>
      <c r="B187" s="193"/>
      <c r="C187" s="193"/>
      <c r="D187" s="193"/>
      <c r="E187" s="193"/>
      <c r="F187" s="193"/>
      <c r="G187" s="195"/>
      <c r="H187" s="195"/>
      <c r="I187" s="195"/>
      <c r="J187" s="195"/>
      <c r="K187" s="195"/>
      <c r="L187" s="195"/>
      <c r="M187" s="195"/>
      <c r="N187" s="195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</row>
    <row r="188">
      <c r="A188" s="193"/>
      <c r="B188" s="193"/>
      <c r="C188" s="193"/>
      <c r="D188" s="193"/>
      <c r="E188" s="193"/>
      <c r="F188" s="193"/>
      <c r="G188" s="195"/>
      <c r="H188" s="195"/>
      <c r="I188" s="195"/>
      <c r="J188" s="195"/>
      <c r="K188" s="195"/>
      <c r="L188" s="195"/>
      <c r="M188" s="195"/>
      <c r="N188" s="195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</row>
    <row r="189">
      <c r="A189" s="193"/>
      <c r="B189" s="193"/>
      <c r="C189" s="193"/>
      <c r="D189" s="193"/>
      <c r="E189" s="193"/>
      <c r="F189" s="193"/>
      <c r="G189" s="195"/>
      <c r="H189" s="195"/>
      <c r="I189" s="195"/>
      <c r="J189" s="195"/>
      <c r="K189" s="195"/>
      <c r="L189" s="195"/>
      <c r="M189" s="195"/>
      <c r="N189" s="195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</row>
    <row r="190">
      <c r="A190" s="193"/>
      <c r="B190" s="193"/>
      <c r="C190" s="193"/>
      <c r="D190" s="193"/>
      <c r="E190" s="193"/>
      <c r="F190" s="193"/>
      <c r="G190" s="195"/>
      <c r="H190" s="195"/>
      <c r="I190" s="195"/>
      <c r="J190" s="195"/>
      <c r="K190" s="195"/>
      <c r="L190" s="195"/>
      <c r="M190" s="195"/>
      <c r="N190" s="195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</row>
    <row r="191">
      <c r="A191" s="193"/>
      <c r="B191" s="193"/>
      <c r="C191" s="193"/>
      <c r="D191" s="193"/>
      <c r="E191" s="193"/>
      <c r="F191" s="193"/>
      <c r="G191" s="195"/>
      <c r="H191" s="195"/>
      <c r="I191" s="195"/>
      <c r="J191" s="195"/>
      <c r="K191" s="195"/>
      <c r="L191" s="195"/>
      <c r="M191" s="195"/>
      <c r="N191" s="195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</row>
    <row r="192">
      <c r="A192" s="193"/>
      <c r="B192" s="193"/>
      <c r="C192" s="193"/>
      <c r="D192" s="193"/>
      <c r="E192" s="193"/>
      <c r="F192" s="193"/>
      <c r="G192" s="195"/>
      <c r="H192" s="195"/>
      <c r="I192" s="195"/>
      <c r="J192" s="195"/>
      <c r="K192" s="195"/>
      <c r="L192" s="195"/>
      <c r="M192" s="195"/>
      <c r="N192" s="195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</row>
    <row r="193">
      <c r="A193" s="193"/>
      <c r="B193" s="193"/>
      <c r="C193" s="193"/>
      <c r="D193" s="193"/>
      <c r="E193" s="193"/>
      <c r="F193" s="193"/>
      <c r="G193" s="195"/>
      <c r="H193" s="195"/>
      <c r="I193" s="195"/>
      <c r="J193" s="195"/>
      <c r="K193" s="195"/>
      <c r="L193" s="195"/>
      <c r="M193" s="195"/>
      <c r="N193" s="195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</row>
    <row r="194">
      <c r="A194" s="193"/>
      <c r="B194" s="193"/>
      <c r="C194" s="193"/>
      <c r="D194" s="193"/>
      <c r="E194" s="193"/>
      <c r="F194" s="193"/>
      <c r="G194" s="195"/>
      <c r="H194" s="195"/>
      <c r="I194" s="195"/>
      <c r="J194" s="195"/>
      <c r="K194" s="195"/>
      <c r="L194" s="195"/>
      <c r="M194" s="195"/>
      <c r="N194" s="195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</row>
    <row r="195">
      <c r="A195" s="193"/>
      <c r="B195" s="193"/>
      <c r="C195" s="193"/>
      <c r="D195" s="193"/>
      <c r="E195" s="193"/>
      <c r="F195" s="193"/>
      <c r="G195" s="195"/>
      <c r="H195" s="195"/>
      <c r="I195" s="195"/>
      <c r="J195" s="195"/>
      <c r="K195" s="195"/>
      <c r="L195" s="195"/>
      <c r="M195" s="195"/>
      <c r="N195" s="195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</row>
    <row r="196">
      <c r="A196" s="193"/>
      <c r="B196" s="193"/>
      <c r="C196" s="193"/>
      <c r="D196" s="193"/>
      <c r="E196" s="193"/>
      <c r="F196" s="193"/>
      <c r="G196" s="195"/>
      <c r="H196" s="195"/>
      <c r="I196" s="195"/>
      <c r="J196" s="195"/>
      <c r="K196" s="195"/>
      <c r="L196" s="195"/>
      <c r="M196" s="195"/>
      <c r="N196" s="195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</row>
    <row r="197">
      <c r="A197" s="193"/>
      <c r="B197" s="193"/>
      <c r="C197" s="193"/>
      <c r="D197" s="193"/>
      <c r="E197" s="193"/>
      <c r="F197" s="193"/>
      <c r="G197" s="195"/>
      <c r="H197" s="195"/>
      <c r="I197" s="195"/>
      <c r="J197" s="195"/>
      <c r="K197" s="195"/>
      <c r="L197" s="195"/>
      <c r="M197" s="195"/>
      <c r="N197" s="195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</row>
    <row r="198">
      <c r="A198" s="193"/>
      <c r="B198" s="193"/>
      <c r="C198" s="193"/>
      <c r="D198" s="193"/>
      <c r="E198" s="193"/>
      <c r="F198" s="193"/>
      <c r="G198" s="195"/>
      <c r="H198" s="195"/>
      <c r="I198" s="195"/>
      <c r="J198" s="195"/>
      <c r="K198" s="195"/>
      <c r="L198" s="195"/>
      <c r="M198" s="195"/>
      <c r="N198" s="195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</row>
    <row r="199">
      <c r="A199" s="193"/>
      <c r="B199" s="193"/>
      <c r="C199" s="193"/>
      <c r="D199" s="193"/>
      <c r="E199" s="193"/>
      <c r="F199" s="193"/>
      <c r="G199" s="195"/>
      <c r="H199" s="195"/>
      <c r="I199" s="195"/>
      <c r="J199" s="195"/>
      <c r="K199" s="195"/>
      <c r="L199" s="195"/>
      <c r="M199" s="195"/>
      <c r="N199" s="195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</row>
    <row r="200">
      <c r="A200" s="193"/>
      <c r="B200" s="193"/>
      <c r="C200" s="193"/>
      <c r="D200" s="193"/>
      <c r="E200" s="193"/>
      <c r="F200" s="193"/>
      <c r="G200" s="195"/>
      <c r="H200" s="195"/>
      <c r="I200" s="195"/>
      <c r="J200" s="195"/>
      <c r="K200" s="195"/>
      <c r="L200" s="195"/>
      <c r="M200" s="195"/>
      <c r="N200" s="195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</row>
    <row r="201">
      <c r="A201" s="193"/>
      <c r="B201" s="193"/>
      <c r="C201" s="193"/>
      <c r="D201" s="193"/>
      <c r="E201" s="193"/>
      <c r="F201" s="193"/>
      <c r="G201" s="195"/>
      <c r="H201" s="195"/>
      <c r="I201" s="195"/>
      <c r="J201" s="195"/>
      <c r="K201" s="195"/>
      <c r="L201" s="195"/>
      <c r="M201" s="195"/>
      <c r="N201" s="195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</row>
    <row r="202">
      <c r="A202" s="193"/>
      <c r="B202" s="193"/>
      <c r="C202" s="193"/>
      <c r="D202" s="193"/>
      <c r="E202" s="193"/>
      <c r="F202" s="193"/>
      <c r="G202" s="195"/>
      <c r="H202" s="195"/>
      <c r="I202" s="195"/>
      <c r="J202" s="195"/>
      <c r="K202" s="195"/>
      <c r="L202" s="195"/>
      <c r="M202" s="195"/>
      <c r="N202" s="195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</row>
    <row r="203">
      <c r="A203" s="193"/>
      <c r="B203" s="193"/>
      <c r="C203" s="193"/>
      <c r="D203" s="193"/>
      <c r="E203" s="193"/>
      <c r="F203" s="193"/>
      <c r="G203" s="195"/>
      <c r="H203" s="195"/>
      <c r="I203" s="195"/>
      <c r="J203" s="195"/>
      <c r="K203" s="195"/>
      <c r="L203" s="195"/>
      <c r="M203" s="195"/>
      <c r="N203" s="195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</row>
    <row r="204">
      <c r="A204" s="193"/>
      <c r="B204" s="193"/>
      <c r="C204" s="193"/>
      <c r="D204" s="193"/>
      <c r="E204" s="193"/>
      <c r="F204" s="193"/>
      <c r="G204" s="195"/>
      <c r="H204" s="195"/>
      <c r="I204" s="195"/>
      <c r="J204" s="195"/>
      <c r="K204" s="195"/>
      <c r="L204" s="195"/>
      <c r="M204" s="195"/>
      <c r="N204" s="195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</row>
    <row r="205">
      <c r="A205" s="193"/>
      <c r="B205" s="193"/>
      <c r="C205" s="193"/>
      <c r="D205" s="193"/>
      <c r="E205" s="193"/>
      <c r="F205" s="193"/>
      <c r="G205" s="195"/>
      <c r="H205" s="195"/>
      <c r="I205" s="195"/>
      <c r="J205" s="195"/>
      <c r="K205" s="195"/>
      <c r="L205" s="195"/>
      <c r="M205" s="195"/>
      <c r="N205" s="195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</row>
    <row r="206">
      <c r="A206" s="193"/>
      <c r="B206" s="193"/>
      <c r="C206" s="193"/>
      <c r="D206" s="193"/>
      <c r="E206" s="193"/>
      <c r="F206" s="193"/>
      <c r="G206" s="195"/>
      <c r="H206" s="195"/>
      <c r="I206" s="195"/>
      <c r="J206" s="195"/>
      <c r="K206" s="195"/>
      <c r="L206" s="195"/>
      <c r="M206" s="195"/>
      <c r="N206" s="195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</row>
    <row r="207">
      <c r="A207" s="193"/>
      <c r="B207" s="193"/>
      <c r="C207" s="193"/>
      <c r="D207" s="193"/>
      <c r="E207" s="193"/>
      <c r="F207" s="193"/>
      <c r="G207" s="195"/>
      <c r="H207" s="195"/>
      <c r="I207" s="195"/>
      <c r="J207" s="195"/>
      <c r="K207" s="195"/>
      <c r="L207" s="195"/>
      <c r="M207" s="195"/>
      <c r="N207" s="195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</row>
    <row r="208">
      <c r="A208" s="193"/>
      <c r="B208" s="193"/>
      <c r="C208" s="193"/>
      <c r="D208" s="193"/>
      <c r="E208" s="193"/>
      <c r="F208" s="193"/>
      <c r="G208" s="195"/>
      <c r="H208" s="195"/>
      <c r="I208" s="195"/>
      <c r="J208" s="195"/>
      <c r="K208" s="195"/>
      <c r="L208" s="195"/>
      <c r="M208" s="195"/>
      <c r="N208" s="195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</row>
    <row r="209">
      <c r="A209" s="193"/>
      <c r="B209" s="193"/>
      <c r="C209" s="193"/>
      <c r="D209" s="193"/>
      <c r="E209" s="193"/>
      <c r="F209" s="193"/>
      <c r="G209" s="195"/>
      <c r="H209" s="195"/>
      <c r="I209" s="195"/>
      <c r="J209" s="195"/>
      <c r="K209" s="195"/>
      <c r="L209" s="195"/>
      <c r="M209" s="195"/>
      <c r="N209" s="195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</row>
    <row r="210">
      <c r="A210" s="193"/>
      <c r="B210" s="193"/>
      <c r="C210" s="193"/>
      <c r="D210" s="193"/>
      <c r="E210" s="193"/>
      <c r="F210" s="193"/>
      <c r="G210" s="195"/>
      <c r="H210" s="195"/>
      <c r="I210" s="195"/>
      <c r="J210" s="195"/>
      <c r="K210" s="195"/>
      <c r="L210" s="195"/>
      <c r="M210" s="195"/>
      <c r="N210" s="195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</row>
    <row r="211">
      <c r="A211" s="193"/>
      <c r="B211" s="193"/>
      <c r="C211" s="193"/>
      <c r="D211" s="193"/>
      <c r="E211" s="193"/>
      <c r="F211" s="193"/>
      <c r="G211" s="195"/>
      <c r="H211" s="195"/>
      <c r="I211" s="195"/>
      <c r="J211" s="195"/>
      <c r="K211" s="195"/>
      <c r="L211" s="195"/>
      <c r="M211" s="195"/>
      <c r="N211" s="195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</row>
    <row r="212">
      <c r="A212" s="193"/>
      <c r="B212" s="193"/>
      <c r="C212" s="193"/>
      <c r="D212" s="193"/>
      <c r="E212" s="193"/>
      <c r="F212" s="193"/>
      <c r="G212" s="195"/>
      <c r="H212" s="195"/>
      <c r="I212" s="195"/>
      <c r="J212" s="195"/>
      <c r="K212" s="195"/>
      <c r="L212" s="195"/>
      <c r="M212" s="195"/>
      <c r="N212" s="195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</row>
    <row r="213">
      <c r="A213" s="193"/>
      <c r="B213" s="193"/>
      <c r="C213" s="193"/>
      <c r="D213" s="193"/>
      <c r="E213" s="193"/>
      <c r="F213" s="193"/>
      <c r="G213" s="195"/>
      <c r="H213" s="195"/>
      <c r="I213" s="195"/>
      <c r="J213" s="195"/>
      <c r="K213" s="195"/>
      <c r="L213" s="195"/>
      <c r="M213" s="195"/>
      <c r="N213" s="195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</row>
    <row r="214">
      <c r="A214" s="193"/>
      <c r="B214" s="193"/>
      <c r="C214" s="193"/>
      <c r="D214" s="193"/>
      <c r="E214" s="193"/>
      <c r="F214" s="193"/>
      <c r="G214" s="195"/>
      <c r="H214" s="195"/>
      <c r="I214" s="195"/>
      <c r="J214" s="195"/>
      <c r="K214" s="195"/>
      <c r="L214" s="195"/>
      <c r="M214" s="195"/>
      <c r="N214" s="195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</row>
    <row r="215">
      <c r="A215" s="193"/>
      <c r="B215" s="193"/>
      <c r="C215" s="193"/>
      <c r="D215" s="193"/>
      <c r="E215" s="193"/>
      <c r="F215" s="193"/>
      <c r="G215" s="195"/>
      <c r="H215" s="195"/>
      <c r="I215" s="195"/>
      <c r="J215" s="195"/>
      <c r="K215" s="195"/>
      <c r="L215" s="195"/>
      <c r="M215" s="195"/>
      <c r="N215" s="195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</row>
    <row r="216">
      <c r="A216" s="193"/>
      <c r="B216" s="193"/>
      <c r="C216" s="193"/>
      <c r="D216" s="193"/>
      <c r="E216" s="193"/>
      <c r="F216" s="193"/>
      <c r="G216" s="195"/>
      <c r="H216" s="195"/>
      <c r="I216" s="195"/>
      <c r="J216" s="195"/>
      <c r="K216" s="195"/>
      <c r="L216" s="195"/>
      <c r="M216" s="195"/>
      <c r="N216" s="195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</row>
    <row r="217">
      <c r="A217" s="193"/>
      <c r="B217" s="193"/>
      <c r="C217" s="193"/>
      <c r="D217" s="193"/>
      <c r="E217" s="193"/>
      <c r="F217" s="193"/>
      <c r="G217" s="195"/>
      <c r="H217" s="195"/>
      <c r="I217" s="195"/>
      <c r="J217" s="195"/>
      <c r="K217" s="195"/>
      <c r="L217" s="195"/>
      <c r="M217" s="195"/>
      <c r="N217" s="195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</row>
    <row r="218">
      <c r="A218" s="193"/>
      <c r="B218" s="193"/>
      <c r="C218" s="193"/>
      <c r="D218" s="193"/>
      <c r="E218" s="193"/>
      <c r="F218" s="193"/>
      <c r="G218" s="195"/>
      <c r="H218" s="195"/>
      <c r="I218" s="195"/>
      <c r="J218" s="195"/>
      <c r="K218" s="195"/>
      <c r="L218" s="195"/>
      <c r="M218" s="195"/>
      <c r="N218" s="195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</row>
    <row r="219">
      <c r="A219" s="193"/>
      <c r="B219" s="193"/>
      <c r="C219" s="193"/>
      <c r="D219" s="193"/>
      <c r="E219" s="193"/>
      <c r="F219" s="193"/>
      <c r="G219" s="195"/>
      <c r="H219" s="195"/>
      <c r="I219" s="195"/>
      <c r="J219" s="195"/>
      <c r="K219" s="195"/>
      <c r="L219" s="195"/>
      <c r="M219" s="195"/>
      <c r="N219" s="195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</row>
    <row r="220">
      <c r="A220" s="193"/>
      <c r="B220" s="193"/>
      <c r="C220" s="193"/>
      <c r="D220" s="193"/>
      <c r="E220" s="193"/>
      <c r="F220" s="193"/>
      <c r="G220" s="195"/>
      <c r="H220" s="195"/>
      <c r="I220" s="195"/>
      <c r="J220" s="195"/>
      <c r="K220" s="195"/>
      <c r="L220" s="195"/>
      <c r="M220" s="195"/>
      <c r="N220" s="195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</row>
    <row r="221">
      <c r="A221" s="193"/>
      <c r="B221" s="193"/>
      <c r="C221" s="193"/>
      <c r="D221" s="193"/>
      <c r="E221" s="193"/>
      <c r="F221" s="193"/>
      <c r="G221" s="195"/>
      <c r="H221" s="195"/>
      <c r="I221" s="195"/>
      <c r="J221" s="195"/>
      <c r="K221" s="195"/>
      <c r="L221" s="195"/>
      <c r="M221" s="195"/>
      <c r="N221" s="195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</row>
    <row r="222">
      <c r="A222" s="193"/>
      <c r="B222" s="193"/>
      <c r="C222" s="193"/>
      <c r="D222" s="193"/>
      <c r="E222" s="193"/>
      <c r="F222" s="193"/>
      <c r="G222" s="195"/>
      <c r="H222" s="195"/>
      <c r="I222" s="195"/>
      <c r="J222" s="195"/>
      <c r="K222" s="195"/>
      <c r="L222" s="195"/>
      <c r="M222" s="195"/>
      <c r="N222" s="195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</row>
    <row r="223">
      <c r="A223" s="193"/>
      <c r="B223" s="193"/>
      <c r="C223" s="193"/>
      <c r="D223" s="193"/>
      <c r="E223" s="193"/>
      <c r="F223" s="193"/>
      <c r="G223" s="195"/>
      <c r="H223" s="195"/>
      <c r="I223" s="195"/>
      <c r="J223" s="195"/>
      <c r="K223" s="195"/>
      <c r="L223" s="195"/>
      <c r="M223" s="195"/>
      <c r="N223" s="195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</row>
    <row r="224">
      <c r="A224" s="193"/>
      <c r="B224" s="193"/>
      <c r="C224" s="193"/>
      <c r="D224" s="193"/>
      <c r="E224" s="193"/>
      <c r="F224" s="193"/>
      <c r="G224" s="195"/>
      <c r="H224" s="195"/>
      <c r="I224" s="195"/>
      <c r="J224" s="195"/>
      <c r="K224" s="195"/>
      <c r="L224" s="195"/>
      <c r="M224" s="195"/>
      <c r="N224" s="195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</row>
    <row r="225">
      <c r="A225" s="193"/>
      <c r="B225" s="193"/>
      <c r="C225" s="193"/>
      <c r="D225" s="193"/>
      <c r="E225" s="193"/>
      <c r="F225" s="193"/>
      <c r="G225" s="195"/>
      <c r="H225" s="195"/>
      <c r="I225" s="195"/>
      <c r="J225" s="195"/>
      <c r="K225" s="195"/>
      <c r="L225" s="195"/>
      <c r="M225" s="195"/>
      <c r="N225" s="195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</row>
    <row r="226">
      <c r="A226" s="193"/>
      <c r="B226" s="193"/>
      <c r="C226" s="193"/>
      <c r="D226" s="193"/>
      <c r="E226" s="193"/>
      <c r="F226" s="193"/>
      <c r="G226" s="195"/>
      <c r="H226" s="195"/>
      <c r="I226" s="195"/>
      <c r="J226" s="195"/>
      <c r="K226" s="195"/>
      <c r="L226" s="195"/>
      <c r="M226" s="195"/>
      <c r="N226" s="195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</row>
    <row r="227">
      <c r="A227" s="193"/>
      <c r="B227" s="193"/>
      <c r="C227" s="193"/>
      <c r="D227" s="193"/>
      <c r="E227" s="193"/>
      <c r="F227" s="193"/>
      <c r="G227" s="195"/>
      <c r="H227" s="195"/>
      <c r="I227" s="195"/>
      <c r="J227" s="195"/>
      <c r="K227" s="195"/>
      <c r="L227" s="195"/>
      <c r="M227" s="195"/>
      <c r="N227" s="195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</row>
    <row r="228">
      <c r="A228" s="193"/>
      <c r="B228" s="193"/>
      <c r="C228" s="193"/>
      <c r="D228" s="193"/>
      <c r="E228" s="193"/>
      <c r="F228" s="193"/>
      <c r="G228" s="195"/>
      <c r="H228" s="195"/>
      <c r="I228" s="195"/>
      <c r="J228" s="195"/>
      <c r="K228" s="195"/>
      <c r="L228" s="195"/>
      <c r="M228" s="195"/>
      <c r="N228" s="195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</row>
    <row r="229">
      <c r="A229" s="193"/>
      <c r="B229" s="193"/>
      <c r="C229" s="193"/>
      <c r="D229" s="193"/>
      <c r="E229" s="193"/>
      <c r="F229" s="193"/>
      <c r="G229" s="195"/>
      <c r="H229" s="195"/>
      <c r="I229" s="195"/>
      <c r="J229" s="195"/>
      <c r="K229" s="195"/>
      <c r="L229" s="195"/>
      <c r="M229" s="195"/>
      <c r="N229" s="195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</row>
    <row r="230">
      <c r="A230" s="193"/>
      <c r="B230" s="193"/>
      <c r="C230" s="193"/>
      <c r="D230" s="193"/>
      <c r="E230" s="193"/>
      <c r="F230" s="193"/>
      <c r="G230" s="195"/>
      <c r="H230" s="195"/>
      <c r="I230" s="195"/>
      <c r="J230" s="195"/>
      <c r="K230" s="195"/>
      <c r="L230" s="195"/>
      <c r="M230" s="195"/>
      <c r="N230" s="195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</row>
    <row r="231">
      <c r="A231" s="193"/>
      <c r="B231" s="193"/>
      <c r="C231" s="193"/>
      <c r="D231" s="193"/>
      <c r="E231" s="193"/>
      <c r="F231" s="193"/>
      <c r="G231" s="195"/>
      <c r="H231" s="195"/>
      <c r="I231" s="195"/>
      <c r="J231" s="195"/>
      <c r="K231" s="195"/>
      <c r="L231" s="195"/>
      <c r="M231" s="195"/>
      <c r="N231" s="195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</row>
    <row r="232">
      <c r="A232" s="193"/>
      <c r="B232" s="193"/>
      <c r="C232" s="193"/>
      <c r="D232" s="193"/>
      <c r="E232" s="193"/>
      <c r="F232" s="193"/>
      <c r="G232" s="195"/>
      <c r="H232" s="195"/>
      <c r="I232" s="195"/>
      <c r="J232" s="195"/>
      <c r="K232" s="195"/>
      <c r="L232" s="195"/>
      <c r="M232" s="195"/>
      <c r="N232" s="195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</row>
    <row r="233">
      <c r="A233" s="193"/>
      <c r="B233" s="193"/>
      <c r="C233" s="193"/>
      <c r="D233" s="193"/>
      <c r="E233" s="193"/>
      <c r="F233" s="193"/>
      <c r="G233" s="195"/>
      <c r="H233" s="195"/>
      <c r="I233" s="195"/>
      <c r="J233" s="195"/>
      <c r="K233" s="195"/>
      <c r="L233" s="195"/>
      <c r="M233" s="195"/>
      <c r="N233" s="195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</row>
    <row r="234">
      <c r="A234" s="193"/>
      <c r="B234" s="193"/>
      <c r="C234" s="193"/>
      <c r="D234" s="193"/>
      <c r="E234" s="193"/>
      <c r="F234" s="193"/>
      <c r="G234" s="195"/>
      <c r="H234" s="195"/>
      <c r="I234" s="195"/>
      <c r="J234" s="195"/>
      <c r="K234" s="195"/>
      <c r="L234" s="195"/>
      <c r="M234" s="195"/>
      <c r="N234" s="195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</row>
    <row r="235">
      <c r="A235" s="193"/>
      <c r="B235" s="193"/>
      <c r="C235" s="193"/>
      <c r="D235" s="193"/>
      <c r="E235" s="193"/>
      <c r="F235" s="193"/>
      <c r="G235" s="195"/>
      <c r="H235" s="195"/>
      <c r="I235" s="195"/>
      <c r="J235" s="195"/>
      <c r="K235" s="195"/>
      <c r="L235" s="195"/>
      <c r="M235" s="195"/>
      <c r="N235" s="195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</row>
    <row r="236">
      <c r="A236" s="193"/>
      <c r="B236" s="193"/>
      <c r="C236" s="193"/>
      <c r="D236" s="193"/>
      <c r="E236" s="193"/>
      <c r="F236" s="193"/>
      <c r="G236" s="195"/>
      <c r="H236" s="195"/>
      <c r="I236" s="195"/>
      <c r="J236" s="195"/>
      <c r="K236" s="195"/>
      <c r="L236" s="195"/>
      <c r="M236" s="195"/>
      <c r="N236" s="195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</row>
    <row r="237">
      <c r="A237" s="193"/>
      <c r="B237" s="193"/>
      <c r="C237" s="193"/>
      <c r="D237" s="193"/>
      <c r="E237" s="193"/>
      <c r="F237" s="193"/>
      <c r="G237" s="195"/>
      <c r="H237" s="195"/>
      <c r="I237" s="195"/>
      <c r="J237" s="195"/>
      <c r="K237" s="195"/>
      <c r="L237" s="195"/>
      <c r="M237" s="195"/>
      <c r="N237" s="195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</row>
    <row r="238">
      <c r="A238" s="193"/>
      <c r="B238" s="193"/>
      <c r="C238" s="193"/>
      <c r="D238" s="193"/>
      <c r="E238" s="193"/>
      <c r="F238" s="193"/>
      <c r="G238" s="195"/>
      <c r="H238" s="195"/>
      <c r="I238" s="195"/>
      <c r="J238" s="195"/>
      <c r="K238" s="195"/>
      <c r="L238" s="195"/>
      <c r="M238" s="195"/>
      <c r="N238" s="195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</row>
    <row r="239">
      <c r="A239" s="193"/>
      <c r="B239" s="193"/>
      <c r="C239" s="193"/>
      <c r="D239" s="193"/>
      <c r="E239" s="193"/>
      <c r="F239" s="193"/>
      <c r="G239" s="195"/>
      <c r="H239" s="195"/>
      <c r="I239" s="195"/>
      <c r="J239" s="195"/>
      <c r="K239" s="195"/>
      <c r="L239" s="195"/>
      <c r="M239" s="195"/>
      <c r="N239" s="195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</row>
    <row r="240">
      <c r="A240" s="193"/>
      <c r="B240" s="193"/>
      <c r="C240" s="193"/>
      <c r="D240" s="193"/>
      <c r="E240" s="193"/>
      <c r="F240" s="193"/>
      <c r="G240" s="195"/>
      <c r="H240" s="195"/>
      <c r="I240" s="195"/>
      <c r="J240" s="195"/>
      <c r="K240" s="195"/>
      <c r="L240" s="195"/>
      <c r="M240" s="195"/>
      <c r="N240" s="195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</row>
    <row r="241">
      <c r="A241" s="193"/>
      <c r="B241" s="193"/>
      <c r="C241" s="193"/>
      <c r="D241" s="193"/>
      <c r="E241" s="193"/>
      <c r="F241" s="193"/>
      <c r="G241" s="195"/>
      <c r="H241" s="195"/>
      <c r="I241" s="195"/>
      <c r="J241" s="195"/>
      <c r="K241" s="195"/>
      <c r="L241" s="195"/>
      <c r="M241" s="195"/>
      <c r="N241" s="195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</row>
    <row r="242">
      <c r="A242" s="193"/>
      <c r="B242" s="193"/>
      <c r="C242" s="193"/>
      <c r="D242" s="193"/>
      <c r="E242" s="193"/>
      <c r="F242" s="193"/>
      <c r="G242" s="195"/>
      <c r="H242" s="195"/>
      <c r="I242" s="195"/>
      <c r="J242" s="195"/>
      <c r="K242" s="195"/>
      <c r="L242" s="195"/>
      <c r="M242" s="195"/>
      <c r="N242" s="195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</row>
    <row r="243">
      <c r="A243" s="193"/>
      <c r="B243" s="193"/>
      <c r="C243" s="193"/>
      <c r="D243" s="193"/>
      <c r="E243" s="193"/>
      <c r="F243" s="193"/>
      <c r="G243" s="195"/>
      <c r="H243" s="195"/>
      <c r="I243" s="195"/>
      <c r="J243" s="195"/>
      <c r="K243" s="195"/>
      <c r="L243" s="195"/>
      <c r="M243" s="195"/>
      <c r="N243" s="195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</row>
    <row r="244">
      <c r="A244" s="193"/>
      <c r="B244" s="193"/>
      <c r="C244" s="193"/>
      <c r="D244" s="193"/>
      <c r="E244" s="193"/>
      <c r="F244" s="193"/>
      <c r="G244" s="195"/>
      <c r="H244" s="195"/>
      <c r="I244" s="195"/>
      <c r="J244" s="195"/>
      <c r="K244" s="195"/>
      <c r="L244" s="195"/>
      <c r="M244" s="195"/>
      <c r="N244" s="195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</row>
    <row r="245">
      <c r="A245" s="193"/>
      <c r="B245" s="193"/>
      <c r="C245" s="193"/>
      <c r="D245" s="193"/>
      <c r="E245" s="193"/>
      <c r="F245" s="193"/>
      <c r="G245" s="195"/>
      <c r="H245" s="195"/>
      <c r="I245" s="195"/>
      <c r="J245" s="195"/>
      <c r="K245" s="195"/>
      <c r="L245" s="195"/>
      <c r="M245" s="195"/>
      <c r="N245" s="195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</row>
    <row r="246">
      <c r="A246" s="193"/>
      <c r="B246" s="193"/>
      <c r="C246" s="193"/>
      <c r="D246" s="193"/>
      <c r="E246" s="193"/>
      <c r="F246" s="193"/>
      <c r="G246" s="195"/>
      <c r="H246" s="195"/>
      <c r="I246" s="195"/>
      <c r="J246" s="195"/>
      <c r="K246" s="195"/>
      <c r="L246" s="195"/>
      <c r="M246" s="195"/>
      <c r="N246" s="195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</row>
    <row r="247">
      <c r="A247" s="193"/>
      <c r="B247" s="193"/>
      <c r="C247" s="193"/>
      <c r="D247" s="193"/>
      <c r="E247" s="193"/>
      <c r="F247" s="193"/>
      <c r="G247" s="195"/>
      <c r="H247" s="195"/>
      <c r="I247" s="195"/>
      <c r="J247" s="195"/>
      <c r="K247" s="195"/>
      <c r="L247" s="195"/>
      <c r="M247" s="195"/>
      <c r="N247" s="195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</row>
    <row r="248">
      <c r="A248" s="193"/>
      <c r="B248" s="193"/>
      <c r="C248" s="193"/>
      <c r="D248" s="193"/>
      <c r="E248" s="193"/>
      <c r="F248" s="193"/>
      <c r="G248" s="195"/>
      <c r="H248" s="195"/>
      <c r="I248" s="195"/>
      <c r="J248" s="195"/>
      <c r="K248" s="195"/>
      <c r="L248" s="195"/>
      <c r="M248" s="195"/>
      <c r="N248" s="195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</row>
    <row r="249">
      <c r="A249" s="193"/>
      <c r="B249" s="193"/>
      <c r="C249" s="193"/>
      <c r="D249" s="193"/>
      <c r="E249" s="193"/>
      <c r="F249" s="193"/>
      <c r="G249" s="195"/>
      <c r="H249" s="195"/>
      <c r="I249" s="195"/>
      <c r="J249" s="195"/>
      <c r="K249" s="195"/>
      <c r="L249" s="195"/>
      <c r="M249" s="195"/>
      <c r="N249" s="195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</row>
    <row r="250">
      <c r="A250" s="193"/>
      <c r="B250" s="193"/>
      <c r="C250" s="193"/>
      <c r="D250" s="193"/>
      <c r="E250" s="193"/>
      <c r="F250" s="193"/>
      <c r="G250" s="195"/>
      <c r="H250" s="195"/>
      <c r="I250" s="195"/>
      <c r="J250" s="195"/>
      <c r="K250" s="195"/>
      <c r="L250" s="195"/>
      <c r="M250" s="195"/>
      <c r="N250" s="195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</row>
    <row r="251">
      <c r="A251" s="193"/>
      <c r="B251" s="193"/>
      <c r="C251" s="193"/>
      <c r="D251" s="193"/>
      <c r="E251" s="193"/>
      <c r="F251" s="193"/>
      <c r="G251" s="195"/>
      <c r="H251" s="195"/>
      <c r="I251" s="195"/>
      <c r="J251" s="195"/>
      <c r="K251" s="195"/>
      <c r="L251" s="195"/>
      <c r="M251" s="195"/>
      <c r="N251" s="195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</row>
    <row r="252">
      <c r="A252" s="193"/>
      <c r="B252" s="193"/>
      <c r="C252" s="193"/>
      <c r="D252" s="193"/>
      <c r="E252" s="193"/>
      <c r="F252" s="193"/>
      <c r="G252" s="195"/>
      <c r="H252" s="195"/>
      <c r="I252" s="195"/>
      <c r="J252" s="195"/>
      <c r="K252" s="195"/>
      <c r="L252" s="195"/>
      <c r="M252" s="195"/>
      <c r="N252" s="195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</row>
    <row r="253">
      <c r="A253" s="193"/>
      <c r="B253" s="193"/>
      <c r="C253" s="193"/>
      <c r="D253" s="193"/>
      <c r="E253" s="193"/>
      <c r="F253" s="193"/>
      <c r="G253" s="195"/>
      <c r="H253" s="195"/>
      <c r="I253" s="195"/>
      <c r="J253" s="195"/>
      <c r="K253" s="195"/>
      <c r="L253" s="195"/>
      <c r="M253" s="195"/>
      <c r="N253" s="195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</row>
    <row r="254">
      <c r="A254" s="193"/>
      <c r="B254" s="193"/>
      <c r="C254" s="193"/>
      <c r="D254" s="193"/>
      <c r="E254" s="193"/>
      <c r="F254" s="193"/>
      <c r="G254" s="195"/>
      <c r="H254" s="195"/>
      <c r="I254" s="195"/>
      <c r="J254" s="195"/>
      <c r="K254" s="195"/>
      <c r="L254" s="195"/>
      <c r="M254" s="195"/>
      <c r="N254" s="195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</row>
    <row r="255">
      <c r="A255" s="193"/>
      <c r="B255" s="193"/>
      <c r="C255" s="193"/>
      <c r="D255" s="193"/>
      <c r="E255" s="193"/>
      <c r="F255" s="193"/>
      <c r="G255" s="195"/>
      <c r="H255" s="195"/>
      <c r="I255" s="195"/>
      <c r="J255" s="195"/>
      <c r="K255" s="195"/>
      <c r="L255" s="195"/>
      <c r="M255" s="195"/>
      <c r="N255" s="195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</row>
    <row r="256">
      <c r="A256" s="193"/>
      <c r="B256" s="193"/>
      <c r="C256" s="193"/>
      <c r="D256" s="193"/>
      <c r="E256" s="193"/>
      <c r="F256" s="193"/>
      <c r="G256" s="195"/>
      <c r="H256" s="195"/>
      <c r="I256" s="195"/>
      <c r="J256" s="195"/>
      <c r="K256" s="195"/>
      <c r="L256" s="195"/>
      <c r="M256" s="195"/>
      <c r="N256" s="195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</row>
    <row r="257">
      <c r="A257" s="193"/>
      <c r="B257" s="193"/>
      <c r="C257" s="193"/>
      <c r="D257" s="193"/>
      <c r="E257" s="193"/>
      <c r="F257" s="193"/>
      <c r="G257" s="195"/>
      <c r="H257" s="195"/>
      <c r="I257" s="195"/>
      <c r="J257" s="195"/>
      <c r="K257" s="195"/>
      <c r="L257" s="195"/>
      <c r="M257" s="195"/>
      <c r="N257" s="195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</row>
    <row r="258">
      <c r="A258" s="193"/>
      <c r="B258" s="193"/>
      <c r="C258" s="193"/>
      <c r="D258" s="193"/>
      <c r="E258" s="193"/>
      <c r="F258" s="193"/>
      <c r="G258" s="195"/>
      <c r="H258" s="195"/>
      <c r="I258" s="195"/>
      <c r="J258" s="195"/>
      <c r="K258" s="195"/>
      <c r="L258" s="195"/>
      <c r="M258" s="195"/>
      <c r="N258" s="195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</row>
    <row r="259">
      <c r="A259" s="193"/>
      <c r="B259" s="193"/>
      <c r="C259" s="193"/>
      <c r="D259" s="193"/>
      <c r="E259" s="193"/>
      <c r="F259" s="193"/>
      <c r="G259" s="195"/>
      <c r="H259" s="195"/>
      <c r="I259" s="195"/>
      <c r="J259" s="195"/>
      <c r="K259" s="195"/>
      <c r="L259" s="195"/>
      <c r="M259" s="195"/>
      <c r="N259" s="195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</row>
    <row r="260">
      <c r="A260" s="193"/>
      <c r="B260" s="193"/>
      <c r="C260" s="193"/>
      <c r="D260" s="193"/>
      <c r="E260" s="193"/>
      <c r="F260" s="193"/>
      <c r="G260" s="195"/>
      <c r="H260" s="195"/>
      <c r="I260" s="195"/>
      <c r="J260" s="195"/>
      <c r="K260" s="195"/>
      <c r="L260" s="195"/>
      <c r="M260" s="195"/>
      <c r="N260" s="195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</row>
    <row r="261">
      <c r="A261" s="193"/>
      <c r="B261" s="193"/>
      <c r="C261" s="193"/>
      <c r="D261" s="193"/>
      <c r="E261" s="193"/>
      <c r="F261" s="193"/>
      <c r="G261" s="195"/>
      <c r="H261" s="195"/>
      <c r="I261" s="195"/>
      <c r="J261" s="195"/>
      <c r="K261" s="195"/>
      <c r="L261" s="195"/>
      <c r="M261" s="195"/>
      <c r="N261" s="195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</row>
    <row r="262">
      <c r="A262" s="193"/>
      <c r="B262" s="193"/>
      <c r="C262" s="193"/>
      <c r="D262" s="193"/>
      <c r="E262" s="193"/>
      <c r="F262" s="193"/>
      <c r="G262" s="195"/>
      <c r="H262" s="195"/>
      <c r="I262" s="195"/>
      <c r="J262" s="195"/>
      <c r="K262" s="195"/>
      <c r="L262" s="195"/>
      <c r="M262" s="195"/>
      <c r="N262" s="195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</row>
    <row r="263">
      <c r="A263" s="193"/>
      <c r="B263" s="193"/>
      <c r="C263" s="193"/>
      <c r="D263" s="193"/>
      <c r="E263" s="193"/>
      <c r="F263" s="193"/>
      <c r="G263" s="195"/>
      <c r="H263" s="195"/>
      <c r="I263" s="195"/>
      <c r="J263" s="195"/>
      <c r="K263" s="195"/>
      <c r="L263" s="195"/>
      <c r="M263" s="195"/>
      <c r="N263" s="195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</row>
    <row r="264">
      <c r="A264" s="193"/>
      <c r="B264" s="193"/>
      <c r="C264" s="193"/>
      <c r="D264" s="193"/>
      <c r="E264" s="193"/>
      <c r="F264" s="193"/>
      <c r="G264" s="195"/>
      <c r="H264" s="195"/>
      <c r="I264" s="195"/>
      <c r="J264" s="195"/>
      <c r="K264" s="195"/>
      <c r="L264" s="195"/>
      <c r="M264" s="195"/>
      <c r="N264" s="195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</row>
    <row r="265">
      <c r="A265" s="193"/>
      <c r="B265" s="193"/>
      <c r="C265" s="193"/>
      <c r="D265" s="193"/>
      <c r="E265" s="193"/>
      <c r="F265" s="193"/>
      <c r="G265" s="195"/>
      <c r="H265" s="195"/>
      <c r="I265" s="195"/>
      <c r="J265" s="195"/>
      <c r="K265" s="195"/>
      <c r="L265" s="195"/>
      <c r="M265" s="195"/>
      <c r="N265" s="195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</row>
    <row r="266">
      <c r="A266" s="193"/>
      <c r="B266" s="193"/>
      <c r="C266" s="193"/>
      <c r="D266" s="193"/>
      <c r="E266" s="193"/>
      <c r="F266" s="193"/>
      <c r="G266" s="195"/>
      <c r="H266" s="195"/>
      <c r="I266" s="195"/>
      <c r="J266" s="195"/>
      <c r="K266" s="195"/>
      <c r="L266" s="195"/>
      <c r="M266" s="195"/>
      <c r="N266" s="195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</row>
    <row r="267">
      <c r="A267" s="193"/>
      <c r="B267" s="193"/>
      <c r="C267" s="193"/>
      <c r="D267" s="193"/>
      <c r="E267" s="193"/>
      <c r="F267" s="193"/>
      <c r="G267" s="195"/>
      <c r="H267" s="195"/>
      <c r="I267" s="195"/>
      <c r="J267" s="195"/>
      <c r="K267" s="195"/>
      <c r="L267" s="195"/>
      <c r="M267" s="195"/>
      <c r="N267" s="195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</row>
    <row r="268">
      <c r="A268" s="193"/>
      <c r="B268" s="193"/>
      <c r="C268" s="193"/>
      <c r="D268" s="193"/>
      <c r="E268" s="193"/>
      <c r="F268" s="193"/>
      <c r="G268" s="195"/>
      <c r="H268" s="195"/>
      <c r="I268" s="195"/>
      <c r="J268" s="195"/>
      <c r="K268" s="195"/>
      <c r="L268" s="195"/>
      <c r="M268" s="195"/>
      <c r="N268" s="195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</row>
    <row r="269">
      <c r="A269" s="193"/>
      <c r="B269" s="193"/>
      <c r="C269" s="193"/>
      <c r="D269" s="193"/>
      <c r="E269" s="193"/>
      <c r="F269" s="193"/>
      <c r="G269" s="195"/>
      <c r="H269" s="195"/>
      <c r="I269" s="195"/>
      <c r="J269" s="195"/>
      <c r="K269" s="195"/>
      <c r="L269" s="195"/>
      <c r="M269" s="195"/>
      <c r="N269" s="195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</row>
    <row r="270">
      <c r="A270" s="193"/>
      <c r="B270" s="193"/>
      <c r="C270" s="193"/>
      <c r="D270" s="193"/>
      <c r="E270" s="193"/>
      <c r="F270" s="193"/>
      <c r="G270" s="195"/>
      <c r="H270" s="195"/>
      <c r="I270" s="195"/>
      <c r="J270" s="195"/>
      <c r="K270" s="195"/>
      <c r="L270" s="195"/>
      <c r="M270" s="195"/>
      <c r="N270" s="195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</row>
    <row r="271">
      <c r="A271" s="193"/>
      <c r="B271" s="193"/>
      <c r="C271" s="193"/>
      <c r="D271" s="193"/>
      <c r="E271" s="193"/>
      <c r="F271" s="193"/>
      <c r="G271" s="195"/>
      <c r="H271" s="195"/>
      <c r="I271" s="195"/>
      <c r="J271" s="195"/>
      <c r="K271" s="195"/>
      <c r="L271" s="195"/>
      <c r="M271" s="195"/>
      <c r="N271" s="195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</row>
    <row r="272">
      <c r="A272" s="193"/>
      <c r="B272" s="193"/>
      <c r="C272" s="193"/>
      <c r="D272" s="193"/>
      <c r="E272" s="193"/>
      <c r="F272" s="193"/>
      <c r="G272" s="195"/>
      <c r="H272" s="195"/>
      <c r="I272" s="195"/>
      <c r="J272" s="195"/>
      <c r="K272" s="195"/>
      <c r="L272" s="195"/>
      <c r="M272" s="195"/>
      <c r="N272" s="195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</row>
    <row r="273">
      <c r="A273" s="193"/>
      <c r="B273" s="193"/>
      <c r="C273" s="193"/>
      <c r="D273" s="193"/>
      <c r="E273" s="193"/>
      <c r="F273" s="193"/>
      <c r="G273" s="195"/>
      <c r="H273" s="195"/>
      <c r="I273" s="195"/>
      <c r="J273" s="195"/>
      <c r="K273" s="195"/>
      <c r="L273" s="195"/>
      <c r="M273" s="195"/>
      <c r="N273" s="195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</row>
    <row r="274">
      <c r="A274" s="193"/>
      <c r="B274" s="193"/>
      <c r="C274" s="193"/>
      <c r="D274" s="193"/>
      <c r="E274" s="193"/>
      <c r="F274" s="193"/>
      <c r="G274" s="195"/>
      <c r="H274" s="195"/>
      <c r="I274" s="195"/>
      <c r="J274" s="195"/>
      <c r="K274" s="195"/>
      <c r="L274" s="195"/>
      <c r="M274" s="195"/>
      <c r="N274" s="195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</row>
    <row r="275">
      <c r="A275" s="193"/>
      <c r="B275" s="193"/>
      <c r="C275" s="193"/>
      <c r="D275" s="193"/>
      <c r="E275" s="193"/>
      <c r="F275" s="193"/>
      <c r="G275" s="195"/>
      <c r="H275" s="195"/>
      <c r="I275" s="195"/>
      <c r="J275" s="195"/>
      <c r="K275" s="195"/>
      <c r="L275" s="195"/>
      <c r="M275" s="195"/>
      <c r="N275" s="195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</row>
    <row r="276">
      <c r="A276" s="193"/>
      <c r="B276" s="193"/>
      <c r="C276" s="193"/>
      <c r="D276" s="193"/>
      <c r="E276" s="193"/>
      <c r="F276" s="193"/>
      <c r="G276" s="195"/>
      <c r="H276" s="195"/>
      <c r="I276" s="195"/>
      <c r="J276" s="195"/>
      <c r="K276" s="195"/>
      <c r="L276" s="195"/>
      <c r="M276" s="195"/>
      <c r="N276" s="195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</row>
    <row r="277">
      <c r="A277" s="193"/>
      <c r="B277" s="193"/>
      <c r="C277" s="193"/>
      <c r="D277" s="193"/>
      <c r="E277" s="193"/>
      <c r="F277" s="193"/>
      <c r="G277" s="195"/>
      <c r="H277" s="195"/>
      <c r="I277" s="195"/>
      <c r="J277" s="195"/>
      <c r="K277" s="195"/>
      <c r="L277" s="195"/>
      <c r="M277" s="195"/>
      <c r="N277" s="195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</row>
    <row r="278">
      <c r="A278" s="193"/>
      <c r="B278" s="193"/>
      <c r="C278" s="193"/>
      <c r="D278" s="193"/>
      <c r="E278" s="193"/>
      <c r="F278" s="193"/>
      <c r="G278" s="195"/>
      <c r="H278" s="195"/>
      <c r="I278" s="195"/>
      <c r="J278" s="195"/>
      <c r="K278" s="195"/>
      <c r="L278" s="195"/>
      <c r="M278" s="195"/>
      <c r="N278" s="195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</row>
    <row r="279">
      <c r="A279" s="193"/>
      <c r="B279" s="193"/>
      <c r="C279" s="193"/>
      <c r="D279" s="193"/>
      <c r="E279" s="193"/>
      <c r="F279" s="193"/>
      <c r="G279" s="195"/>
      <c r="H279" s="195"/>
      <c r="I279" s="195"/>
      <c r="J279" s="195"/>
      <c r="K279" s="195"/>
      <c r="L279" s="195"/>
      <c r="M279" s="195"/>
      <c r="N279" s="195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</row>
    <row r="280">
      <c r="A280" s="193"/>
      <c r="B280" s="193"/>
      <c r="C280" s="193"/>
      <c r="D280" s="193"/>
      <c r="E280" s="193"/>
      <c r="F280" s="193"/>
      <c r="G280" s="195"/>
      <c r="H280" s="195"/>
      <c r="I280" s="195"/>
      <c r="J280" s="195"/>
      <c r="K280" s="195"/>
      <c r="L280" s="195"/>
      <c r="M280" s="195"/>
      <c r="N280" s="195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</row>
    <row r="281">
      <c r="A281" s="193"/>
      <c r="B281" s="193"/>
      <c r="C281" s="193"/>
      <c r="D281" s="193"/>
      <c r="E281" s="193"/>
      <c r="F281" s="193"/>
      <c r="G281" s="195"/>
      <c r="H281" s="195"/>
      <c r="I281" s="195"/>
      <c r="J281" s="195"/>
      <c r="K281" s="195"/>
      <c r="L281" s="195"/>
      <c r="M281" s="195"/>
      <c r="N281" s="195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</row>
    <row r="282">
      <c r="A282" s="193"/>
      <c r="B282" s="193"/>
      <c r="C282" s="193"/>
      <c r="D282" s="193"/>
      <c r="E282" s="193"/>
      <c r="F282" s="193"/>
      <c r="G282" s="195"/>
      <c r="H282" s="195"/>
      <c r="I282" s="195"/>
      <c r="J282" s="195"/>
      <c r="K282" s="195"/>
      <c r="L282" s="195"/>
      <c r="M282" s="195"/>
      <c r="N282" s="195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</row>
    <row r="283">
      <c r="A283" s="193"/>
      <c r="B283" s="193"/>
      <c r="C283" s="193"/>
      <c r="D283" s="193"/>
      <c r="E283" s="193"/>
      <c r="F283" s="193"/>
      <c r="G283" s="195"/>
      <c r="H283" s="195"/>
      <c r="I283" s="195"/>
      <c r="J283" s="195"/>
      <c r="K283" s="195"/>
      <c r="L283" s="195"/>
      <c r="M283" s="195"/>
      <c r="N283" s="195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</row>
    <row r="284">
      <c r="A284" s="193"/>
      <c r="B284" s="193"/>
      <c r="C284" s="193"/>
      <c r="D284" s="193"/>
      <c r="E284" s="193"/>
      <c r="F284" s="193"/>
      <c r="G284" s="195"/>
      <c r="H284" s="195"/>
      <c r="I284" s="195"/>
      <c r="J284" s="195"/>
      <c r="K284" s="195"/>
      <c r="L284" s="195"/>
      <c r="M284" s="195"/>
      <c r="N284" s="195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</row>
    <row r="285">
      <c r="A285" s="193"/>
      <c r="B285" s="193"/>
      <c r="C285" s="193"/>
      <c r="D285" s="193"/>
      <c r="E285" s="193"/>
      <c r="F285" s="193"/>
      <c r="G285" s="195"/>
      <c r="H285" s="195"/>
      <c r="I285" s="195"/>
      <c r="J285" s="195"/>
      <c r="K285" s="195"/>
      <c r="L285" s="195"/>
      <c r="M285" s="195"/>
      <c r="N285" s="195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</row>
    <row r="286">
      <c r="A286" s="193"/>
      <c r="B286" s="193"/>
      <c r="C286" s="193"/>
      <c r="D286" s="193"/>
      <c r="E286" s="193"/>
      <c r="F286" s="193"/>
      <c r="G286" s="195"/>
      <c r="H286" s="195"/>
      <c r="I286" s="195"/>
      <c r="J286" s="195"/>
      <c r="K286" s="195"/>
      <c r="L286" s="195"/>
      <c r="M286" s="195"/>
      <c r="N286" s="195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</row>
    <row r="287">
      <c r="A287" s="193"/>
      <c r="B287" s="193"/>
      <c r="C287" s="193"/>
      <c r="D287" s="193"/>
      <c r="E287" s="193"/>
      <c r="F287" s="193"/>
      <c r="G287" s="195"/>
      <c r="H287" s="195"/>
      <c r="I287" s="195"/>
      <c r="J287" s="195"/>
      <c r="K287" s="195"/>
      <c r="L287" s="195"/>
      <c r="M287" s="195"/>
      <c r="N287" s="195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</row>
    <row r="288">
      <c r="A288" s="193"/>
      <c r="B288" s="193"/>
      <c r="C288" s="193"/>
      <c r="D288" s="193"/>
      <c r="E288" s="193"/>
      <c r="F288" s="193"/>
      <c r="G288" s="195"/>
      <c r="H288" s="195"/>
      <c r="I288" s="195"/>
      <c r="J288" s="195"/>
      <c r="K288" s="195"/>
      <c r="L288" s="195"/>
      <c r="M288" s="195"/>
      <c r="N288" s="195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</row>
    <row r="289">
      <c r="A289" s="193"/>
      <c r="B289" s="193"/>
      <c r="C289" s="193"/>
      <c r="D289" s="193"/>
      <c r="E289" s="193"/>
      <c r="F289" s="193"/>
      <c r="G289" s="195"/>
      <c r="H289" s="195"/>
      <c r="I289" s="195"/>
      <c r="J289" s="195"/>
      <c r="K289" s="195"/>
      <c r="L289" s="195"/>
      <c r="M289" s="195"/>
      <c r="N289" s="195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</row>
    <row r="290">
      <c r="A290" s="193"/>
      <c r="B290" s="193"/>
      <c r="C290" s="193"/>
      <c r="D290" s="193"/>
      <c r="E290" s="193"/>
      <c r="F290" s="193"/>
      <c r="G290" s="195"/>
      <c r="H290" s="195"/>
      <c r="I290" s="195"/>
      <c r="J290" s="195"/>
      <c r="K290" s="195"/>
      <c r="L290" s="195"/>
      <c r="M290" s="195"/>
      <c r="N290" s="195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</row>
    <row r="291">
      <c r="A291" s="193"/>
      <c r="B291" s="193"/>
      <c r="C291" s="193"/>
      <c r="D291" s="193"/>
      <c r="E291" s="193"/>
      <c r="F291" s="193"/>
      <c r="G291" s="195"/>
      <c r="H291" s="195"/>
      <c r="I291" s="195"/>
      <c r="J291" s="195"/>
      <c r="K291" s="195"/>
      <c r="L291" s="195"/>
      <c r="M291" s="195"/>
      <c r="N291" s="195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</row>
    <row r="292">
      <c r="A292" s="193"/>
      <c r="B292" s="193"/>
      <c r="C292" s="193"/>
      <c r="D292" s="193"/>
      <c r="E292" s="193"/>
      <c r="F292" s="193"/>
      <c r="G292" s="195"/>
      <c r="H292" s="195"/>
      <c r="I292" s="195"/>
      <c r="J292" s="195"/>
      <c r="K292" s="195"/>
      <c r="L292" s="195"/>
      <c r="M292" s="195"/>
      <c r="N292" s="195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</row>
    <row r="293">
      <c r="A293" s="193"/>
      <c r="B293" s="193"/>
      <c r="C293" s="193"/>
      <c r="D293" s="193"/>
      <c r="E293" s="193"/>
      <c r="F293" s="193"/>
      <c r="G293" s="195"/>
      <c r="H293" s="195"/>
      <c r="I293" s="195"/>
      <c r="J293" s="195"/>
      <c r="K293" s="195"/>
      <c r="L293" s="195"/>
      <c r="M293" s="195"/>
      <c r="N293" s="195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</row>
    <row r="294">
      <c r="A294" s="193"/>
      <c r="B294" s="193"/>
      <c r="C294" s="193"/>
      <c r="D294" s="193"/>
      <c r="E294" s="193"/>
      <c r="F294" s="193"/>
      <c r="G294" s="195"/>
      <c r="H294" s="195"/>
      <c r="I294" s="195"/>
      <c r="J294" s="195"/>
      <c r="K294" s="195"/>
      <c r="L294" s="195"/>
      <c r="M294" s="195"/>
      <c r="N294" s="195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</row>
    <row r="295">
      <c r="A295" s="193"/>
      <c r="B295" s="193"/>
      <c r="C295" s="193"/>
      <c r="D295" s="193"/>
      <c r="E295" s="193"/>
      <c r="F295" s="193"/>
      <c r="G295" s="195"/>
      <c r="H295" s="195"/>
      <c r="I295" s="195"/>
      <c r="J295" s="195"/>
      <c r="K295" s="195"/>
      <c r="L295" s="195"/>
      <c r="M295" s="195"/>
      <c r="N295" s="195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</row>
    <row r="296">
      <c r="A296" s="193"/>
      <c r="B296" s="193"/>
      <c r="C296" s="193"/>
      <c r="D296" s="193"/>
      <c r="E296" s="193"/>
      <c r="F296" s="193"/>
      <c r="G296" s="195"/>
      <c r="H296" s="195"/>
      <c r="I296" s="195"/>
      <c r="J296" s="195"/>
      <c r="K296" s="195"/>
      <c r="L296" s="195"/>
      <c r="M296" s="195"/>
      <c r="N296" s="195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</row>
    <row r="297">
      <c r="A297" s="193"/>
      <c r="B297" s="193"/>
      <c r="C297" s="193"/>
      <c r="D297" s="193"/>
      <c r="E297" s="193"/>
      <c r="F297" s="193"/>
      <c r="G297" s="195"/>
      <c r="H297" s="195"/>
      <c r="I297" s="195"/>
      <c r="J297" s="195"/>
      <c r="K297" s="195"/>
      <c r="L297" s="195"/>
      <c r="M297" s="195"/>
      <c r="N297" s="195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</row>
    <row r="298">
      <c r="A298" s="193"/>
      <c r="B298" s="193"/>
      <c r="C298" s="193"/>
      <c r="D298" s="193"/>
      <c r="E298" s="193"/>
      <c r="F298" s="193"/>
      <c r="G298" s="195"/>
      <c r="H298" s="195"/>
      <c r="I298" s="195"/>
      <c r="J298" s="195"/>
      <c r="K298" s="195"/>
      <c r="L298" s="195"/>
      <c r="M298" s="195"/>
      <c r="N298" s="195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</row>
    <row r="299">
      <c r="A299" s="193"/>
      <c r="B299" s="193"/>
      <c r="C299" s="193"/>
      <c r="D299" s="193"/>
      <c r="E299" s="193"/>
      <c r="F299" s="193"/>
      <c r="G299" s="195"/>
      <c r="H299" s="195"/>
      <c r="I299" s="195"/>
      <c r="J299" s="195"/>
      <c r="K299" s="195"/>
      <c r="L299" s="195"/>
      <c r="M299" s="195"/>
      <c r="N299" s="195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</row>
    <row r="300">
      <c r="A300" s="193"/>
      <c r="B300" s="193"/>
      <c r="C300" s="193"/>
      <c r="D300" s="193"/>
      <c r="E300" s="193"/>
      <c r="F300" s="193"/>
      <c r="G300" s="195"/>
      <c r="H300" s="195"/>
      <c r="I300" s="195"/>
      <c r="J300" s="195"/>
      <c r="K300" s="195"/>
      <c r="L300" s="195"/>
      <c r="M300" s="195"/>
      <c r="N300" s="195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</row>
    <row r="301">
      <c r="A301" s="193"/>
      <c r="B301" s="193"/>
      <c r="C301" s="193"/>
      <c r="D301" s="193"/>
      <c r="E301" s="193"/>
      <c r="F301" s="193"/>
      <c r="G301" s="195"/>
      <c r="H301" s="195"/>
      <c r="I301" s="195"/>
      <c r="J301" s="195"/>
      <c r="K301" s="195"/>
      <c r="L301" s="195"/>
      <c r="M301" s="195"/>
      <c r="N301" s="195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</row>
    <row r="302">
      <c r="A302" s="193"/>
      <c r="B302" s="193"/>
      <c r="C302" s="193"/>
      <c r="D302" s="193"/>
      <c r="E302" s="193"/>
      <c r="F302" s="193"/>
      <c r="G302" s="195"/>
      <c r="H302" s="195"/>
      <c r="I302" s="195"/>
      <c r="J302" s="195"/>
      <c r="K302" s="195"/>
      <c r="L302" s="195"/>
      <c r="M302" s="195"/>
      <c r="N302" s="195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</row>
    <row r="303">
      <c r="A303" s="193"/>
      <c r="B303" s="193"/>
      <c r="C303" s="193"/>
      <c r="D303" s="193"/>
      <c r="E303" s="193"/>
      <c r="F303" s="193"/>
      <c r="G303" s="195"/>
      <c r="H303" s="195"/>
      <c r="I303" s="195"/>
      <c r="J303" s="195"/>
      <c r="K303" s="195"/>
      <c r="L303" s="195"/>
      <c r="M303" s="195"/>
      <c r="N303" s="195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</row>
    <row r="304">
      <c r="A304" s="193"/>
      <c r="B304" s="193"/>
      <c r="C304" s="193"/>
      <c r="D304" s="193"/>
      <c r="E304" s="193"/>
      <c r="F304" s="193"/>
      <c r="G304" s="195"/>
      <c r="H304" s="195"/>
      <c r="I304" s="195"/>
      <c r="J304" s="195"/>
      <c r="K304" s="195"/>
      <c r="L304" s="195"/>
      <c r="M304" s="195"/>
      <c r="N304" s="195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</row>
    <row r="305">
      <c r="A305" s="193"/>
      <c r="B305" s="193"/>
      <c r="C305" s="193"/>
      <c r="D305" s="193"/>
      <c r="E305" s="193"/>
      <c r="F305" s="193"/>
      <c r="G305" s="195"/>
      <c r="H305" s="195"/>
      <c r="I305" s="195"/>
      <c r="J305" s="195"/>
      <c r="K305" s="195"/>
      <c r="L305" s="195"/>
      <c r="M305" s="195"/>
      <c r="N305" s="195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</row>
    <row r="306">
      <c r="A306" s="193"/>
      <c r="B306" s="193"/>
      <c r="C306" s="193"/>
      <c r="D306" s="193"/>
      <c r="E306" s="193"/>
      <c r="F306" s="193"/>
      <c r="G306" s="195"/>
      <c r="H306" s="195"/>
      <c r="I306" s="195"/>
      <c r="J306" s="195"/>
      <c r="K306" s="195"/>
      <c r="L306" s="195"/>
      <c r="M306" s="195"/>
      <c r="N306" s="195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</row>
    <row r="307">
      <c r="A307" s="193"/>
      <c r="B307" s="193"/>
      <c r="C307" s="193"/>
      <c r="D307" s="193"/>
      <c r="E307" s="193"/>
      <c r="F307" s="193"/>
      <c r="G307" s="195"/>
      <c r="H307" s="195"/>
      <c r="I307" s="195"/>
      <c r="J307" s="195"/>
      <c r="K307" s="195"/>
      <c r="L307" s="195"/>
      <c r="M307" s="195"/>
      <c r="N307" s="195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  <c r="AC307" s="193"/>
    </row>
    <row r="308">
      <c r="A308" s="193"/>
      <c r="B308" s="193"/>
      <c r="C308" s="193"/>
      <c r="D308" s="193"/>
      <c r="E308" s="193"/>
      <c r="F308" s="193"/>
      <c r="G308" s="195"/>
      <c r="H308" s="195"/>
      <c r="I308" s="195"/>
      <c r="J308" s="195"/>
      <c r="K308" s="195"/>
      <c r="L308" s="195"/>
      <c r="M308" s="195"/>
      <c r="N308" s="195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  <c r="AC308" s="193"/>
    </row>
    <row r="309">
      <c r="A309" s="193"/>
      <c r="B309" s="193"/>
      <c r="C309" s="193"/>
      <c r="D309" s="193"/>
      <c r="E309" s="193"/>
      <c r="F309" s="193"/>
      <c r="G309" s="195"/>
      <c r="H309" s="195"/>
      <c r="I309" s="195"/>
      <c r="J309" s="195"/>
      <c r="K309" s="195"/>
      <c r="L309" s="195"/>
      <c r="M309" s="195"/>
      <c r="N309" s="195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</row>
    <row r="310">
      <c r="A310" s="193"/>
      <c r="B310" s="193"/>
      <c r="C310" s="193"/>
      <c r="D310" s="193"/>
      <c r="E310" s="193"/>
      <c r="F310" s="193"/>
      <c r="G310" s="195"/>
      <c r="H310" s="195"/>
      <c r="I310" s="195"/>
      <c r="J310" s="195"/>
      <c r="K310" s="195"/>
      <c r="L310" s="195"/>
      <c r="M310" s="195"/>
      <c r="N310" s="195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</row>
    <row r="311">
      <c r="A311" s="193"/>
      <c r="B311" s="193"/>
      <c r="C311" s="193"/>
      <c r="D311" s="193"/>
      <c r="E311" s="193"/>
      <c r="F311" s="193"/>
      <c r="G311" s="195"/>
      <c r="H311" s="195"/>
      <c r="I311" s="195"/>
      <c r="J311" s="195"/>
      <c r="K311" s="195"/>
      <c r="L311" s="195"/>
      <c r="M311" s="195"/>
      <c r="N311" s="195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  <c r="AC311" s="193"/>
    </row>
    <row r="312">
      <c r="A312" s="193"/>
      <c r="B312" s="193"/>
      <c r="C312" s="193"/>
      <c r="D312" s="193"/>
      <c r="E312" s="193"/>
      <c r="F312" s="193"/>
      <c r="G312" s="195"/>
      <c r="H312" s="195"/>
      <c r="I312" s="195"/>
      <c r="J312" s="195"/>
      <c r="K312" s="195"/>
      <c r="L312" s="195"/>
      <c r="M312" s="195"/>
      <c r="N312" s="195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  <c r="AC312" s="193"/>
    </row>
    <row r="313">
      <c r="A313" s="193"/>
      <c r="B313" s="193"/>
      <c r="C313" s="193"/>
      <c r="D313" s="193"/>
      <c r="E313" s="193"/>
      <c r="F313" s="193"/>
      <c r="G313" s="195"/>
      <c r="H313" s="195"/>
      <c r="I313" s="195"/>
      <c r="J313" s="195"/>
      <c r="K313" s="195"/>
      <c r="L313" s="195"/>
      <c r="M313" s="195"/>
      <c r="N313" s="195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</row>
    <row r="314">
      <c r="A314" s="193"/>
      <c r="B314" s="193"/>
      <c r="C314" s="193"/>
      <c r="D314" s="193"/>
      <c r="E314" s="193"/>
      <c r="F314" s="193"/>
      <c r="G314" s="195"/>
      <c r="H314" s="195"/>
      <c r="I314" s="195"/>
      <c r="J314" s="195"/>
      <c r="K314" s="195"/>
      <c r="L314" s="195"/>
      <c r="M314" s="195"/>
      <c r="N314" s="195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</row>
    <row r="315">
      <c r="A315" s="193"/>
      <c r="B315" s="193"/>
      <c r="C315" s="193"/>
      <c r="D315" s="193"/>
      <c r="E315" s="193"/>
      <c r="F315" s="193"/>
      <c r="G315" s="195"/>
      <c r="H315" s="195"/>
      <c r="I315" s="195"/>
      <c r="J315" s="195"/>
      <c r="K315" s="195"/>
      <c r="L315" s="195"/>
      <c r="M315" s="195"/>
      <c r="N315" s="195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</row>
    <row r="316">
      <c r="A316" s="193"/>
      <c r="B316" s="193"/>
      <c r="C316" s="193"/>
      <c r="D316" s="193"/>
      <c r="E316" s="193"/>
      <c r="F316" s="193"/>
      <c r="G316" s="195"/>
      <c r="H316" s="195"/>
      <c r="I316" s="195"/>
      <c r="J316" s="195"/>
      <c r="K316" s="195"/>
      <c r="L316" s="195"/>
      <c r="M316" s="195"/>
      <c r="N316" s="195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</row>
    <row r="317">
      <c r="A317" s="193"/>
      <c r="B317" s="193"/>
      <c r="C317" s="193"/>
      <c r="D317" s="193"/>
      <c r="E317" s="193"/>
      <c r="F317" s="193"/>
      <c r="G317" s="195"/>
      <c r="H317" s="195"/>
      <c r="I317" s="195"/>
      <c r="J317" s="195"/>
      <c r="K317" s="195"/>
      <c r="L317" s="195"/>
      <c r="M317" s="195"/>
      <c r="N317" s="195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</row>
    <row r="318">
      <c r="A318" s="193"/>
      <c r="B318" s="193"/>
      <c r="C318" s="193"/>
      <c r="D318" s="193"/>
      <c r="E318" s="193"/>
      <c r="F318" s="193"/>
      <c r="G318" s="195"/>
      <c r="H318" s="195"/>
      <c r="I318" s="195"/>
      <c r="J318" s="195"/>
      <c r="K318" s="195"/>
      <c r="L318" s="195"/>
      <c r="M318" s="195"/>
      <c r="N318" s="195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  <c r="AC318" s="193"/>
    </row>
    <row r="319">
      <c r="A319" s="193"/>
      <c r="B319" s="193"/>
      <c r="C319" s="193"/>
      <c r="D319" s="193"/>
      <c r="E319" s="193"/>
      <c r="F319" s="193"/>
      <c r="G319" s="195"/>
      <c r="H319" s="195"/>
      <c r="I319" s="195"/>
      <c r="J319" s="195"/>
      <c r="K319" s="195"/>
      <c r="L319" s="195"/>
      <c r="M319" s="195"/>
      <c r="N319" s="195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  <c r="AC319" s="193"/>
    </row>
    <row r="320">
      <c r="A320" s="193"/>
      <c r="B320" s="193"/>
      <c r="C320" s="193"/>
      <c r="D320" s="193"/>
      <c r="E320" s="193"/>
      <c r="F320" s="193"/>
      <c r="G320" s="195"/>
      <c r="H320" s="195"/>
      <c r="I320" s="195"/>
      <c r="J320" s="195"/>
      <c r="K320" s="195"/>
      <c r="L320" s="195"/>
      <c r="M320" s="195"/>
      <c r="N320" s="195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</row>
    <row r="321">
      <c r="A321" s="193"/>
      <c r="B321" s="193"/>
      <c r="C321" s="193"/>
      <c r="D321" s="193"/>
      <c r="E321" s="193"/>
      <c r="F321" s="193"/>
      <c r="G321" s="195"/>
      <c r="H321" s="195"/>
      <c r="I321" s="195"/>
      <c r="J321" s="195"/>
      <c r="K321" s="195"/>
      <c r="L321" s="195"/>
      <c r="M321" s="195"/>
      <c r="N321" s="195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</row>
    <row r="322">
      <c r="A322" s="193"/>
      <c r="B322" s="193"/>
      <c r="C322" s="193"/>
      <c r="D322" s="193"/>
      <c r="E322" s="193"/>
      <c r="F322" s="193"/>
      <c r="G322" s="195"/>
      <c r="H322" s="195"/>
      <c r="I322" s="195"/>
      <c r="J322" s="195"/>
      <c r="K322" s="195"/>
      <c r="L322" s="195"/>
      <c r="M322" s="195"/>
      <c r="N322" s="195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</row>
    <row r="323">
      <c r="A323" s="193"/>
      <c r="B323" s="193"/>
      <c r="C323" s="193"/>
      <c r="D323" s="193"/>
      <c r="E323" s="193"/>
      <c r="F323" s="193"/>
      <c r="G323" s="195"/>
      <c r="H323" s="195"/>
      <c r="I323" s="195"/>
      <c r="J323" s="195"/>
      <c r="K323" s="195"/>
      <c r="L323" s="195"/>
      <c r="M323" s="195"/>
      <c r="N323" s="195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</row>
    <row r="324">
      <c r="A324" s="193"/>
      <c r="B324" s="193"/>
      <c r="C324" s="193"/>
      <c r="D324" s="193"/>
      <c r="E324" s="193"/>
      <c r="F324" s="193"/>
      <c r="G324" s="195"/>
      <c r="H324" s="195"/>
      <c r="I324" s="195"/>
      <c r="J324" s="195"/>
      <c r="K324" s="195"/>
      <c r="L324" s="195"/>
      <c r="M324" s="195"/>
      <c r="N324" s="195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</row>
    <row r="325">
      <c r="A325" s="193"/>
      <c r="B325" s="193"/>
      <c r="C325" s="193"/>
      <c r="D325" s="193"/>
      <c r="E325" s="193"/>
      <c r="F325" s="193"/>
      <c r="G325" s="195"/>
      <c r="H325" s="195"/>
      <c r="I325" s="195"/>
      <c r="J325" s="195"/>
      <c r="K325" s="195"/>
      <c r="L325" s="195"/>
      <c r="M325" s="195"/>
      <c r="N325" s="195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</row>
    <row r="326">
      <c r="A326" s="193"/>
      <c r="B326" s="193"/>
      <c r="C326" s="193"/>
      <c r="D326" s="193"/>
      <c r="E326" s="193"/>
      <c r="F326" s="193"/>
      <c r="G326" s="195"/>
      <c r="H326" s="195"/>
      <c r="I326" s="195"/>
      <c r="J326" s="195"/>
      <c r="K326" s="195"/>
      <c r="L326" s="195"/>
      <c r="M326" s="195"/>
      <c r="N326" s="195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</row>
    <row r="327">
      <c r="A327" s="193"/>
      <c r="B327" s="193"/>
      <c r="C327" s="193"/>
      <c r="D327" s="193"/>
      <c r="E327" s="193"/>
      <c r="F327" s="193"/>
      <c r="G327" s="195"/>
      <c r="H327" s="195"/>
      <c r="I327" s="195"/>
      <c r="J327" s="195"/>
      <c r="K327" s="195"/>
      <c r="L327" s="195"/>
      <c r="M327" s="195"/>
      <c r="N327" s="195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</row>
    <row r="328">
      <c r="A328" s="193"/>
      <c r="B328" s="193"/>
      <c r="C328" s="193"/>
      <c r="D328" s="193"/>
      <c r="E328" s="193"/>
      <c r="F328" s="193"/>
      <c r="G328" s="195"/>
      <c r="H328" s="195"/>
      <c r="I328" s="195"/>
      <c r="J328" s="195"/>
      <c r="K328" s="195"/>
      <c r="L328" s="195"/>
      <c r="M328" s="195"/>
      <c r="N328" s="195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  <c r="AC328" s="193"/>
    </row>
    <row r="329">
      <c r="A329" s="193"/>
      <c r="B329" s="193"/>
      <c r="C329" s="193"/>
      <c r="D329" s="193"/>
      <c r="E329" s="193"/>
      <c r="F329" s="193"/>
      <c r="G329" s="195"/>
      <c r="H329" s="195"/>
      <c r="I329" s="195"/>
      <c r="J329" s="195"/>
      <c r="K329" s="195"/>
      <c r="L329" s="195"/>
      <c r="M329" s="195"/>
      <c r="N329" s="195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</row>
    <row r="330">
      <c r="A330" s="193"/>
      <c r="B330" s="193"/>
      <c r="C330" s="193"/>
      <c r="D330" s="193"/>
      <c r="E330" s="193"/>
      <c r="F330" s="193"/>
      <c r="G330" s="195"/>
      <c r="H330" s="195"/>
      <c r="I330" s="195"/>
      <c r="J330" s="195"/>
      <c r="K330" s="195"/>
      <c r="L330" s="195"/>
      <c r="M330" s="195"/>
      <c r="N330" s="195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</row>
    <row r="331">
      <c r="A331" s="193"/>
      <c r="B331" s="193"/>
      <c r="C331" s="193"/>
      <c r="D331" s="193"/>
      <c r="E331" s="193"/>
      <c r="F331" s="193"/>
      <c r="G331" s="195"/>
      <c r="H331" s="195"/>
      <c r="I331" s="195"/>
      <c r="J331" s="195"/>
      <c r="K331" s="195"/>
      <c r="L331" s="195"/>
      <c r="M331" s="195"/>
      <c r="N331" s="195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  <c r="AC331" s="193"/>
    </row>
    <row r="332">
      <c r="A332" s="193"/>
      <c r="B332" s="193"/>
      <c r="C332" s="193"/>
      <c r="D332" s="193"/>
      <c r="E332" s="193"/>
      <c r="F332" s="193"/>
      <c r="G332" s="195"/>
      <c r="H332" s="195"/>
      <c r="I332" s="195"/>
      <c r="J332" s="195"/>
      <c r="K332" s="195"/>
      <c r="L332" s="195"/>
      <c r="M332" s="195"/>
      <c r="N332" s="195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</row>
    <row r="333">
      <c r="A333" s="193"/>
      <c r="B333" s="193"/>
      <c r="C333" s="193"/>
      <c r="D333" s="193"/>
      <c r="E333" s="193"/>
      <c r="F333" s="193"/>
      <c r="G333" s="195"/>
      <c r="H333" s="195"/>
      <c r="I333" s="195"/>
      <c r="J333" s="195"/>
      <c r="K333" s="195"/>
      <c r="L333" s="195"/>
      <c r="M333" s="195"/>
      <c r="N333" s="195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</row>
    <row r="334">
      <c r="A334" s="193"/>
      <c r="B334" s="193"/>
      <c r="C334" s="193"/>
      <c r="D334" s="193"/>
      <c r="E334" s="193"/>
      <c r="F334" s="193"/>
      <c r="G334" s="195"/>
      <c r="H334" s="195"/>
      <c r="I334" s="195"/>
      <c r="J334" s="195"/>
      <c r="K334" s="195"/>
      <c r="L334" s="195"/>
      <c r="M334" s="195"/>
      <c r="N334" s="195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</row>
    <row r="335">
      <c r="A335" s="193"/>
      <c r="B335" s="193"/>
      <c r="C335" s="193"/>
      <c r="D335" s="193"/>
      <c r="E335" s="193"/>
      <c r="F335" s="193"/>
      <c r="G335" s="195"/>
      <c r="H335" s="195"/>
      <c r="I335" s="195"/>
      <c r="J335" s="195"/>
      <c r="K335" s="195"/>
      <c r="L335" s="195"/>
      <c r="M335" s="195"/>
      <c r="N335" s="195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</row>
    <row r="336">
      <c r="A336" s="193"/>
      <c r="B336" s="193"/>
      <c r="C336" s="193"/>
      <c r="D336" s="193"/>
      <c r="E336" s="193"/>
      <c r="F336" s="193"/>
      <c r="G336" s="195"/>
      <c r="H336" s="195"/>
      <c r="I336" s="195"/>
      <c r="J336" s="195"/>
      <c r="K336" s="195"/>
      <c r="L336" s="195"/>
      <c r="M336" s="195"/>
      <c r="N336" s="195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</row>
    <row r="337">
      <c r="A337" s="193"/>
      <c r="B337" s="193"/>
      <c r="C337" s="193"/>
      <c r="D337" s="193"/>
      <c r="E337" s="193"/>
      <c r="F337" s="193"/>
      <c r="G337" s="195"/>
      <c r="H337" s="195"/>
      <c r="I337" s="195"/>
      <c r="J337" s="195"/>
      <c r="K337" s="195"/>
      <c r="L337" s="195"/>
      <c r="M337" s="195"/>
      <c r="N337" s="195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</row>
    <row r="338">
      <c r="A338" s="193"/>
      <c r="B338" s="193"/>
      <c r="C338" s="193"/>
      <c r="D338" s="193"/>
      <c r="E338" s="193"/>
      <c r="F338" s="193"/>
      <c r="G338" s="195"/>
      <c r="H338" s="195"/>
      <c r="I338" s="195"/>
      <c r="J338" s="195"/>
      <c r="K338" s="195"/>
      <c r="L338" s="195"/>
      <c r="M338" s="195"/>
      <c r="N338" s="195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</row>
    <row r="339">
      <c r="A339" s="193"/>
      <c r="B339" s="193"/>
      <c r="C339" s="193"/>
      <c r="D339" s="193"/>
      <c r="E339" s="193"/>
      <c r="F339" s="193"/>
      <c r="G339" s="195"/>
      <c r="H339" s="195"/>
      <c r="I339" s="195"/>
      <c r="J339" s="195"/>
      <c r="K339" s="195"/>
      <c r="L339" s="195"/>
      <c r="M339" s="195"/>
      <c r="N339" s="195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</row>
    <row r="340">
      <c r="A340" s="193"/>
      <c r="B340" s="193"/>
      <c r="C340" s="193"/>
      <c r="D340" s="193"/>
      <c r="E340" s="193"/>
      <c r="F340" s="193"/>
      <c r="G340" s="195"/>
      <c r="H340" s="195"/>
      <c r="I340" s="195"/>
      <c r="J340" s="195"/>
      <c r="K340" s="195"/>
      <c r="L340" s="195"/>
      <c r="M340" s="195"/>
      <c r="N340" s="195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</row>
    <row r="341">
      <c r="A341" s="193"/>
      <c r="B341" s="193"/>
      <c r="C341" s="193"/>
      <c r="D341" s="193"/>
      <c r="E341" s="193"/>
      <c r="F341" s="193"/>
      <c r="G341" s="195"/>
      <c r="H341" s="195"/>
      <c r="I341" s="195"/>
      <c r="J341" s="195"/>
      <c r="K341" s="195"/>
      <c r="L341" s="195"/>
      <c r="M341" s="195"/>
      <c r="N341" s="195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</row>
    <row r="342">
      <c r="A342" s="193"/>
      <c r="B342" s="193"/>
      <c r="C342" s="193"/>
      <c r="D342" s="193"/>
      <c r="E342" s="193"/>
      <c r="F342" s="193"/>
      <c r="G342" s="195"/>
      <c r="H342" s="195"/>
      <c r="I342" s="195"/>
      <c r="J342" s="195"/>
      <c r="K342" s="195"/>
      <c r="L342" s="195"/>
      <c r="M342" s="195"/>
      <c r="N342" s="195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</row>
    <row r="343">
      <c r="A343" s="193"/>
      <c r="B343" s="193"/>
      <c r="C343" s="193"/>
      <c r="D343" s="193"/>
      <c r="E343" s="193"/>
      <c r="F343" s="193"/>
      <c r="G343" s="195"/>
      <c r="H343" s="195"/>
      <c r="I343" s="195"/>
      <c r="J343" s="195"/>
      <c r="K343" s="195"/>
      <c r="L343" s="195"/>
      <c r="M343" s="195"/>
      <c r="N343" s="195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</row>
    <row r="344">
      <c r="A344" s="193"/>
      <c r="B344" s="193"/>
      <c r="C344" s="193"/>
      <c r="D344" s="193"/>
      <c r="E344" s="193"/>
      <c r="F344" s="193"/>
      <c r="G344" s="195"/>
      <c r="H344" s="195"/>
      <c r="I344" s="195"/>
      <c r="J344" s="195"/>
      <c r="K344" s="195"/>
      <c r="L344" s="195"/>
      <c r="M344" s="195"/>
      <c r="N344" s="195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</row>
    <row r="345">
      <c r="A345" s="193"/>
      <c r="B345" s="193"/>
      <c r="C345" s="193"/>
      <c r="D345" s="193"/>
      <c r="E345" s="193"/>
      <c r="F345" s="193"/>
      <c r="G345" s="195"/>
      <c r="H345" s="195"/>
      <c r="I345" s="195"/>
      <c r="J345" s="195"/>
      <c r="K345" s="195"/>
      <c r="L345" s="195"/>
      <c r="M345" s="195"/>
      <c r="N345" s="195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  <c r="AC345" s="193"/>
    </row>
    <row r="346">
      <c r="A346" s="193"/>
      <c r="B346" s="193"/>
      <c r="C346" s="193"/>
      <c r="D346" s="193"/>
      <c r="E346" s="193"/>
      <c r="F346" s="193"/>
      <c r="G346" s="195"/>
      <c r="H346" s="195"/>
      <c r="I346" s="195"/>
      <c r="J346" s="195"/>
      <c r="K346" s="195"/>
      <c r="L346" s="195"/>
      <c r="M346" s="195"/>
      <c r="N346" s="195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</row>
    <row r="347">
      <c r="A347" s="193"/>
      <c r="B347" s="193"/>
      <c r="C347" s="193"/>
      <c r="D347" s="193"/>
      <c r="E347" s="193"/>
      <c r="F347" s="193"/>
      <c r="G347" s="195"/>
      <c r="H347" s="195"/>
      <c r="I347" s="195"/>
      <c r="J347" s="195"/>
      <c r="K347" s="195"/>
      <c r="L347" s="195"/>
      <c r="M347" s="195"/>
      <c r="N347" s="195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</row>
    <row r="348">
      <c r="A348" s="193"/>
      <c r="B348" s="193"/>
      <c r="C348" s="193"/>
      <c r="D348" s="193"/>
      <c r="E348" s="193"/>
      <c r="F348" s="193"/>
      <c r="G348" s="195"/>
      <c r="H348" s="195"/>
      <c r="I348" s="195"/>
      <c r="J348" s="195"/>
      <c r="K348" s="195"/>
      <c r="L348" s="195"/>
      <c r="M348" s="195"/>
      <c r="N348" s="195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  <c r="AC348" s="193"/>
    </row>
    <row r="349">
      <c r="A349" s="193"/>
      <c r="B349" s="193"/>
      <c r="C349" s="193"/>
      <c r="D349" s="193"/>
      <c r="E349" s="193"/>
      <c r="F349" s="193"/>
      <c r="G349" s="195"/>
      <c r="H349" s="195"/>
      <c r="I349" s="195"/>
      <c r="J349" s="195"/>
      <c r="K349" s="195"/>
      <c r="L349" s="195"/>
      <c r="M349" s="195"/>
      <c r="N349" s="195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  <c r="AC349" s="193"/>
    </row>
    <row r="350">
      <c r="A350" s="193"/>
      <c r="B350" s="193"/>
      <c r="C350" s="193"/>
      <c r="D350" s="193"/>
      <c r="E350" s="193"/>
      <c r="F350" s="193"/>
      <c r="G350" s="195"/>
      <c r="H350" s="195"/>
      <c r="I350" s="195"/>
      <c r="J350" s="195"/>
      <c r="K350" s="195"/>
      <c r="L350" s="195"/>
      <c r="M350" s="195"/>
      <c r="N350" s="195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  <c r="AC350" s="193"/>
    </row>
    <row r="351">
      <c r="A351" s="193"/>
      <c r="B351" s="193"/>
      <c r="C351" s="193"/>
      <c r="D351" s="193"/>
      <c r="E351" s="193"/>
      <c r="F351" s="193"/>
      <c r="G351" s="195"/>
      <c r="H351" s="195"/>
      <c r="I351" s="195"/>
      <c r="J351" s="195"/>
      <c r="K351" s="195"/>
      <c r="L351" s="195"/>
      <c r="M351" s="195"/>
      <c r="N351" s="195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</row>
    <row r="352">
      <c r="A352" s="193"/>
      <c r="B352" s="193"/>
      <c r="C352" s="193"/>
      <c r="D352" s="193"/>
      <c r="E352" s="193"/>
      <c r="F352" s="193"/>
      <c r="G352" s="195"/>
      <c r="H352" s="195"/>
      <c r="I352" s="195"/>
      <c r="J352" s="195"/>
      <c r="K352" s="195"/>
      <c r="L352" s="195"/>
      <c r="M352" s="195"/>
      <c r="N352" s="195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  <c r="AC352" s="193"/>
    </row>
    <row r="353">
      <c r="A353" s="193"/>
      <c r="B353" s="193"/>
      <c r="C353" s="193"/>
      <c r="D353" s="193"/>
      <c r="E353" s="193"/>
      <c r="F353" s="193"/>
      <c r="G353" s="195"/>
      <c r="H353" s="195"/>
      <c r="I353" s="195"/>
      <c r="J353" s="195"/>
      <c r="K353" s="195"/>
      <c r="L353" s="195"/>
      <c r="M353" s="195"/>
      <c r="N353" s="195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  <c r="AC353" s="193"/>
    </row>
    <row r="354">
      <c r="A354" s="193"/>
      <c r="B354" s="193"/>
      <c r="C354" s="193"/>
      <c r="D354" s="193"/>
      <c r="E354" s="193"/>
      <c r="F354" s="193"/>
      <c r="G354" s="195"/>
      <c r="H354" s="195"/>
      <c r="I354" s="195"/>
      <c r="J354" s="195"/>
      <c r="K354" s="195"/>
      <c r="L354" s="195"/>
      <c r="M354" s="195"/>
      <c r="N354" s="195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  <c r="AC354" s="193"/>
    </row>
    <row r="355">
      <c r="A355" s="193"/>
      <c r="B355" s="193"/>
      <c r="C355" s="193"/>
      <c r="D355" s="193"/>
      <c r="E355" s="193"/>
      <c r="F355" s="193"/>
      <c r="G355" s="195"/>
      <c r="H355" s="195"/>
      <c r="I355" s="195"/>
      <c r="J355" s="195"/>
      <c r="K355" s="195"/>
      <c r="L355" s="195"/>
      <c r="M355" s="195"/>
      <c r="N355" s="195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</row>
    <row r="356">
      <c r="A356" s="193"/>
      <c r="B356" s="193"/>
      <c r="C356" s="193"/>
      <c r="D356" s="193"/>
      <c r="E356" s="193"/>
      <c r="F356" s="193"/>
      <c r="G356" s="195"/>
      <c r="H356" s="195"/>
      <c r="I356" s="195"/>
      <c r="J356" s="195"/>
      <c r="K356" s="195"/>
      <c r="L356" s="195"/>
      <c r="M356" s="195"/>
      <c r="N356" s="195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</row>
    <row r="357">
      <c r="A357" s="193"/>
      <c r="B357" s="193"/>
      <c r="C357" s="193"/>
      <c r="D357" s="193"/>
      <c r="E357" s="193"/>
      <c r="F357" s="193"/>
      <c r="G357" s="195"/>
      <c r="H357" s="195"/>
      <c r="I357" s="195"/>
      <c r="J357" s="195"/>
      <c r="K357" s="195"/>
      <c r="L357" s="195"/>
      <c r="M357" s="195"/>
      <c r="N357" s="195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</row>
    <row r="358">
      <c r="A358" s="193"/>
      <c r="B358" s="193"/>
      <c r="C358" s="193"/>
      <c r="D358" s="193"/>
      <c r="E358" s="193"/>
      <c r="F358" s="193"/>
      <c r="G358" s="195"/>
      <c r="H358" s="195"/>
      <c r="I358" s="195"/>
      <c r="J358" s="195"/>
      <c r="K358" s="195"/>
      <c r="L358" s="195"/>
      <c r="M358" s="195"/>
      <c r="N358" s="195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</row>
    <row r="359">
      <c r="A359" s="193"/>
      <c r="B359" s="193"/>
      <c r="C359" s="193"/>
      <c r="D359" s="193"/>
      <c r="E359" s="193"/>
      <c r="F359" s="193"/>
      <c r="G359" s="195"/>
      <c r="H359" s="195"/>
      <c r="I359" s="195"/>
      <c r="J359" s="195"/>
      <c r="K359" s="195"/>
      <c r="L359" s="195"/>
      <c r="M359" s="195"/>
      <c r="N359" s="195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</row>
    <row r="360">
      <c r="A360" s="193"/>
      <c r="B360" s="193"/>
      <c r="C360" s="193"/>
      <c r="D360" s="193"/>
      <c r="E360" s="193"/>
      <c r="F360" s="193"/>
      <c r="G360" s="195"/>
      <c r="H360" s="195"/>
      <c r="I360" s="195"/>
      <c r="J360" s="195"/>
      <c r="K360" s="195"/>
      <c r="L360" s="195"/>
      <c r="M360" s="195"/>
      <c r="N360" s="195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</row>
    <row r="361">
      <c r="A361" s="193"/>
      <c r="B361" s="193"/>
      <c r="C361" s="193"/>
      <c r="D361" s="193"/>
      <c r="E361" s="193"/>
      <c r="F361" s="193"/>
      <c r="G361" s="195"/>
      <c r="H361" s="195"/>
      <c r="I361" s="195"/>
      <c r="J361" s="195"/>
      <c r="K361" s="195"/>
      <c r="L361" s="195"/>
      <c r="M361" s="195"/>
      <c r="N361" s="195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  <c r="AC361" s="193"/>
    </row>
    <row r="362">
      <c r="A362" s="193"/>
      <c r="B362" s="193"/>
      <c r="C362" s="193"/>
      <c r="D362" s="193"/>
      <c r="E362" s="193"/>
      <c r="F362" s="193"/>
      <c r="G362" s="195"/>
      <c r="H362" s="195"/>
      <c r="I362" s="195"/>
      <c r="J362" s="195"/>
      <c r="K362" s="195"/>
      <c r="L362" s="195"/>
      <c r="M362" s="195"/>
      <c r="N362" s="195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  <c r="AC362" s="193"/>
    </row>
    <row r="363">
      <c r="A363" s="193"/>
      <c r="B363" s="193"/>
      <c r="C363" s="193"/>
      <c r="D363" s="193"/>
      <c r="E363" s="193"/>
      <c r="F363" s="193"/>
      <c r="G363" s="195"/>
      <c r="H363" s="195"/>
      <c r="I363" s="195"/>
      <c r="J363" s="195"/>
      <c r="K363" s="195"/>
      <c r="L363" s="195"/>
      <c r="M363" s="195"/>
      <c r="N363" s="195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  <c r="AC363" s="193"/>
    </row>
    <row r="364">
      <c r="A364" s="193"/>
      <c r="B364" s="193"/>
      <c r="C364" s="193"/>
      <c r="D364" s="193"/>
      <c r="E364" s="193"/>
      <c r="F364" s="193"/>
      <c r="G364" s="195"/>
      <c r="H364" s="195"/>
      <c r="I364" s="195"/>
      <c r="J364" s="195"/>
      <c r="K364" s="195"/>
      <c r="L364" s="195"/>
      <c r="M364" s="195"/>
      <c r="N364" s="195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</row>
    <row r="365">
      <c r="A365" s="193"/>
      <c r="B365" s="193"/>
      <c r="C365" s="193"/>
      <c r="D365" s="193"/>
      <c r="E365" s="193"/>
      <c r="F365" s="193"/>
      <c r="G365" s="195"/>
      <c r="H365" s="195"/>
      <c r="I365" s="195"/>
      <c r="J365" s="195"/>
      <c r="K365" s="195"/>
      <c r="L365" s="195"/>
      <c r="M365" s="195"/>
      <c r="N365" s="195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</row>
    <row r="366">
      <c r="A366" s="193"/>
      <c r="B366" s="193"/>
      <c r="C366" s="193"/>
      <c r="D366" s="193"/>
      <c r="E366" s="193"/>
      <c r="F366" s="193"/>
      <c r="G366" s="195"/>
      <c r="H366" s="195"/>
      <c r="I366" s="195"/>
      <c r="J366" s="195"/>
      <c r="K366" s="195"/>
      <c r="L366" s="195"/>
      <c r="M366" s="195"/>
      <c r="N366" s="195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  <c r="AC366" s="193"/>
    </row>
    <row r="367">
      <c r="A367" s="193"/>
      <c r="B367" s="193"/>
      <c r="C367" s="193"/>
      <c r="D367" s="193"/>
      <c r="E367" s="193"/>
      <c r="F367" s="193"/>
      <c r="G367" s="195"/>
      <c r="H367" s="195"/>
      <c r="I367" s="195"/>
      <c r="J367" s="195"/>
      <c r="K367" s="195"/>
      <c r="L367" s="195"/>
      <c r="M367" s="195"/>
      <c r="N367" s="195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  <c r="AC367" s="193"/>
    </row>
    <row r="368">
      <c r="A368" s="193"/>
      <c r="B368" s="193"/>
      <c r="C368" s="193"/>
      <c r="D368" s="193"/>
      <c r="E368" s="193"/>
      <c r="F368" s="193"/>
      <c r="G368" s="195"/>
      <c r="H368" s="195"/>
      <c r="I368" s="195"/>
      <c r="J368" s="195"/>
      <c r="K368" s="195"/>
      <c r="L368" s="195"/>
      <c r="M368" s="195"/>
      <c r="N368" s="195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  <c r="AC368" s="193"/>
    </row>
    <row r="369">
      <c r="A369" s="193"/>
      <c r="B369" s="193"/>
      <c r="C369" s="193"/>
      <c r="D369" s="193"/>
      <c r="E369" s="193"/>
      <c r="F369" s="193"/>
      <c r="G369" s="195"/>
      <c r="H369" s="195"/>
      <c r="I369" s="195"/>
      <c r="J369" s="195"/>
      <c r="K369" s="195"/>
      <c r="L369" s="195"/>
      <c r="M369" s="195"/>
      <c r="N369" s="195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  <c r="AC369" s="193"/>
    </row>
    <row r="370">
      <c r="A370" s="193"/>
      <c r="B370" s="193"/>
      <c r="C370" s="193"/>
      <c r="D370" s="193"/>
      <c r="E370" s="193"/>
      <c r="F370" s="193"/>
      <c r="G370" s="195"/>
      <c r="H370" s="195"/>
      <c r="I370" s="195"/>
      <c r="J370" s="195"/>
      <c r="K370" s="195"/>
      <c r="L370" s="195"/>
      <c r="M370" s="195"/>
      <c r="N370" s="195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</row>
    <row r="371">
      <c r="A371" s="193"/>
      <c r="B371" s="193"/>
      <c r="C371" s="193"/>
      <c r="D371" s="193"/>
      <c r="E371" s="193"/>
      <c r="F371" s="193"/>
      <c r="G371" s="195"/>
      <c r="H371" s="195"/>
      <c r="I371" s="195"/>
      <c r="J371" s="195"/>
      <c r="K371" s="195"/>
      <c r="L371" s="195"/>
      <c r="M371" s="195"/>
      <c r="N371" s="195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  <c r="AC371" s="193"/>
    </row>
    <row r="372">
      <c r="A372" s="193"/>
      <c r="B372" s="193"/>
      <c r="C372" s="193"/>
      <c r="D372" s="193"/>
      <c r="E372" s="193"/>
      <c r="F372" s="193"/>
      <c r="G372" s="195"/>
      <c r="H372" s="195"/>
      <c r="I372" s="195"/>
      <c r="J372" s="195"/>
      <c r="K372" s="195"/>
      <c r="L372" s="195"/>
      <c r="M372" s="195"/>
      <c r="N372" s="195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</row>
    <row r="373">
      <c r="A373" s="193"/>
      <c r="B373" s="193"/>
      <c r="C373" s="193"/>
      <c r="D373" s="193"/>
      <c r="E373" s="193"/>
      <c r="F373" s="193"/>
      <c r="G373" s="195"/>
      <c r="H373" s="195"/>
      <c r="I373" s="195"/>
      <c r="J373" s="195"/>
      <c r="K373" s="195"/>
      <c r="L373" s="195"/>
      <c r="M373" s="195"/>
      <c r="N373" s="195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  <c r="AC373" s="193"/>
    </row>
    <row r="374">
      <c r="A374" s="193"/>
      <c r="B374" s="193"/>
      <c r="C374" s="193"/>
      <c r="D374" s="193"/>
      <c r="E374" s="193"/>
      <c r="F374" s="193"/>
      <c r="G374" s="195"/>
      <c r="H374" s="195"/>
      <c r="I374" s="195"/>
      <c r="J374" s="195"/>
      <c r="K374" s="195"/>
      <c r="L374" s="195"/>
      <c r="M374" s="195"/>
      <c r="N374" s="195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</row>
    <row r="375">
      <c r="A375" s="193"/>
      <c r="B375" s="193"/>
      <c r="C375" s="193"/>
      <c r="D375" s="193"/>
      <c r="E375" s="193"/>
      <c r="F375" s="193"/>
      <c r="G375" s="195"/>
      <c r="H375" s="195"/>
      <c r="I375" s="195"/>
      <c r="J375" s="195"/>
      <c r="K375" s="195"/>
      <c r="L375" s="195"/>
      <c r="M375" s="195"/>
      <c r="N375" s="195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</row>
    <row r="376">
      <c r="A376" s="193"/>
      <c r="B376" s="193"/>
      <c r="C376" s="193"/>
      <c r="D376" s="193"/>
      <c r="E376" s="193"/>
      <c r="F376" s="193"/>
      <c r="G376" s="195"/>
      <c r="H376" s="195"/>
      <c r="I376" s="195"/>
      <c r="J376" s="195"/>
      <c r="K376" s="195"/>
      <c r="L376" s="195"/>
      <c r="M376" s="195"/>
      <c r="N376" s="195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</row>
    <row r="377">
      <c r="A377" s="193"/>
      <c r="B377" s="193"/>
      <c r="C377" s="193"/>
      <c r="D377" s="193"/>
      <c r="E377" s="193"/>
      <c r="F377" s="193"/>
      <c r="G377" s="195"/>
      <c r="H377" s="195"/>
      <c r="I377" s="195"/>
      <c r="J377" s="195"/>
      <c r="K377" s="195"/>
      <c r="L377" s="195"/>
      <c r="M377" s="195"/>
      <c r="N377" s="195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</row>
    <row r="378">
      <c r="A378" s="193"/>
      <c r="B378" s="193"/>
      <c r="C378" s="193"/>
      <c r="D378" s="193"/>
      <c r="E378" s="193"/>
      <c r="F378" s="193"/>
      <c r="G378" s="195"/>
      <c r="H378" s="195"/>
      <c r="I378" s="195"/>
      <c r="J378" s="195"/>
      <c r="K378" s="195"/>
      <c r="L378" s="195"/>
      <c r="M378" s="195"/>
      <c r="N378" s="195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</row>
    <row r="379">
      <c r="A379" s="193"/>
      <c r="B379" s="193"/>
      <c r="C379" s="193"/>
      <c r="D379" s="193"/>
      <c r="E379" s="193"/>
      <c r="F379" s="193"/>
      <c r="G379" s="195"/>
      <c r="H379" s="195"/>
      <c r="I379" s="195"/>
      <c r="J379" s="195"/>
      <c r="K379" s="195"/>
      <c r="L379" s="195"/>
      <c r="M379" s="195"/>
      <c r="N379" s="195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</row>
    <row r="380">
      <c r="A380" s="193"/>
      <c r="B380" s="193"/>
      <c r="C380" s="193"/>
      <c r="D380" s="193"/>
      <c r="E380" s="193"/>
      <c r="F380" s="193"/>
      <c r="G380" s="195"/>
      <c r="H380" s="195"/>
      <c r="I380" s="195"/>
      <c r="J380" s="195"/>
      <c r="K380" s="195"/>
      <c r="L380" s="195"/>
      <c r="M380" s="195"/>
      <c r="N380" s="195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</row>
    <row r="381">
      <c r="A381" s="193"/>
      <c r="B381" s="193"/>
      <c r="C381" s="193"/>
      <c r="D381" s="193"/>
      <c r="E381" s="193"/>
      <c r="F381" s="193"/>
      <c r="G381" s="195"/>
      <c r="H381" s="195"/>
      <c r="I381" s="195"/>
      <c r="J381" s="195"/>
      <c r="K381" s="195"/>
      <c r="L381" s="195"/>
      <c r="M381" s="195"/>
      <c r="N381" s="195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</row>
    <row r="382">
      <c r="A382" s="193"/>
      <c r="B382" s="193"/>
      <c r="C382" s="193"/>
      <c r="D382" s="193"/>
      <c r="E382" s="193"/>
      <c r="F382" s="193"/>
      <c r="G382" s="195"/>
      <c r="H382" s="195"/>
      <c r="I382" s="195"/>
      <c r="J382" s="195"/>
      <c r="K382" s="195"/>
      <c r="L382" s="195"/>
      <c r="M382" s="195"/>
      <c r="N382" s="195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</row>
    <row r="383">
      <c r="A383" s="193"/>
      <c r="B383" s="193"/>
      <c r="C383" s="193"/>
      <c r="D383" s="193"/>
      <c r="E383" s="193"/>
      <c r="F383" s="193"/>
      <c r="G383" s="195"/>
      <c r="H383" s="195"/>
      <c r="I383" s="195"/>
      <c r="J383" s="195"/>
      <c r="K383" s="195"/>
      <c r="L383" s="195"/>
      <c r="M383" s="195"/>
      <c r="N383" s="195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</row>
    <row r="384">
      <c r="A384" s="193"/>
      <c r="B384" s="193"/>
      <c r="C384" s="193"/>
      <c r="D384" s="193"/>
      <c r="E384" s="193"/>
      <c r="F384" s="193"/>
      <c r="G384" s="195"/>
      <c r="H384" s="195"/>
      <c r="I384" s="195"/>
      <c r="J384" s="195"/>
      <c r="K384" s="195"/>
      <c r="L384" s="195"/>
      <c r="M384" s="195"/>
      <c r="N384" s="195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</row>
    <row r="385">
      <c r="A385" s="193"/>
      <c r="B385" s="193"/>
      <c r="C385" s="193"/>
      <c r="D385" s="193"/>
      <c r="E385" s="193"/>
      <c r="F385" s="193"/>
      <c r="G385" s="195"/>
      <c r="H385" s="195"/>
      <c r="I385" s="195"/>
      <c r="J385" s="195"/>
      <c r="K385" s="195"/>
      <c r="L385" s="195"/>
      <c r="M385" s="195"/>
      <c r="N385" s="195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</row>
    <row r="386">
      <c r="A386" s="193"/>
      <c r="B386" s="193"/>
      <c r="C386" s="193"/>
      <c r="D386" s="193"/>
      <c r="E386" s="193"/>
      <c r="F386" s="193"/>
      <c r="G386" s="195"/>
      <c r="H386" s="195"/>
      <c r="I386" s="195"/>
      <c r="J386" s="195"/>
      <c r="K386" s="195"/>
      <c r="L386" s="195"/>
      <c r="M386" s="195"/>
      <c r="N386" s="195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</row>
    <row r="387">
      <c r="A387" s="193"/>
      <c r="B387" s="193"/>
      <c r="C387" s="193"/>
      <c r="D387" s="193"/>
      <c r="E387" s="193"/>
      <c r="F387" s="193"/>
      <c r="G387" s="195"/>
      <c r="H387" s="195"/>
      <c r="I387" s="195"/>
      <c r="J387" s="195"/>
      <c r="K387" s="195"/>
      <c r="L387" s="195"/>
      <c r="M387" s="195"/>
      <c r="N387" s="195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</row>
    <row r="388">
      <c r="A388" s="193"/>
      <c r="B388" s="193"/>
      <c r="C388" s="193"/>
      <c r="D388" s="193"/>
      <c r="E388" s="193"/>
      <c r="F388" s="193"/>
      <c r="G388" s="195"/>
      <c r="H388" s="195"/>
      <c r="I388" s="195"/>
      <c r="J388" s="195"/>
      <c r="K388" s="195"/>
      <c r="L388" s="195"/>
      <c r="M388" s="195"/>
      <c r="N388" s="195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</row>
    <row r="389">
      <c r="A389" s="193"/>
      <c r="B389" s="193"/>
      <c r="C389" s="193"/>
      <c r="D389" s="193"/>
      <c r="E389" s="193"/>
      <c r="F389" s="193"/>
      <c r="G389" s="195"/>
      <c r="H389" s="195"/>
      <c r="I389" s="195"/>
      <c r="J389" s="195"/>
      <c r="K389" s="195"/>
      <c r="L389" s="195"/>
      <c r="M389" s="195"/>
      <c r="N389" s="195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</row>
    <row r="390">
      <c r="A390" s="193"/>
      <c r="B390" s="193"/>
      <c r="C390" s="193"/>
      <c r="D390" s="193"/>
      <c r="E390" s="193"/>
      <c r="F390" s="193"/>
      <c r="G390" s="195"/>
      <c r="H390" s="195"/>
      <c r="I390" s="195"/>
      <c r="J390" s="195"/>
      <c r="K390" s="195"/>
      <c r="L390" s="195"/>
      <c r="M390" s="195"/>
      <c r="N390" s="195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</row>
    <row r="391">
      <c r="A391" s="193"/>
      <c r="B391" s="193"/>
      <c r="C391" s="193"/>
      <c r="D391" s="193"/>
      <c r="E391" s="193"/>
      <c r="F391" s="193"/>
      <c r="G391" s="195"/>
      <c r="H391" s="195"/>
      <c r="I391" s="195"/>
      <c r="J391" s="195"/>
      <c r="K391" s="195"/>
      <c r="L391" s="195"/>
      <c r="M391" s="195"/>
      <c r="N391" s="195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</row>
    <row r="392">
      <c r="A392" s="193"/>
      <c r="B392" s="193"/>
      <c r="C392" s="193"/>
      <c r="D392" s="193"/>
      <c r="E392" s="193"/>
      <c r="F392" s="193"/>
      <c r="G392" s="195"/>
      <c r="H392" s="195"/>
      <c r="I392" s="195"/>
      <c r="J392" s="195"/>
      <c r="K392" s="195"/>
      <c r="L392" s="195"/>
      <c r="M392" s="195"/>
      <c r="N392" s="195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</row>
    <row r="393">
      <c r="A393" s="193"/>
      <c r="B393" s="193"/>
      <c r="C393" s="193"/>
      <c r="D393" s="193"/>
      <c r="E393" s="193"/>
      <c r="F393" s="193"/>
      <c r="G393" s="195"/>
      <c r="H393" s="195"/>
      <c r="I393" s="195"/>
      <c r="J393" s="195"/>
      <c r="K393" s="195"/>
      <c r="L393" s="195"/>
      <c r="M393" s="195"/>
      <c r="N393" s="195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</row>
    <row r="394">
      <c r="A394" s="193"/>
      <c r="B394" s="193"/>
      <c r="C394" s="193"/>
      <c r="D394" s="193"/>
      <c r="E394" s="193"/>
      <c r="F394" s="193"/>
      <c r="G394" s="195"/>
      <c r="H394" s="195"/>
      <c r="I394" s="195"/>
      <c r="J394" s="195"/>
      <c r="K394" s="195"/>
      <c r="L394" s="195"/>
      <c r="M394" s="195"/>
      <c r="N394" s="195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</row>
    <row r="395">
      <c r="A395" s="193"/>
      <c r="B395" s="193"/>
      <c r="C395" s="193"/>
      <c r="D395" s="193"/>
      <c r="E395" s="193"/>
      <c r="F395" s="193"/>
      <c r="G395" s="195"/>
      <c r="H395" s="195"/>
      <c r="I395" s="195"/>
      <c r="J395" s="195"/>
      <c r="K395" s="195"/>
      <c r="L395" s="195"/>
      <c r="M395" s="195"/>
      <c r="N395" s="195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</row>
    <row r="396">
      <c r="A396" s="193"/>
      <c r="B396" s="193"/>
      <c r="C396" s="193"/>
      <c r="D396" s="193"/>
      <c r="E396" s="193"/>
      <c r="F396" s="193"/>
      <c r="G396" s="195"/>
      <c r="H396" s="195"/>
      <c r="I396" s="195"/>
      <c r="J396" s="195"/>
      <c r="K396" s="195"/>
      <c r="L396" s="195"/>
      <c r="M396" s="195"/>
      <c r="N396" s="195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</row>
    <row r="397">
      <c r="A397" s="193"/>
      <c r="B397" s="193"/>
      <c r="C397" s="193"/>
      <c r="D397" s="193"/>
      <c r="E397" s="193"/>
      <c r="F397" s="193"/>
      <c r="G397" s="195"/>
      <c r="H397" s="195"/>
      <c r="I397" s="195"/>
      <c r="J397" s="195"/>
      <c r="K397" s="195"/>
      <c r="L397" s="195"/>
      <c r="M397" s="195"/>
      <c r="N397" s="195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</row>
    <row r="398">
      <c r="A398" s="193"/>
      <c r="B398" s="193"/>
      <c r="C398" s="193"/>
      <c r="D398" s="193"/>
      <c r="E398" s="193"/>
      <c r="F398" s="193"/>
      <c r="G398" s="195"/>
      <c r="H398" s="195"/>
      <c r="I398" s="195"/>
      <c r="J398" s="195"/>
      <c r="K398" s="195"/>
      <c r="L398" s="195"/>
      <c r="M398" s="195"/>
      <c r="N398" s="195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</row>
    <row r="399">
      <c r="A399" s="193"/>
      <c r="B399" s="193"/>
      <c r="C399" s="193"/>
      <c r="D399" s="193"/>
      <c r="E399" s="193"/>
      <c r="F399" s="193"/>
      <c r="G399" s="195"/>
      <c r="H399" s="195"/>
      <c r="I399" s="195"/>
      <c r="J399" s="195"/>
      <c r="K399" s="195"/>
      <c r="L399" s="195"/>
      <c r="M399" s="195"/>
      <c r="N399" s="195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</row>
    <row r="400">
      <c r="A400" s="193"/>
      <c r="B400" s="193"/>
      <c r="C400" s="193"/>
      <c r="D400" s="193"/>
      <c r="E400" s="193"/>
      <c r="F400" s="193"/>
      <c r="G400" s="195"/>
      <c r="H400" s="195"/>
      <c r="I400" s="195"/>
      <c r="J400" s="195"/>
      <c r="K400" s="195"/>
      <c r="L400" s="195"/>
      <c r="M400" s="195"/>
      <c r="N400" s="195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  <c r="AC400" s="193"/>
    </row>
    <row r="401">
      <c r="A401" s="193"/>
      <c r="B401" s="193"/>
      <c r="C401" s="193"/>
      <c r="D401" s="193"/>
      <c r="E401" s="193"/>
      <c r="F401" s="193"/>
      <c r="G401" s="195"/>
      <c r="H401" s="195"/>
      <c r="I401" s="195"/>
      <c r="J401" s="195"/>
      <c r="K401" s="195"/>
      <c r="L401" s="195"/>
      <c r="M401" s="195"/>
      <c r="N401" s="195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  <c r="AC401" s="193"/>
    </row>
    <row r="402">
      <c r="A402" s="193"/>
      <c r="B402" s="193"/>
      <c r="C402" s="193"/>
      <c r="D402" s="193"/>
      <c r="E402" s="193"/>
      <c r="F402" s="193"/>
      <c r="G402" s="195"/>
      <c r="H402" s="195"/>
      <c r="I402" s="195"/>
      <c r="J402" s="195"/>
      <c r="K402" s="195"/>
      <c r="L402" s="195"/>
      <c r="M402" s="195"/>
      <c r="N402" s="195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</row>
    <row r="403">
      <c r="A403" s="193"/>
      <c r="B403" s="193"/>
      <c r="C403" s="193"/>
      <c r="D403" s="193"/>
      <c r="E403" s="193"/>
      <c r="F403" s="193"/>
      <c r="G403" s="195"/>
      <c r="H403" s="195"/>
      <c r="I403" s="195"/>
      <c r="J403" s="195"/>
      <c r="K403" s="195"/>
      <c r="L403" s="195"/>
      <c r="M403" s="195"/>
      <c r="N403" s="195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</row>
    <row r="404">
      <c r="A404" s="193"/>
      <c r="B404" s="193"/>
      <c r="C404" s="193"/>
      <c r="D404" s="193"/>
      <c r="E404" s="193"/>
      <c r="F404" s="193"/>
      <c r="G404" s="195"/>
      <c r="H404" s="195"/>
      <c r="I404" s="195"/>
      <c r="J404" s="195"/>
      <c r="K404" s="195"/>
      <c r="L404" s="195"/>
      <c r="M404" s="195"/>
      <c r="N404" s="195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</row>
    <row r="405">
      <c r="A405" s="193"/>
      <c r="B405" s="193"/>
      <c r="C405" s="193"/>
      <c r="D405" s="193"/>
      <c r="E405" s="193"/>
      <c r="F405" s="193"/>
      <c r="G405" s="195"/>
      <c r="H405" s="195"/>
      <c r="I405" s="195"/>
      <c r="J405" s="195"/>
      <c r="K405" s="195"/>
      <c r="L405" s="195"/>
      <c r="M405" s="195"/>
      <c r="N405" s="195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  <c r="AC405" s="193"/>
    </row>
    <row r="406">
      <c r="A406" s="193"/>
      <c r="B406" s="193"/>
      <c r="C406" s="193"/>
      <c r="D406" s="193"/>
      <c r="E406" s="193"/>
      <c r="F406" s="193"/>
      <c r="G406" s="195"/>
      <c r="H406" s="195"/>
      <c r="I406" s="195"/>
      <c r="J406" s="195"/>
      <c r="K406" s="195"/>
      <c r="L406" s="195"/>
      <c r="M406" s="195"/>
      <c r="N406" s="195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</row>
    <row r="407">
      <c r="A407" s="193"/>
      <c r="B407" s="193"/>
      <c r="C407" s="193"/>
      <c r="D407" s="193"/>
      <c r="E407" s="193"/>
      <c r="F407" s="193"/>
      <c r="G407" s="195"/>
      <c r="H407" s="195"/>
      <c r="I407" s="195"/>
      <c r="J407" s="195"/>
      <c r="K407" s="195"/>
      <c r="L407" s="195"/>
      <c r="M407" s="195"/>
      <c r="N407" s="195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</row>
    <row r="408">
      <c r="A408" s="193"/>
      <c r="B408" s="193"/>
      <c r="C408" s="193"/>
      <c r="D408" s="193"/>
      <c r="E408" s="193"/>
      <c r="F408" s="193"/>
      <c r="G408" s="195"/>
      <c r="H408" s="195"/>
      <c r="I408" s="195"/>
      <c r="J408" s="195"/>
      <c r="K408" s="195"/>
      <c r="L408" s="195"/>
      <c r="M408" s="195"/>
      <c r="N408" s="195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  <c r="AC408" s="193"/>
    </row>
    <row r="409">
      <c r="A409" s="193"/>
      <c r="B409" s="193"/>
      <c r="C409" s="193"/>
      <c r="D409" s="193"/>
      <c r="E409" s="193"/>
      <c r="F409" s="193"/>
      <c r="G409" s="195"/>
      <c r="H409" s="195"/>
      <c r="I409" s="195"/>
      <c r="J409" s="195"/>
      <c r="K409" s="195"/>
      <c r="L409" s="195"/>
      <c r="M409" s="195"/>
      <c r="N409" s="195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  <c r="AC409" s="193"/>
    </row>
    <row r="410">
      <c r="A410" s="193"/>
      <c r="B410" s="193"/>
      <c r="C410" s="193"/>
      <c r="D410" s="193"/>
      <c r="E410" s="193"/>
      <c r="F410" s="193"/>
      <c r="G410" s="195"/>
      <c r="H410" s="195"/>
      <c r="I410" s="195"/>
      <c r="J410" s="195"/>
      <c r="K410" s="195"/>
      <c r="L410" s="195"/>
      <c r="M410" s="195"/>
      <c r="N410" s="195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</row>
    <row r="411">
      <c r="A411" s="193"/>
      <c r="B411" s="193"/>
      <c r="C411" s="193"/>
      <c r="D411" s="193"/>
      <c r="E411" s="193"/>
      <c r="F411" s="193"/>
      <c r="G411" s="195"/>
      <c r="H411" s="195"/>
      <c r="I411" s="195"/>
      <c r="J411" s="195"/>
      <c r="K411" s="195"/>
      <c r="L411" s="195"/>
      <c r="M411" s="195"/>
      <c r="N411" s="195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  <c r="AC411" s="193"/>
    </row>
    <row r="412">
      <c r="A412" s="193"/>
      <c r="B412" s="193"/>
      <c r="C412" s="193"/>
      <c r="D412" s="193"/>
      <c r="E412" s="193"/>
      <c r="F412" s="193"/>
      <c r="G412" s="195"/>
      <c r="H412" s="195"/>
      <c r="I412" s="195"/>
      <c r="J412" s="195"/>
      <c r="K412" s="195"/>
      <c r="L412" s="195"/>
      <c r="M412" s="195"/>
      <c r="N412" s="195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  <c r="AC412" s="193"/>
    </row>
    <row r="413">
      <c r="A413" s="193"/>
      <c r="B413" s="193"/>
      <c r="C413" s="193"/>
      <c r="D413" s="193"/>
      <c r="E413" s="193"/>
      <c r="F413" s="193"/>
      <c r="G413" s="195"/>
      <c r="H413" s="195"/>
      <c r="I413" s="195"/>
      <c r="J413" s="195"/>
      <c r="K413" s="195"/>
      <c r="L413" s="195"/>
      <c r="M413" s="195"/>
      <c r="N413" s="195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  <c r="AC413" s="193"/>
    </row>
    <row r="414">
      <c r="A414" s="193"/>
      <c r="B414" s="193"/>
      <c r="C414" s="193"/>
      <c r="D414" s="193"/>
      <c r="E414" s="193"/>
      <c r="F414" s="193"/>
      <c r="G414" s="195"/>
      <c r="H414" s="195"/>
      <c r="I414" s="195"/>
      <c r="J414" s="195"/>
      <c r="K414" s="195"/>
      <c r="L414" s="195"/>
      <c r="M414" s="195"/>
      <c r="N414" s="195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  <c r="AC414" s="193"/>
    </row>
    <row r="415">
      <c r="A415" s="193"/>
      <c r="B415" s="193"/>
      <c r="C415" s="193"/>
      <c r="D415" s="193"/>
      <c r="E415" s="193"/>
      <c r="F415" s="193"/>
      <c r="G415" s="195"/>
      <c r="H415" s="195"/>
      <c r="I415" s="195"/>
      <c r="J415" s="195"/>
      <c r="K415" s="195"/>
      <c r="L415" s="195"/>
      <c r="M415" s="195"/>
      <c r="N415" s="195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  <c r="AC415" s="193"/>
    </row>
    <row r="416">
      <c r="A416" s="193"/>
      <c r="B416" s="193"/>
      <c r="C416" s="193"/>
      <c r="D416" s="193"/>
      <c r="E416" s="193"/>
      <c r="F416" s="193"/>
      <c r="G416" s="195"/>
      <c r="H416" s="195"/>
      <c r="I416" s="195"/>
      <c r="J416" s="195"/>
      <c r="K416" s="195"/>
      <c r="L416" s="195"/>
      <c r="M416" s="195"/>
      <c r="N416" s="195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</row>
    <row r="417">
      <c r="A417" s="193"/>
      <c r="B417" s="193"/>
      <c r="C417" s="193"/>
      <c r="D417" s="193"/>
      <c r="E417" s="193"/>
      <c r="F417" s="193"/>
      <c r="G417" s="195"/>
      <c r="H417" s="195"/>
      <c r="I417" s="195"/>
      <c r="J417" s="195"/>
      <c r="K417" s="195"/>
      <c r="L417" s="195"/>
      <c r="M417" s="195"/>
      <c r="N417" s="195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</row>
    <row r="418">
      <c r="A418" s="193"/>
      <c r="B418" s="193"/>
      <c r="C418" s="193"/>
      <c r="D418" s="193"/>
      <c r="E418" s="193"/>
      <c r="F418" s="193"/>
      <c r="G418" s="195"/>
      <c r="H418" s="195"/>
      <c r="I418" s="195"/>
      <c r="J418" s="195"/>
      <c r="K418" s="195"/>
      <c r="L418" s="195"/>
      <c r="M418" s="195"/>
      <c r="N418" s="195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</row>
    <row r="419">
      <c r="A419" s="193"/>
      <c r="B419" s="193"/>
      <c r="C419" s="193"/>
      <c r="D419" s="193"/>
      <c r="E419" s="193"/>
      <c r="F419" s="193"/>
      <c r="G419" s="195"/>
      <c r="H419" s="195"/>
      <c r="I419" s="195"/>
      <c r="J419" s="195"/>
      <c r="K419" s="195"/>
      <c r="L419" s="195"/>
      <c r="M419" s="195"/>
      <c r="N419" s="195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</row>
    <row r="420">
      <c r="A420" s="193"/>
      <c r="B420" s="193"/>
      <c r="C420" s="193"/>
      <c r="D420" s="193"/>
      <c r="E420" s="193"/>
      <c r="F420" s="193"/>
      <c r="G420" s="195"/>
      <c r="H420" s="195"/>
      <c r="I420" s="195"/>
      <c r="J420" s="195"/>
      <c r="K420" s="195"/>
      <c r="L420" s="195"/>
      <c r="M420" s="195"/>
      <c r="N420" s="195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</row>
    <row r="421">
      <c r="A421" s="193"/>
      <c r="B421" s="193"/>
      <c r="C421" s="193"/>
      <c r="D421" s="193"/>
      <c r="E421" s="193"/>
      <c r="F421" s="193"/>
      <c r="G421" s="195"/>
      <c r="H421" s="195"/>
      <c r="I421" s="195"/>
      <c r="J421" s="195"/>
      <c r="K421" s="195"/>
      <c r="L421" s="195"/>
      <c r="M421" s="195"/>
      <c r="N421" s="195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</row>
    <row r="422">
      <c r="A422" s="193"/>
      <c r="B422" s="193"/>
      <c r="C422" s="193"/>
      <c r="D422" s="193"/>
      <c r="E422" s="193"/>
      <c r="F422" s="193"/>
      <c r="G422" s="195"/>
      <c r="H422" s="195"/>
      <c r="I422" s="195"/>
      <c r="J422" s="195"/>
      <c r="K422" s="195"/>
      <c r="L422" s="195"/>
      <c r="M422" s="195"/>
      <c r="N422" s="195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</row>
    <row r="423">
      <c r="A423" s="193"/>
      <c r="B423" s="193"/>
      <c r="C423" s="193"/>
      <c r="D423" s="193"/>
      <c r="E423" s="193"/>
      <c r="F423" s="193"/>
      <c r="G423" s="195"/>
      <c r="H423" s="195"/>
      <c r="I423" s="195"/>
      <c r="J423" s="195"/>
      <c r="K423" s="195"/>
      <c r="L423" s="195"/>
      <c r="M423" s="195"/>
      <c r="N423" s="195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</row>
    <row r="424">
      <c r="A424" s="193"/>
      <c r="B424" s="193"/>
      <c r="C424" s="193"/>
      <c r="D424" s="193"/>
      <c r="E424" s="193"/>
      <c r="F424" s="193"/>
      <c r="G424" s="195"/>
      <c r="H424" s="195"/>
      <c r="I424" s="195"/>
      <c r="J424" s="195"/>
      <c r="K424" s="195"/>
      <c r="L424" s="195"/>
      <c r="M424" s="195"/>
      <c r="N424" s="195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</row>
    <row r="425">
      <c r="A425" s="193"/>
      <c r="B425" s="193"/>
      <c r="C425" s="193"/>
      <c r="D425" s="193"/>
      <c r="E425" s="193"/>
      <c r="F425" s="193"/>
      <c r="G425" s="195"/>
      <c r="H425" s="195"/>
      <c r="I425" s="195"/>
      <c r="J425" s="195"/>
      <c r="K425" s="195"/>
      <c r="L425" s="195"/>
      <c r="M425" s="195"/>
      <c r="N425" s="195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</row>
    <row r="426">
      <c r="A426" s="193"/>
      <c r="B426" s="193"/>
      <c r="C426" s="193"/>
      <c r="D426" s="193"/>
      <c r="E426" s="193"/>
      <c r="F426" s="193"/>
      <c r="G426" s="195"/>
      <c r="H426" s="195"/>
      <c r="I426" s="195"/>
      <c r="J426" s="195"/>
      <c r="K426" s="195"/>
      <c r="L426" s="195"/>
      <c r="M426" s="195"/>
      <c r="N426" s="195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</row>
    <row r="427">
      <c r="A427" s="193"/>
      <c r="B427" s="193"/>
      <c r="C427" s="193"/>
      <c r="D427" s="193"/>
      <c r="E427" s="193"/>
      <c r="F427" s="193"/>
      <c r="G427" s="195"/>
      <c r="H427" s="195"/>
      <c r="I427" s="195"/>
      <c r="J427" s="195"/>
      <c r="K427" s="195"/>
      <c r="L427" s="195"/>
      <c r="M427" s="195"/>
      <c r="N427" s="195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</row>
    <row r="428">
      <c r="A428" s="193"/>
      <c r="B428" s="193"/>
      <c r="C428" s="193"/>
      <c r="D428" s="193"/>
      <c r="E428" s="193"/>
      <c r="F428" s="193"/>
      <c r="G428" s="195"/>
      <c r="H428" s="195"/>
      <c r="I428" s="195"/>
      <c r="J428" s="195"/>
      <c r="K428" s="195"/>
      <c r="L428" s="195"/>
      <c r="M428" s="195"/>
      <c r="N428" s="195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</row>
    <row r="429">
      <c r="A429" s="193"/>
      <c r="B429" s="193"/>
      <c r="C429" s="193"/>
      <c r="D429" s="193"/>
      <c r="E429" s="193"/>
      <c r="F429" s="193"/>
      <c r="G429" s="195"/>
      <c r="H429" s="195"/>
      <c r="I429" s="195"/>
      <c r="J429" s="195"/>
      <c r="K429" s="195"/>
      <c r="L429" s="195"/>
      <c r="M429" s="195"/>
      <c r="N429" s="195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</row>
    <row r="430">
      <c r="A430" s="193"/>
      <c r="B430" s="193"/>
      <c r="C430" s="193"/>
      <c r="D430" s="193"/>
      <c r="E430" s="193"/>
      <c r="F430" s="193"/>
      <c r="G430" s="195"/>
      <c r="H430" s="195"/>
      <c r="I430" s="195"/>
      <c r="J430" s="195"/>
      <c r="K430" s="195"/>
      <c r="L430" s="195"/>
      <c r="M430" s="195"/>
      <c r="N430" s="195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</row>
    <row r="431">
      <c r="A431" s="193"/>
      <c r="B431" s="193"/>
      <c r="C431" s="193"/>
      <c r="D431" s="193"/>
      <c r="E431" s="193"/>
      <c r="F431" s="193"/>
      <c r="G431" s="195"/>
      <c r="H431" s="195"/>
      <c r="I431" s="195"/>
      <c r="J431" s="195"/>
      <c r="K431" s="195"/>
      <c r="L431" s="195"/>
      <c r="M431" s="195"/>
      <c r="N431" s="195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</row>
    <row r="432">
      <c r="A432" s="193"/>
      <c r="B432" s="193"/>
      <c r="C432" s="193"/>
      <c r="D432" s="193"/>
      <c r="E432" s="193"/>
      <c r="F432" s="193"/>
      <c r="G432" s="195"/>
      <c r="H432" s="195"/>
      <c r="I432" s="195"/>
      <c r="J432" s="195"/>
      <c r="K432" s="195"/>
      <c r="L432" s="195"/>
      <c r="M432" s="195"/>
      <c r="N432" s="195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</row>
    <row r="433">
      <c r="A433" s="193"/>
      <c r="B433" s="193"/>
      <c r="C433" s="193"/>
      <c r="D433" s="193"/>
      <c r="E433" s="193"/>
      <c r="F433" s="193"/>
      <c r="G433" s="195"/>
      <c r="H433" s="195"/>
      <c r="I433" s="195"/>
      <c r="J433" s="195"/>
      <c r="K433" s="195"/>
      <c r="L433" s="195"/>
      <c r="M433" s="195"/>
      <c r="N433" s="195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</row>
    <row r="434">
      <c r="A434" s="193"/>
      <c r="B434" s="193"/>
      <c r="C434" s="193"/>
      <c r="D434" s="193"/>
      <c r="E434" s="193"/>
      <c r="F434" s="193"/>
      <c r="G434" s="195"/>
      <c r="H434" s="195"/>
      <c r="I434" s="195"/>
      <c r="J434" s="195"/>
      <c r="K434" s="195"/>
      <c r="L434" s="195"/>
      <c r="M434" s="195"/>
      <c r="N434" s="195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</row>
    <row r="435">
      <c r="A435" s="193"/>
      <c r="B435" s="193"/>
      <c r="C435" s="193"/>
      <c r="D435" s="193"/>
      <c r="E435" s="193"/>
      <c r="F435" s="193"/>
      <c r="G435" s="195"/>
      <c r="H435" s="195"/>
      <c r="I435" s="195"/>
      <c r="J435" s="195"/>
      <c r="K435" s="195"/>
      <c r="L435" s="195"/>
      <c r="M435" s="195"/>
      <c r="N435" s="195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</row>
    <row r="436">
      <c r="A436" s="193"/>
      <c r="B436" s="193"/>
      <c r="C436" s="193"/>
      <c r="D436" s="193"/>
      <c r="E436" s="193"/>
      <c r="F436" s="193"/>
      <c r="G436" s="195"/>
      <c r="H436" s="195"/>
      <c r="I436" s="195"/>
      <c r="J436" s="195"/>
      <c r="K436" s="195"/>
      <c r="L436" s="195"/>
      <c r="M436" s="195"/>
      <c r="N436" s="195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</row>
    <row r="437">
      <c r="A437" s="193"/>
      <c r="B437" s="193"/>
      <c r="C437" s="193"/>
      <c r="D437" s="193"/>
      <c r="E437" s="193"/>
      <c r="F437" s="193"/>
      <c r="G437" s="195"/>
      <c r="H437" s="195"/>
      <c r="I437" s="195"/>
      <c r="J437" s="195"/>
      <c r="K437" s="195"/>
      <c r="L437" s="195"/>
      <c r="M437" s="195"/>
      <c r="N437" s="195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</row>
    <row r="438">
      <c r="A438" s="193"/>
      <c r="B438" s="193"/>
      <c r="C438" s="193"/>
      <c r="D438" s="193"/>
      <c r="E438" s="193"/>
      <c r="F438" s="193"/>
      <c r="G438" s="195"/>
      <c r="H438" s="195"/>
      <c r="I438" s="195"/>
      <c r="J438" s="195"/>
      <c r="K438" s="195"/>
      <c r="L438" s="195"/>
      <c r="M438" s="195"/>
      <c r="N438" s="195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</row>
    <row r="439">
      <c r="A439" s="193"/>
      <c r="B439" s="193"/>
      <c r="C439" s="193"/>
      <c r="D439" s="193"/>
      <c r="E439" s="193"/>
      <c r="F439" s="193"/>
      <c r="G439" s="195"/>
      <c r="H439" s="195"/>
      <c r="I439" s="195"/>
      <c r="J439" s="195"/>
      <c r="K439" s="195"/>
      <c r="L439" s="195"/>
      <c r="M439" s="195"/>
      <c r="N439" s="195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</row>
    <row r="440">
      <c r="A440" s="193"/>
      <c r="B440" s="193"/>
      <c r="C440" s="193"/>
      <c r="D440" s="193"/>
      <c r="E440" s="193"/>
      <c r="F440" s="193"/>
      <c r="G440" s="195"/>
      <c r="H440" s="195"/>
      <c r="I440" s="195"/>
      <c r="J440" s="195"/>
      <c r="K440" s="195"/>
      <c r="L440" s="195"/>
      <c r="M440" s="195"/>
      <c r="N440" s="195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</row>
    <row r="441">
      <c r="A441" s="193"/>
      <c r="B441" s="193"/>
      <c r="C441" s="193"/>
      <c r="D441" s="193"/>
      <c r="E441" s="193"/>
      <c r="F441" s="193"/>
      <c r="G441" s="195"/>
      <c r="H441" s="195"/>
      <c r="I441" s="195"/>
      <c r="J441" s="195"/>
      <c r="K441" s="195"/>
      <c r="L441" s="195"/>
      <c r="M441" s="195"/>
      <c r="N441" s="195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</row>
    <row r="442">
      <c r="A442" s="193"/>
      <c r="B442" s="193"/>
      <c r="C442" s="193"/>
      <c r="D442" s="193"/>
      <c r="E442" s="193"/>
      <c r="F442" s="193"/>
      <c r="G442" s="195"/>
      <c r="H442" s="195"/>
      <c r="I442" s="195"/>
      <c r="J442" s="195"/>
      <c r="K442" s="195"/>
      <c r="L442" s="195"/>
      <c r="M442" s="195"/>
      <c r="N442" s="195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</row>
    <row r="443">
      <c r="A443" s="193"/>
      <c r="B443" s="193"/>
      <c r="C443" s="193"/>
      <c r="D443" s="193"/>
      <c r="E443" s="193"/>
      <c r="F443" s="193"/>
      <c r="G443" s="195"/>
      <c r="H443" s="195"/>
      <c r="I443" s="195"/>
      <c r="J443" s="195"/>
      <c r="K443" s="195"/>
      <c r="L443" s="195"/>
      <c r="M443" s="195"/>
      <c r="N443" s="195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</row>
    <row r="444">
      <c r="A444" s="193"/>
      <c r="B444" s="193"/>
      <c r="C444" s="193"/>
      <c r="D444" s="193"/>
      <c r="E444" s="193"/>
      <c r="F444" s="193"/>
      <c r="G444" s="195"/>
      <c r="H444" s="195"/>
      <c r="I444" s="195"/>
      <c r="J444" s="195"/>
      <c r="K444" s="195"/>
      <c r="L444" s="195"/>
      <c r="M444" s="195"/>
      <c r="N444" s="195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</row>
    <row r="445">
      <c r="A445" s="193"/>
      <c r="B445" s="193"/>
      <c r="C445" s="193"/>
      <c r="D445" s="193"/>
      <c r="E445" s="193"/>
      <c r="F445" s="193"/>
      <c r="G445" s="195"/>
      <c r="H445" s="195"/>
      <c r="I445" s="195"/>
      <c r="J445" s="195"/>
      <c r="K445" s="195"/>
      <c r="L445" s="195"/>
      <c r="M445" s="195"/>
      <c r="N445" s="195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</row>
    <row r="446">
      <c r="A446" s="193"/>
      <c r="B446" s="193"/>
      <c r="C446" s="193"/>
      <c r="D446" s="193"/>
      <c r="E446" s="193"/>
      <c r="F446" s="193"/>
      <c r="G446" s="195"/>
      <c r="H446" s="195"/>
      <c r="I446" s="195"/>
      <c r="J446" s="195"/>
      <c r="K446" s="195"/>
      <c r="L446" s="195"/>
      <c r="M446" s="195"/>
      <c r="N446" s="195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</row>
    <row r="447">
      <c r="A447" s="193"/>
      <c r="B447" s="193"/>
      <c r="C447" s="193"/>
      <c r="D447" s="193"/>
      <c r="E447" s="193"/>
      <c r="F447" s="193"/>
      <c r="G447" s="195"/>
      <c r="H447" s="195"/>
      <c r="I447" s="195"/>
      <c r="J447" s="195"/>
      <c r="K447" s="195"/>
      <c r="L447" s="195"/>
      <c r="M447" s="195"/>
      <c r="N447" s="195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</row>
    <row r="448">
      <c r="A448" s="193"/>
      <c r="B448" s="193"/>
      <c r="C448" s="193"/>
      <c r="D448" s="193"/>
      <c r="E448" s="193"/>
      <c r="F448" s="193"/>
      <c r="G448" s="195"/>
      <c r="H448" s="195"/>
      <c r="I448" s="195"/>
      <c r="J448" s="195"/>
      <c r="K448" s="195"/>
      <c r="L448" s="195"/>
      <c r="M448" s="195"/>
      <c r="N448" s="195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</row>
    <row r="449">
      <c r="A449" s="193"/>
      <c r="B449" s="193"/>
      <c r="C449" s="193"/>
      <c r="D449" s="193"/>
      <c r="E449" s="193"/>
      <c r="F449" s="193"/>
      <c r="G449" s="195"/>
      <c r="H449" s="195"/>
      <c r="I449" s="195"/>
      <c r="J449" s="195"/>
      <c r="K449" s="195"/>
      <c r="L449" s="195"/>
      <c r="M449" s="195"/>
      <c r="N449" s="195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</row>
    <row r="450">
      <c r="A450" s="193"/>
      <c r="B450" s="193"/>
      <c r="C450" s="193"/>
      <c r="D450" s="193"/>
      <c r="E450" s="193"/>
      <c r="F450" s="193"/>
      <c r="G450" s="195"/>
      <c r="H450" s="195"/>
      <c r="I450" s="195"/>
      <c r="J450" s="195"/>
      <c r="K450" s="195"/>
      <c r="L450" s="195"/>
      <c r="M450" s="195"/>
      <c r="N450" s="195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</row>
    <row r="451">
      <c r="A451" s="193"/>
      <c r="B451" s="193"/>
      <c r="C451" s="193"/>
      <c r="D451" s="193"/>
      <c r="E451" s="193"/>
      <c r="F451" s="193"/>
      <c r="G451" s="195"/>
      <c r="H451" s="195"/>
      <c r="I451" s="195"/>
      <c r="J451" s="195"/>
      <c r="K451" s="195"/>
      <c r="L451" s="195"/>
      <c r="M451" s="195"/>
      <c r="N451" s="195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</row>
    <row r="452">
      <c r="A452" s="193"/>
      <c r="B452" s="193"/>
      <c r="C452" s="193"/>
      <c r="D452" s="193"/>
      <c r="E452" s="193"/>
      <c r="F452" s="193"/>
      <c r="G452" s="195"/>
      <c r="H452" s="195"/>
      <c r="I452" s="195"/>
      <c r="J452" s="195"/>
      <c r="K452" s="195"/>
      <c r="L452" s="195"/>
      <c r="M452" s="195"/>
      <c r="N452" s="195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</row>
    <row r="453">
      <c r="A453" s="193"/>
      <c r="B453" s="193"/>
      <c r="C453" s="193"/>
      <c r="D453" s="193"/>
      <c r="E453" s="193"/>
      <c r="F453" s="193"/>
      <c r="G453" s="195"/>
      <c r="H453" s="195"/>
      <c r="I453" s="195"/>
      <c r="J453" s="195"/>
      <c r="K453" s="195"/>
      <c r="L453" s="195"/>
      <c r="M453" s="195"/>
      <c r="N453" s="195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</row>
    <row r="454">
      <c r="A454" s="193"/>
      <c r="B454" s="193"/>
      <c r="C454" s="193"/>
      <c r="D454" s="193"/>
      <c r="E454" s="193"/>
      <c r="F454" s="193"/>
      <c r="G454" s="195"/>
      <c r="H454" s="195"/>
      <c r="I454" s="195"/>
      <c r="J454" s="195"/>
      <c r="K454" s="195"/>
      <c r="L454" s="195"/>
      <c r="M454" s="195"/>
      <c r="N454" s="195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</row>
    <row r="455">
      <c r="A455" s="193"/>
      <c r="B455" s="193"/>
      <c r="C455" s="193"/>
      <c r="D455" s="193"/>
      <c r="E455" s="193"/>
      <c r="F455" s="193"/>
      <c r="G455" s="195"/>
      <c r="H455" s="195"/>
      <c r="I455" s="195"/>
      <c r="J455" s="195"/>
      <c r="K455" s="195"/>
      <c r="L455" s="195"/>
      <c r="M455" s="195"/>
      <c r="N455" s="195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</row>
    <row r="456">
      <c r="A456" s="193"/>
      <c r="B456" s="193"/>
      <c r="C456" s="193"/>
      <c r="D456" s="193"/>
      <c r="E456" s="193"/>
      <c r="F456" s="193"/>
      <c r="G456" s="195"/>
      <c r="H456" s="195"/>
      <c r="I456" s="195"/>
      <c r="J456" s="195"/>
      <c r="K456" s="195"/>
      <c r="L456" s="195"/>
      <c r="M456" s="195"/>
      <c r="N456" s="195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</row>
    <row r="457">
      <c r="A457" s="193"/>
      <c r="B457" s="193"/>
      <c r="C457" s="193"/>
      <c r="D457" s="193"/>
      <c r="E457" s="193"/>
      <c r="F457" s="193"/>
      <c r="G457" s="195"/>
      <c r="H457" s="195"/>
      <c r="I457" s="195"/>
      <c r="J457" s="195"/>
      <c r="K457" s="195"/>
      <c r="L457" s="195"/>
      <c r="M457" s="195"/>
      <c r="N457" s="195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</row>
    <row r="458">
      <c r="A458" s="193"/>
      <c r="B458" s="193"/>
      <c r="C458" s="193"/>
      <c r="D458" s="193"/>
      <c r="E458" s="193"/>
      <c r="F458" s="193"/>
      <c r="G458" s="195"/>
      <c r="H458" s="195"/>
      <c r="I458" s="195"/>
      <c r="J458" s="195"/>
      <c r="K458" s="195"/>
      <c r="L458" s="195"/>
      <c r="M458" s="195"/>
      <c r="N458" s="195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</row>
    <row r="459">
      <c r="A459" s="193"/>
      <c r="B459" s="193"/>
      <c r="C459" s="193"/>
      <c r="D459" s="193"/>
      <c r="E459" s="193"/>
      <c r="F459" s="193"/>
      <c r="G459" s="195"/>
      <c r="H459" s="195"/>
      <c r="I459" s="195"/>
      <c r="J459" s="195"/>
      <c r="K459" s="195"/>
      <c r="L459" s="195"/>
      <c r="M459" s="195"/>
      <c r="N459" s="195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</row>
    <row r="460">
      <c r="A460" s="193"/>
      <c r="B460" s="193"/>
      <c r="C460" s="193"/>
      <c r="D460" s="193"/>
      <c r="E460" s="193"/>
      <c r="F460" s="193"/>
      <c r="G460" s="195"/>
      <c r="H460" s="195"/>
      <c r="I460" s="195"/>
      <c r="J460" s="195"/>
      <c r="K460" s="195"/>
      <c r="L460" s="195"/>
      <c r="M460" s="195"/>
      <c r="N460" s="195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</row>
    <row r="461">
      <c r="A461" s="193"/>
      <c r="B461" s="193"/>
      <c r="C461" s="193"/>
      <c r="D461" s="193"/>
      <c r="E461" s="193"/>
      <c r="F461" s="193"/>
      <c r="G461" s="195"/>
      <c r="H461" s="195"/>
      <c r="I461" s="195"/>
      <c r="J461" s="195"/>
      <c r="K461" s="195"/>
      <c r="L461" s="195"/>
      <c r="M461" s="195"/>
      <c r="N461" s="195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</row>
    <row r="462">
      <c r="A462" s="193"/>
      <c r="B462" s="193"/>
      <c r="C462" s="193"/>
      <c r="D462" s="193"/>
      <c r="E462" s="193"/>
      <c r="F462" s="193"/>
      <c r="G462" s="195"/>
      <c r="H462" s="195"/>
      <c r="I462" s="195"/>
      <c r="J462" s="195"/>
      <c r="K462" s="195"/>
      <c r="L462" s="195"/>
      <c r="M462" s="195"/>
      <c r="N462" s="195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</row>
    <row r="463">
      <c r="A463" s="193"/>
      <c r="B463" s="193"/>
      <c r="C463" s="193"/>
      <c r="D463" s="193"/>
      <c r="E463" s="193"/>
      <c r="F463" s="193"/>
      <c r="G463" s="195"/>
      <c r="H463" s="195"/>
      <c r="I463" s="195"/>
      <c r="J463" s="195"/>
      <c r="K463" s="195"/>
      <c r="L463" s="195"/>
      <c r="M463" s="195"/>
      <c r="N463" s="195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</row>
    <row r="464">
      <c r="A464" s="193"/>
      <c r="B464" s="193"/>
      <c r="C464" s="193"/>
      <c r="D464" s="193"/>
      <c r="E464" s="193"/>
      <c r="F464" s="193"/>
      <c r="G464" s="195"/>
      <c r="H464" s="195"/>
      <c r="I464" s="195"/>
      <c r="J464" s="195"/>
      <c r="K464" s="195"/>
      <c r="L464" s="195"/>
      <c r="M464" s="195"/>
      <c r="N464" s="195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</row>
    <row r="465">
      <c r="A465" s="193"/>
      <c r="B465" s="193"/>
      <c r="C465" s="193"/>
      <c r="D465" s="193"/>
      <c r="E465" s="193"/>
      <c r="F465" s="193"/>
      <c r="G465" s="195"/>
      <c r="H465" s="195"/>
      <c r="I465" s="195"/>
      <c r="J465" s="195"/>
      <c r="K465" s="195"/>
      <c r="L465" s="195"/>
      <c r="M465" s="195"/>
      <c r="N465" s="195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</row>
    <row r="466">
      <c r="A466" s="193"/>
      <c r="B466" s="193"/>
      <c r="C466" s="193"/>
      <c r="D466" s="193"/>
      <c r="E466" s="193"/>
      <c r="F466" s="193"/>
      <c r="G466" s="195"/>
      <c r="H466" s="195"/>
      <c r="I466" s="195"/>
      <c r="J466" s="195"/>
      <c r="K466" s="195"/>
      <c r="L466" s="195"/>
      <c r="M466" s="195"/>
      <c r="N466" s="195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</row>
    <row r="467">
      <c r="A467" s="193"/>
      <c r="B467" s="193"/>
      <c r="C467" s="193"/>
      <c r="D467" s="193"/>
      <c r="E467" s="193"/>
      <c r="F467" s="193"/>
      <c r="G467" s="195"/>
      <c r="H467" s="195"/>
      <c r="I467" s="195"/>
      <c r="J467" s="195"/>
      <c r="K467" s="195"/>
      <c r="L467" s="195"/>
      <c r="M467" s="195"/>
      <c r="N467" s="195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</row>
    <row r="468">
      <c r="A468" s="193"/>
      <c r="B468" s="193"/>
      <c r="C468" s="193"/>
      <c r="D468" s="193"/>
      <c r="E468" s="193"/>
      <c r="F468" s="193"/>
      <c r="G468" s="195"/>
      <c r="H468" s="195"/>
      <c r="I468" s="195"/>
      <c r="J468" s="195"/>
      <c r="K468" s="195"/>
      <c r="L468" s="195"/>
      <c r="M468" s="195"/>
      <c r="N468" s="195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</row>
    <row r="469">
      <c r="A469" s="193"/>
      <c r="B469" s="193"/>
      <c r="C469" s="193"/>
      <c r="D469" s="193"/>
      <c r="E469" s="193"/>
      <c r="F469" s="193"/>
      <c r="G469" s="195"/>
      <c r="H469" s="195"/>
      <c r="I469" s="195"/>
      <c r="J469" s="195"/>
      <c r="K469" s="195"/>
      <c r="L469" s="195"/>
      <c r="M469" s="195"/>
      <c r="N469" s="195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</row>
    <row r="470">
      <c r="A470" s="193"/>
      <c r="B470" s="193"/>
      <c r="C470" s="193"/>
      <c r="D470" s="193"/>
      <c r="E470" s="193"/>
      <c r="F470" s="193"/>
      <c r="G470" s="195"/>
      <c r="H470" s="195"/>
      <c r="I470" s="195"/>
      <c r="J470" s="195"/>
      <c r="K470" s="195"/>
      <c r="L470" s="195"/>
      <c r="M470" s="195"/>
      <c r="N470" s="195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</row>
    <row r="471">
      <c r="A471" s="193"/>
      <c r="B471" s="193"/>
      <c r="C471" s="193"/>
      <c r="D471" s="193"/>
      <c r="E471" s="193"/>
      <c r="F471" s="193"/>
      <c r="G471" s="195"/>
      <c r="H471" s="195"/>
      <c r="I471" s="195"/>
      <c r="J471" s="195"/>
      <c r="K471" s="195"/>
      <c r="L471" s="195"/>
      <c r="M471" s="195"/>
      <c r="N471" s="195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</row>
    <row r="472">
      <c r="A472" s="193"/>
      <c r="B472" s="193"/>
      <c r="C472" s="193"/>
      <c r="D472" s="193"/>
      <c r="E472" s="193"/>
      <c r="F472" s="193"/>
      <c r="G472" s="195"/>
      <c r="H472" s="195"/>
      <c r="I472" s="195"/>
      <c r="J472" s="195"/>
      <c r="K472" s="195"/>
      <c r="L472" s="195"/>
      <c r="M472" s="195"/>
      <c r="N472" s="195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</row>
    <row r="473">
      <c r="A473" s="193"/>
      <c r="B473" s="193"/>
      <c r="C473" s="193"/>
      <c r="D473" s="193"/>
      <c r="E473" s="193"/>
      <c r="F473" s="193"/>
      <c r="G473" s="195"/>
      <c r="H473" s="195"/>
      <c r="I473" s="195"/>
      <c r="J473" s="195"/>
      <c r="K473" s="195"/>
      <c r="L473" s="195"/>
      <c r="M473" s="195"/>
      <c r="N473" s="195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</row>
    <row r="474">
      <c r="A474" s="193"/>
      <c r="B474" s="193"/>
      <c r="C474" s="193"/>
      <c r="D474" s="193"/>
      <c r="E474" s="193"/>
      <c r="F474" s="193"/>
      <c r="G474" s="195"/>
      <c r="H474" s="195"/>
      <c r="I474" s="195"/>
      <c r="J474" s="195"/>
      <c r="K474" s="195"/>
      <c r="L474" s="195"/>
      <c r="M474" s="195"/>
      <c r="N474" s="195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</row>
    <row r="475">
      <c r="A475" s="193"/>
      <c r="B475" s="193"/>
      <c r="C475" s="193"/>
      <c r="D475" s="193"/>
      <c r="E475" s="193"/>
      <c r="F475" s="193"/>
      <c r="G475" s="195"/>
      <c r="H475" s="195"/>
      <c r="I475" s="195"/>
      <c r="J475" s="195"/>
      <c r="K475" s="195"/>
      <c r="L475" s="195"/>
      <c r="M475" s="195"/>
      <c r="N475" s="195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</row>
    <row r="476">
      <c r="A476" s="193"/>
      <c r="B476" s="193"/>
      <c r="C476" s="193"/>
      <c r="D476" s="193"/>
      <c r="E476" s="193"/>
      <c r="F476" s="193"/>
      <c r="G476" s="195"/>
      <c r="H476" s="195"/>
      <c r="I476" s="195"/>
      <c r="J476" s="195"/>
      <c r="K476" s="195"/>
      <c r="L476" s="195"/>
      <c r="M476" s="195"/>
      <c r="N476" s="195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</row>
    <row r="477">
      <c r="A477" s="193"/>
      <c r="B477" s="193"/>
      <c r="C477" s="193"/>
      <c r="D477" s="193"/>
      <c r="E477" s="193"/>
      <c r="F477" s="193"/>
      <c r="G477" s="195"/>
      <c r="H477" s="195"/>
      <c r="I477" s="195"/>
      <c r="J477" s="195"/>
      <c r="K477" s="195"/>
      <c r="L477" s="195"/>
      <c r="M477" s="195"/>
      <c r="N477" s="195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</row>
    <row r="478">
      <c r="A478" s="193"/>
      <c r="B478" s="193"/>
      <c r="C478" s="193"/>
      <c r="D478" s="193"/>
      <c r="E478" s="193"/>
      <c r="F478" s="193"/>
      <c r="G478" s="195"/>
      <c r="H478" s="195"/>
      <c r="I478" s="195"/>
      <c r="J478" s="195"/>
      <c r="K478" s="195"/>
      <c r="L478" s="195"/>
      <c r="M478" s="195"/>
      <c r="N478" s="195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</row>
    <row r="479">
      <c r="A479" s="193"/>
      <c r="B479" s="193"/>
      <c r="C479" s="193"/>
      <c r="D479" s="193"/>
      <c r="E479" s="193"/>
      <c r="F479" s="193"/>
      <c r="G479" s="195"/>
      <c r="H479" s="195"/>
      <c r="I479" s="195"/>
      <c r="J479" s="195"/>
      <c r="K479" s="195"/>
      <c r="L479" s="195"/>
      <c r="M479" s="195"/>
      <c r="N479" s="195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</row>
    <row r="480">
      <c r="A480" s="193"/>
      <c r="B480" s="193"/>
      <c r="C480" s="193"/>
      <c r="D480" s="193"/>
      <c r="E480" s="193"/>
      <c r="F480" s="193"/>
      <c r="G480" s="195"/>
      <c r="H480" s="195"/>
      <c r="I480" s="195"/>
      <c r="J480" s="195"/>
      <c r="K480" s="195"/>
      <c r="L480" s="195"/>
      <c r="M480" s="195"/>
      <c r="N480" s="195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</row>
    <row r="481">
      <c r="A481" s="193"/>
      <c r="B481" s="193"/>
      <c r="C481" s="193"/>
      <c r="D481" s="193"/>
      <c r="E481" s="193"/>
      <c r="F481" s="193"/>
      <c r="G481" s="195"/>
      <c r="H481" s="195"/>
      <c r="I481" s="195"/>
      <c r="J481" s="195"/>
      <c r="K481" s="195"/>
      <c r="L481" s="195"/>
      <c r="M481" s="195"/>
      <c r="N481" s="195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</row>
    <row r="482">
      <c r="A482" s="193"/>
      <c r="B482" s="193"/>
      <c r="C482" s="193"/>
      <c r="D482" s="193"/>
      <c r="E482" s="193"/>
      <c r="F482" s="193"/>
      <c r="G482" s="195"/>
      <c r="H482" s="195"/>
      <c r="I482" s="195"/>
      <c r="J482" s="195"/>
      <c r="K482" s="195"/>
      <c r="L482" s="195"/>
      <c r="M482" s="195"/>
      <c r="N482" s="195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</row>
    <row r="483">
      <c r="A483" s="193"/>
      <c r="B483" s="193"/>
      <c r="C483" s="193"/>
      <c r="D483" s="193"/>
      <c r="E483" s="193"/>
      <c r="F483" s="193"/>
      <c r="G483" s="195"/>
      <c r="H483" s="195"/>
      <c r="I483" s="195"/>
      <c r="J483" s="195"/>
      <c r="K483" s="195"/>
      <c r="L483" s="195"/>
      <c r="M483" s="195"/>
      <c r="N483" s="195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</row>
    <row r="484">
      <c r="A484" s="193"/>
      <c r="B484" s="193"/>
      <c r="C484" s="193"/>
      <c r="D484" s="193"/>
      <c r="E484" s="193"/>
      <c r="F484" s="193"/>
      <c r="G484" s="195"/>
      <c r="H484" s="195"/>
      <c r="I484" s="195"/>
      <c r="J484" s="195"/>
      <c r="K484" s="195"/>
      <c r="L484" s="195"/>
      <c r="M484" s="195"/>
      <c r="N484" s="195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</row>
    <row r="485">
      <c r="A485" s="193"/>
      <c r="B485" s="193"/>
      <c r="C485" s="193"/>
      <c r="D485" s="193"/>
      <c r="E485" s="193"/>
      <c r="F485" s="193"/>
      <c r="G485" s="195"/>
      <c r="H485" s="195"/>
      <c r="I485" s="195"/>
      <c r="J485" s="195"/>
      <c r="K485" s="195"/>
      <c r="L485" s="195"/>
      <c r="M485" s="195"/>
      <c r="N485" s="195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</row>
    <row r="486">
      <c r="A486" s="193"/>
      <c r="B486" s="193"/>
      <c r="C486" s="193"/>
      <c r="D486" s="193"/>
      <c r="E486" s="193"/>
      <c r="F486" s="193"/>
      <c r="G486" s="195"/>
      <c r="H486" s="195"/>
      <c r="I486" s="195"/>
      <c r="J486" s="195"/>
      <c r="K486" s="195"/>
      <c r="L486" s="195"/>
      <c r="M486" s="195"/>
      <c r="N486" s="195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</row>
    <row r="487">
      <c r="A487" s="193"/>
      <c r="B487" s="193"/>
      <c r="C487" s="193"/>
      <c r="D487" s="193"/>
      <c r="E487" s="193"/>
      <c r="F487" s="193"/>
      <c r="G487" s="195"/>
      <c r="H487" s="195"/>
      <c r="I487" s="195"/>
      <c r="J487" s="195"/>
      <c r="K487" s="195"/>
      <c r="L487" s="195"/>
      <c r="M487" s="195"/>
      <c r="N487" s="195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</row>
    <row r="488">
      <c r="A488" s="193"/>
      <c r="B488" s="193"/>
      <c r="C488" s="193"/>
      <c r="D488" s="193"/>
      <c r="E488" s="193"/>
      <c r="F488" s="193"/>
      <c r="G488" s="195"/>
      <c r="H488" s="195"/>
      <c r="I488" s="195"/>
      <c r="J488" s="195"/>
      <c r="K488" s="195"/>
      <c r="L488" s="195"/>
      <c r="M488" s="195"/>
      <c r="N488" s="195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</row>
    <row r="489">
      <c r="A489" s="193"/>
      <c r="B489" s="193"/>
      <c r="C489" s="193"/>
      <c r="D489" s="193"/>
      <c r="E489" s="193"/>
      <c r="F489" s="193"/>
      <c r="G489" s="195"/>
      <c r="H489" s="195"/>
      <c r="I489" s="195"/>
      <c r="J489" s="195"/>
      <c r="K489" s="195"/>
      <c r="L489" s="195"/>
      <c r="M489" s="195"/>
      <c r="N489" s="195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</row>
    <row r="490">
      <c r="A490" s="193"/>
      <c r="B490" s="193"/>
      <c r="C490" s="193"/>
      <c r="D490" s="193"/>
      <c r="E490" s="193"/>
      <c r="F490" s="193"/>
      <c r="G490" s="195"/>
      <c r="H490" s="195"/>
      <c r="I490" s="195"/>
      <c r="J490" s="195"/>
      <c r="K490" s="195"/>
      <c r="L490" s="195"/>
      <c r="M490" s="195"/>
      <c r="N490" s="195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</row>
    <row r="491">
      <c r="A491" s="193"/>
      <c r="B491" s="193"/>
      <c r="C491" s="193"/>
      <c r="D491" s="193"/>
      <c r="E491" s="193"/>
      <c r="F491" s="193"/>
      <c r="G491" s="195"/>
      <c r="H491" s="195"/>
      <c r="I491" s="195"/>
      <c r="J491" s="195"/>
      <c r="K491" s="195"/>
      <c r="L491" s="195"/>
      <c r="M491" s="195"/>
      <c r="N491" s="195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</row>
    <row r="492">
      <c r="A492" s="193"/>
      <c r="B492" s="193"/>
      <c r="C492" s="193"/>
      <c r="D492" s="193"/>
      <c r="E492" s="193"/>
      <c r="F492" s="193"/>
      <c r="G492" s="195"/>
      <c r="H492" s="195"/>
      <c r="I492" s="195"/>
      <c r="J492" s="195"/>
      <c r="K492" s="195"/>
      <c r="L492" s="195"/>
      <c r="M492" s="195"/>
      <c r="N492" s="195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</row>
    <row r="493">
      <c r="A493" s="193"/>
      <c r="B493" s="193"/>
      <c r="C493" s="193"/>
      <c r="D493" s="193"/>
      <c r="E493" s="193"/>
      <c r="F493" s="193"/>
      <c r="G493" s="195"/>
      <c r="H493" s="195"/>
      <c r="I493" s="195"/>
      <c r="J493" s="195"/>
      <c r="K493" s="195"/>
      <c r="L493" s="195"/>
      <c r="M493" s="195"/>
      <c r="N493" s="195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</row>
    <row r="494">
      <c r="A494" s="193"/>
      <c r="B494" s="193"/>
      <c r="C494" s="193"/>
      <c r="D494" s="193"/>
      <c r="E494" s="193"/>
      <c r="F494" s="193"/>
      <c r="G494" s="195"/>
      <c r="H494" s="195"/>
      <c r="I494" s="195"/>
      <c r="J494" s="195"/>
      <c r="K494" s="195"/>
      <c r="L494" s="195"/>
      <c r="M494" s="195"/>
      <c r="N494" s="195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</row>
    <row r="495">
      <c r="A495" s="193"/>
      <c r="B495" s="193"/>
      <c r="C495" s="193"/>
      <c r="D495" s="193"/>
      <c r="E495" s="193"/>
      <c r="F495" s="193"/>
      <c r="G495" s="195"/>
      <c r="H495" s="195"/>
      <c r="I495" s="195"/>
      <c r="J495" s="195"/>
      <c r="K495" s="195"/>
      <c r="L495" s="195"/>
      <c r="M495" s="195"/>
      <c r="N495" s="195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</row>
    <row r="496">
      <c r="A496" s="193"/>
      <c r="B496" s="193"/>
      <c r="C496" s="193"/>
      <c r="D496" s="193"/>
      <c r="E496" s="193"/>
      <c r="F496" s="193"/>
      <c r="G496" s="195"/>
      <c r="H496" s="195"/>
      <c r="I496" s="195"/>
      <c r="J496" s="195"/>
      <c r="K496" s="195"/>
      <c r="L496" s="195"/>
      <c r="M496" s="195"/>
      <c r="N496" s="195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</row>
    <row r="497">
      <c r="A497" s="193"/>
      <c r="B497" s="193"/>
      <c r="C497" s="193"/>
      <c r="D497" s="193"/>
      <c r="E497" s="193"/>
      <c r="F497" s="193"/>
      <c r="G497" s="195"/>
      <c r="H497" s="195"/>
      <c r="I497" s="195"/>
      <c r="J497" s="195"/>
      <c r="K497" s="195"/>
      <c r="L497" s="195"/>
      <c r="M497" s="195"/>
      <c r="N497" s="195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</row>
    <row r="498">
      <c r="A498" s="193"/>
      <c r="B498" s="193"/>
      <c r="C498" s="193"/>
      <c r="D498" s="193"/>
      <c r="E498" s="193"/>
      <c r="F498" s="193"/>
      <c r="G498" s="195"/>
      <c r="H498" s="195"/>
      <c r="I498" s="195"/>
      <c r="J498" s="195"/>
      <c r="K498" s="195"/>
      <c r="L498" s="195"/>
      <c r="M498" s="195"/>
      <c r="N498" s="195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</row>
    <row r="499">
      <c r="A499" s="193"/>
      <c r="B499" s="193"/>
      <c r="C499" s="193"/>
      <c r="D499" s="193"/>
      <c r="E499" s="193"/>
      <c r="F499" s="193"/>
      <c r="G499" s="195"/>
      <c r="H499" s="195"/>
      <c r="I499" s="195"/>
      <c r="J499" s="195"/>
      <c r="K499" s="195"/>
      <c r="L499" s="195"/>
      <c r="M499" s="195"/>
      <c r="N499" s="195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</row>
    <row r="500">
      <c r="A500" s="193"/>
      <c r="B500" s="193"/>
      <c r="C500" s="193"/>
      <c r="D500" s="193"/>
      <c r="E500" s="193"/>
      <c r="F500" s="193"/>
      <c r="G500" s="195"/>
      <c r="H500" s="195"/>
      <c r="I500" s="195"/>
      <c r="J500" s="195"/>
      <c r="K500" s="195"/>
      <c r="L500" s="195"/>
      <c r="M500" s="195"/>
      <c r="N500" s="195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</row>
    <row r="501">
      <c r="A501" s="193"/>
      <c r="B501" s="193"/>
      <c r="C501" s="193"/>
      <c r="D501" s="193"/>
      <c r="E501" s="193"/>
      <c r="F501" s="193"/>
      <c r="G501" s="195"/>
      <c r="H501" s="195"/>
      <c r="I501" s="195"/>
      <c r="J501" s="195"/>
      <c r="K501" s="195"/>
      <c r="L501" s="195"/>
      <c r="M501" s="195"/>
      <c r="N501" s="195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</row>
    <row r="502">
      <c r="A502" s="193"/>
      <c r="B502" s="193"/>
      <c r="C502" s="193"/>
      <c r="D502" s="193"/>
      <c r="E502" s="193"/>
      <c r="F502" s="193"/>
      <c r="G502" s="195"/>
      <c r="H502" s="195"/>
      <c r="I502" s="195"/>
      <c r="J502" s="195"/>
      <c r="K502" s="195"/>
      <c r="L502" s="195"/>
      <c r="M502" s="195"/>
      <c r="N502" s="195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</row>
    <row r="503">
      <c r="A503" s="193"/>
      <c r="B503" s="193"/>
      <c r="C503" s="193"/>
      <c r="D503" s="193"/>
      <c r="E503" s="193"/>
      <c r="F503" s="193"/>
      <c r="G503" s="195"/>
      <c r="H503" s="195"/>
      <c r="I503" s="195"/>
      <c r="J503" s="195"/>
      <c r="K503" s="195"/>
      <c r="L503" s="195"/>
      <c r="M503" s="195"/>
      <c r="N503" s="195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</row>
    <row r="504">
      <c r="A504" s="193"/>
      <c r="B504" s="193"/>
      <c r="C504" s="193"/>
      <c r="D504" s="193"/>
      <c r="E504" s="193"/>
      <c r="F504" s="193"/>
      <c r="G504" s="195"/>
      <c r="H504" s="195"/>
      <c r="I504" s="195"/>
      <c r="J504" s="195"/>
      <c r="K504" s="195"/>
      <c r="L504" s="195"/>
      <c r="M504" s="195"/>
      <c r="N504" s="195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</row>
    <row r="505">
      <c r="A505" s="193"/>
      <c r="B505" s="193"/>
      <c r="C505" s="193"/>
      <c r="D505" s="193"/>
      <c r="E505" s="193"/>
      <c r="F505" s="193"/>
      <c r="G505" s="195"/>
      <c r="H505" s="195"/>
      <c r="I505" s="195"/>
      <c r="J505" s="195"/>
      <c r="K505" s="195"/>
      <c r="L505" s="195"/>
      <c r="M505" s="195"/>
      <c r="N505" s="195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</row>
    <row r="506">
      <c r="A506" s="193"/>
      <c r="B506" s="193"/>
      <c r="C506" s="193"/>
      <c r="D506" s="193"/>
      <c r="E506" s="193"/>
      <c r="F506" s="193"/>
      <c r="G506" s="195"/>
      <c r="H506" s="195"/>
      <c r="I506" s="195"/>
      <c r="J506" s="195"/>
      <c r="K506" s="195"/>
      <c r="L506" s="195"/>
      <c r="M506" s="195"/>
      <c r="N506" s="195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</row>
    <row r="507">
      <c r="A507" s="193"/>
      <c r="B507" s="193"/>
      <c r="C507" s="193"/>
      <c r="D507" s="193"/>
      <c r="E507" s="193"/>
      <c r="F507" s="193"/>
      <c r="G507" s="195"/>
      <c r="H507" s="195"/>
      <c r="I507" s="195"/>
      <c r="J507" s="195"/>
      <c r="K507" s="195"/>
      <c r="L507" s="195"/>
      <c r="M507" s="195"/>
      <c r="N507" s="195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</row>
    <row r="508">
      <c r="A508" s="193"/>
      <c r="B508" s="193"/>
      <c r="C508" s="193"/>
      <c r="D508" s="193"/>
      <c r="E508" s="193"/>
      <c r="F508" s="193"/>
      <c r="G508" s="195"/>
      <c r="H508" s="195"/>
      <c r="I508" s="195"/>
      <c r="J508" s="195"/>
      <c r="K508" s="195"/>
      <c r="L508" s="195"/>
      <c r="M508" s="195"/>
      <c r="N508" s="195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</row>
    <row r="509">
      <c r="A509" s="193"/>
      <c r="B509" s="193"/>
      <c r="C509" s="193"/>
      <c r="D509" s="193"/>
      <c r="E509" s="193"/>
      <c r="F509" s="193"/>
      <c r="G509" s="195"/>
      <c r="H509" s="195"/>
      <c r="I509" s="195"/>
      <c r="J509" s="195"/>
      <c r="K509" s="195"/>
      <c r="L509" s="195"/>
      <c r="M509" s="195"/>
      <c r="N509" s="195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</row>
    <row r="510">
      <c r="A510" s="193"/>
      <c r="B510" s="193"/>
      <c r="C510" s="193"/>
      <c r="D510" s="193"/>
      <c r="E510" s="193"/>
      <c r="F510" s="193"/>
      <c r="G510" s="195"/>
      <c r="H510" s="195"/>
      <c r="I510" s="195"/>
      <c r="J510" s="195"/>
      <c r="K510" s="195"/>
      <c r="L510" s="195"/>
      <c r="M510" s="195"/>
      <c r="N510" s="195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</row>
    <row r="511">
      <c r="A511" s="193"/>
      <c r="B511" s="193"/>
      <c r="C511" s="193"/>
      <c r="D511" s="193"/>
      <c r="E511" s="193"/>
      <c r="F511" s="193"/>
      <c r="G511" s="195"/>
      <c r="H511" s="195"/>
      <c r="I511" s="195"/>
      <c r="J511" s="195"/>
      <c r="K511" s="195"/>
      <c r="L511" s="195"/>
      <c r="M511" s="195"/>
      <c r="N511" s="195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</row>
    <row r="512">
      <c r="A512" s="193"/>
      <c r="B512" s="193"/>
      <c r="C512" s="193"/>
      <c r="D512" s="193"/>
      <c r="E512" s="193"/>
      <c r="F512" s="193"/>
      <c r="G512" s="195"/>
      <c r="H512" s="195"/>
      <c r="I512" s="195"/>
      <c r="J512" s="195"/>
      <c r="K512" s="195"/>
      <c r="L512" s="195"/>
      <c r="M512" s="195"/>
      <c r="N512" s="195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</row>
    <row r="513">
      <c r="A513" s="193"/>
      <c r="B513" s="193"/>
      <c r="C513" s="193"/>
      <c r="D513" s="193"/>
      <c r="E513" s="193"/>
      <c r="F513" s="193"/>
      <c r="G513" s="195"/>
      <c r="H513" s="195"/>
      <c r="I513" s="195"/>
      <c r="J513" s="195"/>
      <c r="K513" s="195"/>
      <c r="L513" s="195"/>
      <c r="M513" s="195"/>
      <c r="N513" s="195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</row>
    <row r="514">
      <c r="A514" s="193"/>
      <c r="B514" s="193"/>
      <c r="C514" s="193"/>
      <c r="D514" s="193"/>
      <c r="E514" s="193"/>
      <c r="F514" s="193"/>
      <c r="G514" s="195"/>
      <c r="H514" s="195"/>
      <c r="I514" s="195"/>
      <c r="J514" s="195"/>
      <c r="K514" s="195"/>
      <c r="L514" s="195"/>
      <c r="M514" s="195"/>
      <c r="N514" s="195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</row>
    <row r="515">
      <c r="A515" s="193"/>
      <c r="B515" s="193"/>
      <c r="C515" s="193"/>
      <c r="D515" s="193"/>
      <c r="E515" s="193"/>
      <c r="F515" s="193"/>
      <c r="G515" s="195"/>
      <c r="H515" s="195"/>
      <c r="I515" s="195"/>
      <c r="J515" s="195"/>
      <c r="K515" s="195"/>
      <c r="L515" s="195"/>
      <c r="M515" s="195"/>
      <c r="N515" s="195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</row>
    <row r="516">
      <c r="A516" s="193"/>
      <c r="B516" s="193"/>
      <c r="C516" s="193"/>
      <c r="D516" s="193"/>
      <c r="E516" s="193"/>
      <c r="F516" s="193"/>
      <c r="G516" s="195"/>
      <c r="H516" s="195"/>
      <c r="I516" s="195"/>
      <c r="J516" s="195"/>
      <c r="K516" s="195"/>
      <c r="L516" s="195"/>
      <c r="M516" s="195"/>
      <c r="N516" s="195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</row>
    <row r="517">
      <c r="A517" s="193"/>
      <c r="B517" s="193"/>
      <c r="C517" s="193"/>
      <c r="D517" s="193"/>
      <c r="E517" s="193"/>
      <c r="F517" s="193"/>
      <c r="G517" s="195"/>
      <c r="H517" s="195"/>
      <c r="I517" s="195"/>
      <c r="J517" s="195"/>
      <c r="K517" s="195"/>
      <c r="L517" s="195"/>
      <c r="M517" s="195"/>
      <c r="N517" s="195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</row>
    <row r="518">
      <c r="A518" s="193"/>
      <c r="B518" s="193"/>
      <c r="C518" s="193"/>
      <c r="D518" s="193"/>
      <c r="E518" s="193"/>
      <c r="F518" s="193"/>
      <c r="G518" s="195"/>
      <c r="H518" s="195"/>
      <c r="I518" s="195"/>
      <c r="J518" s="195"/>
      <c r="K518" s="195"/>
      <c r="L518" s="195"/>
      <c r="M518" s="195"/>
      <c r="N518" s="195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</row>
    <row r="519">
      <c r="A519" s="193"/>
      <c r="B519" s="193"/>
      <c r="C519" s="193"/>
      <c r="D519" s="193"/>
      <c r="E519" s="193"/>
      <c r="F519" s="193"/>
      <c r="G519" s="195"/>
      <c r="H519" s="195"/>
      <c r="I519" s="195"/>
      <c r="J519" s="195"/>
      <c r="K519" s="195"/>
      <c r="L519" s="195"/>
      <c r="M519" s="195"/>
      <c r="N519" s="195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</row>
    <row r="520">
      <c r="A520" s="193"/>
      <c r="B520" s="193"/>
      <c r="C520" s="193"/>
      <c r="D520" s="193"/>
      <c r="E520" s="193"/>
      <c r="F520" s="193"/>
      <c r="G520" s="195"/>
      <c r="H520" s="195"/>
      <c r="I520" s="195"/>
      <c r="J520" s="195"/>
      <c r="K520" s="195"/>
      <c r="L520" s="195"/>
      <c r="M520" s="195"/>
      <c r="N520" s="195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</row>
    <row r="521">
      <c r="A521" s="193"/>
      <c r="B521" s="193"/>
      <c r="C521" s="193"/>
      <c r="D521" s="193"/>
      <c r="E521" s="193"/>
      <c r="F521" s="193"/>
      <c r="G521" s="195"/>
      <c r="H521" s="195"/>
      <c r="I521" s="195"/>
      <c r="J521" s="195"/>
      <c r="K521" s="195"/>
      <c r="L521" s="195"/>
      <c r="M521" s="195"/>
      <c r="N521" s="195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</row>
    <row r="522">
      <c r="A522" s="193"/>
      <c r="B522" s="193"/>
      <c r="C522" s="193"/>
      <c r="D522" s="193"/>
      <c r="E522" s="193"/>
      <c r="F522" s="193"/>
      <c r="G522" s="195"/>
      <c r="H522" s="195"/>
      <c r="I522" s="195"/>
      <c r="J522" s="195"/>
      <c r="K522" s="195"/>
      <c r="L522" s="195"/>
      <c r="M522" s="195"/>
      <c r="N522" s="195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</row>
    <row r="523">
      <c r="A523" s="193"/>
      <c r="B523" s="193"/>
      <c r="C523" s="193"/>
      <c r="D523" s="193"/>
      <c r="E523" s="193"/>
      <c r="F523" s="193"/>
      <c r="G523" s="195"/>
      <c r="H523" s="195"/>
      <c r="I523" s="195"/>
      <c r="J523" s="195"/>
      <c r="K523" s="195"/>
      <c r="L523" s="195"/>
      <c r="M523" s="195"/>
      <c r="N523" s="195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</row>
    <row r="524">
      <c r="A524" s="193"/>
      <c r="B524" s="193"/>
      <c r="C524" s="193"/>
      <c r="D524" s="193"/>
      <c r="E524" s="193"/>
      <c r="F524" s="193"/>
      <c r="G524" s="195"/>
      <c r="H524" s="195"/>
      <c r="I524" s="195"/>
      <c r="J524" s="195"/>
      <c r="K524" s="195"/>
      <c r="L524" s="195"/>
      <c r="M524" s="195"/>
      <c r="N524" s="195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</row>
    <row r="525">
      <c r="A525" s="193"/>
      <c r="B525" s="193"/>
      <c r="C525" s="193"/>
      <c r="D525" s="193"/>
      <c r="E525" s="193"/>
      <c r="F525" s="193"/>
      <c r="G525" s="195"/>
      <c r="H525" s="195"/>
      <c r="I525" s="195"/>
      <c r="J525" s="195"/>
      <c r="K525" s="195"/>
      <c r="L525" s="195"/>
      <c r="M525" s="195"/>
      <c r="N525" s="195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</row>
    <row r="526">
      <c r="A526" s="193"/>
      <c r="B526" s="193"/>
      <c r="C526" s="193"/>
      <c r="D526" s="193"/>
      <c r="E526" s="193"/>
      <c r="F526" s="193"/>
      <c r="G526" s="195"/>
      <c r="H526" s="195"/>
      <c r="I526" s="195"/>
      <c r="J526" s="195"/>
      <c r="K526" s="195"/>
      <c r="L526" s="195"/>
      <c r="M526" s="195"/>
      <c r="N526" s="195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</row>
    <row r="527">
      <c r="A527" s="193"/>
      <c r="B527" s="193"/>
      <c r="C527" s="193"/>
      <c r="D527" s="193"/>
      <c r="E527" s="193"/>
      <c r="F527" s="193"/>
      <c r="G527" s="195"/>
      <c r="H527" s="195"/>
      <c r="I527" s="195"/>
      <c r="J527" s="195"/>
      <c r="K527" s="195"/>
      <c r="L527" s="195"/>
      <c r="M527" s="195"/>
      <c r="N527" s="195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</row>
    <row r="528">
      <c r="A528" s="193"/>
      <c r="B528" s="193"/>
      <c r="C528" s="193"/>
      <c r="D528" s="193"/>
      <c r="E528" s="193"/>
      <c r="F528" s="193"/>
      <c r="G528" s="195"/>
      <c r="H528" s="195"/>
      <c r="I528" s="195"/>
      <c r="J528" s="195"/>
      <c r="K528" s="195"/>
      <c r="L528" s="195"/>
      <c r="M528" s="195"/>
      <c r="N528" s="195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</row>
    <row r="529">
      <c r="A529" s="193"/>
      <c r="B529" s="193"/>
      <c r="C529" s="193"/>
      <c r="D529" s="193"/>
      <c r="E529" s="193"/>
      <c r="F529" s="193"/>
      <c r="G529" s="195"/>
      <c r="H529" s="195"/>
      <c r="I529" s="195"/>
      <c r="J529" s="195"/>
      <c r="K529" s="195"/>
      <c r="L529" s="195"/>
      <c r="M529" s="195"/>
      <c r="N529" s="195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</row>
    <row r="530">
      <c r="A530" s="193"/>
      <c r="B530" s="193"/>
      <c r="C530" s="193"/>
      <c r="D530" s="193"/>
      <c r="E530" s="193"/>
      <c r="F530" s="193"/>
      <c r="G530" s="195"/>
      <c r="H530" s="195"/>
      <c r="I530" s="195"/>
      <c r="J530" s="195"/>
      <c r="K530" s="195"/>
      <c r="L530" s="195"/>
      <c r="M530" s="195"/>
      <c r="N530" s="195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</row>
    <row r="531">
      <c r="A531" s="193"/>
      <c r="B531" s="193"/>
      <c r="C531" s="193"/>
      <c r="D531" s="193"/>
      <c r="E531" s="193"/>
      <c r="F531" s="193"/>
      <c r="G531" s="195"/>
      <c r="H531" s="195"/>
      <c r="I531" s="195"/>
      <c r="J531" s="195"/>
      <c r="K531" s="195"/>
      <c r="L531" s="195"/>
      <c r="M531" s="195"/>
      <c r="N531" s="195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</row>
    <row r="532">
      <c r="A532" s="193"/>
      <c r="B532" s="193"/>
      <c r="C532" s="193"/>
      <c r="D532" s="193"/>
      <c r="E532" s="193"/>
      <c r="F532" s="193"/>
      <c r="G532" s="195"/>
      <c r="H532" s="195"/>
      <c r="I532" s="195"/>
      <c r="J532" s="195"/>
      <c r="K532" s="195"/>
      <c r="L532" s="195"/>
      <c r="M532" s="195"/>
      <c r="N532" s="195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</row>
    <row r="533">
      <c r="A533" s="193"/>
      <c r="B533" s="193"/>
      <c r="C533" s="193"/>
      <c r="D533" s="193"/>
      <c r="E533" s="193"/>
      <c r="F533" s="193"/>
      <c r="G533" s="195"/>
      <c r="H533" s="195"/>
      <c r="I533" s="195"/>
      <c r="J533" s="195"/>
      <c r="K533" s="195"/>
      <c r="L533" s="195"/>
      <c r="M533" s="195"/>
      <c r="N533" s="195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</row>
    <row r="534">
      <c r="A534" s="193"/>
      <c r="B534" s="193"/>
      <c r="C534" s="193"/>
      <c r="D534" s="193"/>
      <c r="E534" s="193"/>
      <c r="F534" s="193"/>
      <c r="G534" s="195"/>
      <c r="H534" s="195"/>
      <c r="I534" s="195"/>
      <c r="J534" s="195"/>
      <c r="K534" s="195"/>
      <c r="L534" s="195"/>
      <c r="M534" s="195"/>
      <c r="N534" s="195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</row>
    <row r="535">
      <c r="A535" s="193"/>
      <c r="B535" s="193"/>
      <c r="C535" s="193"/>
      <c r="D535" s="193"/>
      <c r="E535" s="193"/>
      <c r="F535" s="193"/>
      <c r="G535" s="195"/>
      <c r="H535" s="195"/>
      <c r="I535" s="195"/>
      <c r="J535" s="195"/>
      <c r="K535" s="195"/>
      <c r="L535" s="195"/>
      <c r="M535" s="195"/>
      <c r="N535" s="195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</row>
    <row r="536">
      <c r="A536" s="193"/>
      <c r="B536" s="193"/>
      <c r="C536" s="193"/>
      <c r="D536" s="193"/>
      <c r="E536" s="193"/>
      <c r="F536" s="193"/>
      <c r="G536" s="195"/>
      <c r="H536" s="195"/>
      <c r="I536" s="195"/>
      <c r="J536" s="195"/>
      <c r="K536" s="195"/>
      <c r="L536" s="195"/>
      <c r="M536" s="195"/>
      <c r="N536" s="195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</row>
    <row r="537">
      <c r="A537" s="193"/>
      <c r="B537" s="193"/>
      <c r="C537" s="193"/>
      <c r="D537" s="193"/>
      <c r="E537" s="193"/>
      <c r="F537" s="193"/>
      <c r="G537" s="195"/>
      <c r="H537" s="195"/>
      <c r="I537" s="195"/>
      <c r="J537" s="195"/>
      <c r="K537" s="195"/>
      <c r="L537" s="195"/>
      <c r="M537" s="195"/>
      <c r="N537" s="195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</row>
    <row r="538">
      <c r="A538" s="193"/>
      <c r="B538" s="193"/>
      <c r="C538" s="193"/>
      <c r="D538" s="193"/>
      <c r="E538" s="193"/>
      <c r="F538" s="193"/>
      <c r="G538" s="195"/>
      <c r="H538" s="195"/>
      <c r="I538" s="195"/>
      <c r="J538" s="195"/>
      <c r="K538" s="195"/>
      <c r="L538" s="195"/>
      <c r="M538" s="195"/>
      <c r="N538" s="195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</row>
    <row r="539">
      <c r="A539" s="193"/>
      <c r="B539" s="193"/>
      <c r="C539" s="193"/>
      <c r="D539" s="193"/>
      <c r="E539" s="193"/>
      <c r="F539" s="193"/>
      <c r="G539" s="195"/>
      <c r="H539" s="195"/>
      <c r="I539" s="195"/>
      <c r="J539" s="195"/>
      <c r="K539" s="195"/>
      <c r="L539" s="195"/>
      <c r="M539" s="195"/>
      <c r="N539" s="195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</row>
    <row r="540">
      <c r="A540" s="193"/>
      <c r="B540" s="193"/>
      <c r="C540" s="193"/>
      <c r="D540" s="193"/>
      <c r="E540" s="193"/>
      <c r="F540" s="193"/>
      <c r="G540" s="195"/>
      <c r="H540" s="195"/>
      <c r="I540" s="195"/>
      <c r="J540" s="195"/>
      <c r="K540" s="195"/>
      <c r="L540" s="195"/>
      <c r="M540" s="195"/>
      <c r="N540" s="195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</row>
    <row r="541">
      <c r="A541" s="193"/>
      <c r="B541" s="193"/>
      <c r="C541" s="193"/>
      <c r="D541" s="193"/>
      <c r="E541" s="193"/>
      <c r="F541" s="193"/>
      <c r="G541" s="195"/>
      <c r="H541" s="195"/>
      <c r="I541" s="195"/>
      <c r="J541" s="195"/>
      <c r="K541" s="195"/>
      <c r="L541" s="195"/>
      <c r="M541" s="195"/>
      <c r="N541" s="195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</row>
    <row r="542">
      <c r="A542" s="193"/>
      <c r="B542" s="193"/>
      <c r="C542" s="193"/>
      <c r="D542" s="193"/>
      <c r="E542" s="193"/>
      <c r="F542" s="193"/>
      <c r="G542" s="195"/>
      <c r="H542" s="195"/>
      <c r="I542" s="195"/>
      <c r="J542" s="195"/>
      <c r="K542" s="195"/>
      <c r="L542" s="195"/>
      <c r="M542" s="195"/>
      <c r="N542" s="195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</row>
    <row r="543">
      <c r="A543" s="193"/>
      <c r="B543" s="193"/>
      <c r="C543" s="193"/>
      <c r="D543" s="193"/>
      <c r="E543" s="193"/>
      <c r="F543" s="193"/>
      <c r="G543" s="195"/>
      <c r="H543" s="195"/>
      <c r="I543" s="195"/>
      <c r="J543" s="195"/>
      <c r="K543" s="195"/>
      <c r="L543" s="195"/>
      <c r="M543" s="195"/>
      <c r="N543" s="195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</row>
    <row r="544">
      <c r="A544" s="193"/>
      <c r="B544" s="193"/>
      <c r="C544" s="193"/>
      <c r="D544" s="193"/>
      <c r="E544" s="193"/>
      <c r="F544" s="193"/>
      <c r="G544" s="195"/>
      <c r="H544" s="195"/>
      <c r="I544" s="195"/>
      <c r="J544" s="195"/>
      <c r="K544" s="195"/>
      <c r="L544" s="195"/>
      <c r="M544" s="195"/>
      <c r="N544" s="195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</row>
    <row r="545">
      <c r="A545" s="193"/>
      <c r="B545" s="193"/>
      <c r="C545" s="193"/>
      <c r="D545" s="193"/>
      <c r="E545" s="193"/>
      <c r="F545" s="193"/>
      <c r="G545" s="195"/>
      <c r="H545" s="195"/>
      <c r="I545" s="195"/>
      <c r="J545" s="195"/>
      <c r="K545" s="195"/>
      <c r="L545" s="195"/>
      <c r="M545" s="195"/>
      <c r="N545" s="195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</row>
    <row r="546">
      <c r="A546" s="193"/>
      <c r="B546" s="193"/>
      <c r="C546" s="193"/>
      <c r="D546" s="193"/>
      <c r="E546" s="193"/>
      <c r="F546" s="193"/>
      <c r="G546" s="195"/>
      <c r="H546" s="195"/>
      <c r="I546" s="195"/>
      <c r="J546" s="195"/>
      <c r="K546" s="195"/>
      <c r="L546" s="195"/>
      <c r="M546" s="195"/>
      <c r="N546" s="195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</row>
    <row r="547">
      <c r="A547" s="193"/>
      <c r="B547" s="193"/>
      <c r="C547" s="193"/>
      <c r="D547" s="193"/>
      <c r="E547" s="193"/>
      <c r="F547" s="193"/>
      <c r="G547" s="195"/>
      <c r="H547" s="195"/>
      <c r="I547" s="195"/>
      <c r="J547" s="195"/>
      <c r="K547" s="195"/>
      <c r="L547" s="195"/>
      <c r="M547" s="195"/>
      <c r="N547" s="195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</row>
    <row r="548">
      <c r="A548" s="193"/>
      <c r="B548" s="193"/>
      <c r="C548" s="193"/>
      <c r="D548" s="193"/>
      <c r="E548" s="193"/>
      <c r="F548" s="193"/>
      <c r="G548" s="195"/>
      <c r="H548" s="195"/>
      <c r="I548" s="195"/>
      <c r="J548" s="195"/>
      <c r="K548" s="195"/>
      <c r="L548" s="195"/>
      <c r="M548" s="195"/>
      <c r="N548" s="195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</row>
    <row r="549">
      <c r="A549" s="193"/>
      <c r="B549" s="193"/>
      <c r="C549" s="193"/>
      <c r="D549" s="193"/>
      <c r="E549" s="193"/>
      <c r="F549" s="193"/>
      <c r="G549" s="195"/>
      <c r="H549" s="195"/>
      <c r="I549" s="195"/>
      <c r="J549" s="195"/>
      <c r="K549" s="195"/>
      <c r="L549" s="195"/>
      <c r="M549" s="195"/>
      <c r="N549" s="195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</row>
    <row r="550">
      <c r="A550" s="193"/>
      <c r="B550" s="193"/>
      <c r="C550" s="193"/>
      <c r="D550" s="193"/>
      <c r="E550" s="193"/>
      <c r="F550" s="193"/>
      <c r="G550" s="195"/>
      <c r="H550" s="195"/>
      <c r="I550" s="195"/>
      <c r="J550" s="195"/>
      <c r="K550" s="195"/>
      <c r="L550" s="195"/>
      <c r="M550" s="195"/>
      <c r="N550" s="195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</row>
    <row r="551">
      <c r="A551" s="193"/>
      <c r="B551" s="193"/>
      <c r="C551" s="193"/>
      <c r="D551" s="193"/>
      <c r="E551" s="193"/>
      <c r="F551" s="193"/>
      <c r="G551" s="195"/>
      <c r="H551" s="195"/>
      <c r="I551" s="195"/>
      <c r="J551" s="195"/>
      <c r="K551" s="195"/>
      <c r="L551" s="195"/>
      <c r="M551" s="195"/>
      <c r="N551" s="195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</row>
    <row r="552">
      <c r="A552" s="193"/>
      <c r="B552" s="193"/>
      <c r="C552" s="193"/>
      <c r="D552" s="193"/>
      <c r="E552" s="193"/>
      <c r="F552" s="193"/>
      <c r="G552" s="195"/>
      <c r="H552" s="195"/>
      <c r="I552" s="195"/>
      <c r="J552" s="195"/>
      <c r="K552" s="195"/>
      <c r="L552" s="195"/>
      <c r="M552" s="195"/>
      <c r="N552" s="195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</row>
    <row r="553">
      <c r="A553" s="193"/>
      <c r="B553" s="193"/>
      <c r="C553" s="193"/>
      <c r="D553" s="193"/>
      <c r="E553" s="193"/>
      <c r="F553" s="193"/>
      <c r="G553" s="195"/>
      <c r="H553" s="195"/>
      <c r="I553" s="195"/>
      <c r="J553" s="195"/>
      <c r="K553" s="195"/>
      <c r="L553" s="195"/>
      <c r="M553" s="195"/>
      <c r="N553" s="195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</row>
    <row r="554">
      <c r="A554" s="193"/>
      <c r="B554" s="193"/>
      <c r="C554" s="193"/>
      <c r="D554" s="193"/>
      <c r="E554" s="193"/>
      <c r="F554" s="193"/>
      <c r="G554" s="195"/>
      <c r="H554" s="195"/>
      <c r="I554" s="195"/>
      <c r="J554" s="195"/>
      <c r="K554" s="195"/>
      <c r="L554" s="195"/>
      <c r="M554" s="195"/>
      <c r="N554" s="195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</row>
    <row r="555">
      <c r="A555" s="193"/>
      <c r="B555" s="193"/>
      <c r="C555" s="193"/>
      <c r="D555" s="193"/>
      <c r="E555" s="193"/>
      <c r="F555" s="193"/>
      <c r="G555" s="195"/>
      <c r="H555" s="195"/>
      <c r="I555" s="195"/>
      <c r="J555" s="195"/>
      <c r="K555" s="195"/>
      <c r="L555" s="195"/>
      <c r="M555" s="195"/>
      <c r="N555" s="195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</row>
    <row r="556">
      <c r="A556" s="193"/>
      <c r="B556" s="193"/>
      <c r="C556" s="193"/>
      <c r="D556" s="193"/>
      <c r="E556" s="193"/>
      <c r="F556" s="193"/>
      <c r="G556" s="195"/>
      <c r="H556" s="195"/>
      <c r="I556" s="195"/>
      <c r="J556" s="195"/>
      <c r="K556" s="195"/>
      <c r="L556" s="195"/>
      <c r="M556" s="195"/>
      <c r="N556" s="195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</row>
    <row r="557">
      <c r="A557" s="193"/>
      <c r="B557" s="193"/>
      <c r="C557" s="193"/>
      <c r="D557" s="193"/>
      <c r="E557" s="193"/>
      <c r="F557" s="193"/>
      <c r="G557" s="195"/>
      <c r="H557" s="195"/>
      <c r="I557" s="195"/>
      <c r="J557" s="195"/>
      <c r="K557" s="195"/>
      <c r="L557" s="195"/>
      <c r="M557" s="195"/>
      <c r="N557" s="195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</row>
    <row r="558">
      <c r="A558" s="193"/>
      <c r="B558" s="193"/>
      <c r="C558" s="193"/>
      <c r="D558" s="193"/>
      <c r="E558" s="193"/>
      <c r="F558" s="193"/>
      <c r="G558" s="195"/>
      <c r="H558" s="195"/>
      <c r="I558" s="195"/>
      <c r="J558" s="195"/>
      <c r="K558" s="195"/>
      <c r="L558" s="195"/>
      <c r="M558" s="195"/>
      <c r="N558" s="195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</row>
    <row r="559">
      <c r="A559" s="193"/>
      <c r="B559" s="193"/>
      <c r="C559" s="193"/>
      <c r="D559" s="193"/>
      <c r="E559" s="193"/>
      <c r="F559" s="193"/>
      <c r="G559" s="195"/>
      <c r="H559" s="195"/>
      <c r="I559" s="195"/>
      <c r="J559" s="195"/>
      <c r="K559" s="195"/>
      <c r="L559" s="195"/>
      <c r="M559" s="195"/>
      <c r="N559" s="195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</row>
    <row r="560">
      <c r="A560" s="193"/>
      <c r="B560" s="193"/>
      <c r="C560" s="193"/>
      <c r="D560" s="193"/>
      <c r="E560" s="193"/>
      <c r="F560" s="193"/>
      <c r="G560" s="195"/>
      <c r="H560" s="195"/>
      <c r="I560" s="195"/>
      <c r="J560" s="195"/>
      <c r="K560" s="195"/>
      <c r="L560" s="195"/>
      <c r="M560" s="195"/>
      <c r="N560" s="195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</row>
    <row r="561">
      <c r="A561" s="193"/>
      <c r="B561" s="193"/>
      <c r="C561" s="193"/>
      <c r="D561" s="193"/>
      <c r="E561" s="193"/>
      <c r="F561" s="193"/>
      <c r="G561" s="195"/>
      <c r="H561" s="195"/>
      <c r="I561" s="195"/>
      <c r="J561" s="195"/>
      <c r="K561" s="195"/>
      <c r="L561" s="195"/>
      <c r="M561" s="195"/>
      <c r="N561" s="195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</row>
    <row r="562">
      <c r="A562" s="193"/>
      <c r="B562" s="193"/>
      <c r="C562" s="193"/>
      <c r="D562" s="193"/>
      <c r="E562" s="193"/>
      <c r="F562" s="193"/>
      <c r="G562" s="195"/>
      <c r="H562" s="195"/>
      <c r="I562" s="195"/>
      <c r="J562" s="195"/>
      <c r="K562" s="195"/>
      <c r="L562" s="195"/>
      <c r="M562" s="195"/>
      <c r="N562" s="195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</row>
    <row r="563">
      <c r="A563" s="193"/>
      <c r="B563" s="193"/>
      <c r="C563" s="193"/>
      <c r="D563" s="193"/>
      <c r="E563" s="193"/>
      <c r="F563" s="193"/>
      <c r="G563" s="195"/>
      <c r="H563" s="195"/>
      <c r="I563" s="195"/>
      <c r="J563" s="195"/>
      <c r="K563" s="195"/>
      <c r="L563" s="195"/>
      <c r="M563" s="195"/>
      <c r="N563" s="195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</row>
    <row r="564">
      <c r="A564" s="193"/>
      <c r="B564" s="193"/>
      <c r="C564" s="193"/>
      <c r="D564" s="193"/>
      <c r="E564" s="193"/>
      <c r="F564" s="193"/>
      <c r="G564" s="195"/>
      <c r="H564" s="195"/>
      <c r="I564" s="195"/>
      <c r="J564" s="195"/>
      <c r="K564" s="195"/>
      <c r="L564" s="195"/>
      <c r="M564" s="195"/>
      <c r="N564" s="195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</row>
    <row r="565">
      <c r="A565" s="193"/>
      <c r="B565" s="193"/>
      <c r="C565" s="193"/>
      <c r="D565" s="193"/>
      <c r="E565" s="193"/>
      <c r="F565" s="193"/>
      <c r="G565" s="195"/>
      <c r="H565" s="195"/>
      <c r="I565" s="195"/>
      <c r="J565" s="195"/>
      <c r="K565" s="195"/>
      <c r="L565" s="195"/>
      <c r="M565" s="195"/>
      <c r="N565" s="195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</row>
    <row r="566">
      <c r="A566" s="193"/>
      <c r="B566" s="193"/>
      <c r="C566" s="193"/>
      <c r="D566" s="193"/>
      <c r="E566" s="193"/>
      <c r="F566" s="193"/>
      <c r="G566" s="195"/>
      <c r="H566" s="195"/>
      <c r="I566" s="195"/>
      <c r="J566" s="195"/>
      <c r="K566" s="195"/>
      <c r="L566" s="195"/>
      <c r="M566" s="195"/>
      <c r="N566" s="195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  <c r="AC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  <c r="AC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  <c r="AC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  <c r="AC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  <c r="AC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  <c r="AC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  <c r="AC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  <c r="AC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  <c r="AC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  <c r="AC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  <c r="AC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  <c r="AC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  <c r="AC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  <c r="AC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  <c r="AC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  <c r="AC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  <c r="AC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  <c r="AC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  <c r="AC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  <c r="AC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  <c r="AC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  <c r="AC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  <c r="AC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  <c r="AC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  <c r="AC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  <c r="AC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  <c r="AC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  <c r="AC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  <c r="AC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  <c r="AC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  <c r="AC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  <c r="AC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  <c r="AC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  <c r="AC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  <c r="AC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  <c r="AC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  <c r="AC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  <c r="AC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  <c r="AC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  <c r="AC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  <c r="AC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  <c r="AC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  <c r="AC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  <c r="AC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  <c r="AC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  <c r="AC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  <c r="AC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  <c r="AC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  <c r="AC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  <c r="AC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  <c r="AC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  <c r="AC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  <c r="AC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  <c r="AC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  <c r="AC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  <c r="AC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  <c r="AC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  <c r="AC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  <c r="AC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  <c r="AC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  <c r="AC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  <c r="AC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  <c r="AC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  <c r="AC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  <c r="AC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  <c r="AC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  <c r="AC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  <c r="AC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  <c r="AC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  <c r="AC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  <c r="AC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  <c r="AC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  <c r="AC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  <c r="AC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  <c r="AC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  <c r="AC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  <c r="AC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  <c r="AC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  <c r="AC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  <c r="AC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  <c r="AC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  <c r="AC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  <c r="AC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  <c r="AC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  <c r="AC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  <c r="AC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  <c r="AC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  <c r="AC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  <c r="AC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  <c r="AC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  <c r="AC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  <c r="AC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  <c r="AC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  <c r="AC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  <c r="AC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  <c r="AC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  <c r="AC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  <c r="AC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  <c r="AC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  <c r="AC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  <c r="AC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  <c r="AC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  <c r="AC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  <c r="AC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  <c r="AC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  <c r="AC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  <c r="AC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  <c r="AC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  <c r="AC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  <c r="AC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  <c r="AC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  <c r="AC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  <c r="AC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  <c r="AC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  <c r="AC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  <c r="AC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  <c r="AC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  <c r="AC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  <c r="AC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  <c r="AC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  <c r="AC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  <c r="AC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  <c r="AC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  <c r="AC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  <c r="AC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  <c r="AC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  <c r="AC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  <c r="AC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  <c r="AC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  <c r="AC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  <c r="AC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  <c r="AC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  <c r="AC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  <c r="AC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  <c r="AC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  <c r="AC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  <c r="AC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  <c r="AC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  <c r="AC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  <c r="AC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  <c r="AC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  <c r="AC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  <c r="AC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  <c r="AC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  <c r="AC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  <c r="AC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  <c r="AC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  <c r="AC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  <c r="AC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  <c r="AC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  <c r="AC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  <c r="AC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  <c r="AC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  <c r="AC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  <c r="AC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  <c r="AC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  <c r="AC751" s="193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  <c r="AC752" s="193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  <c r="AC753" s="193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  <c r="AC754" s="193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  <c r="AC755" s="193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  <c r="AC756" s="193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  <c r="AC757" s="193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  <c r="AC758" s="193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  <c r="AC759" s="193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  <c r="AC760" s="193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  <c r="AC761" s="193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  <c r="AC762" s="193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  <c r="AC763" s="193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  <c r="AC764" s="193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  <c r="AC765" s="193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  <c r="AC766" s="193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  <c r="AC767" s="193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  <c r="AC768" s="193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  <c r="AC769" s="193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  <c r="AC770" s="193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  <c r="AC771" s="193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  <c r="AC772" s="193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  <c r="AC773" s="193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  <c r="AC774" s="193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  <c r="AC775" s="193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  <c r="AC776" s="193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  <c r="AC777" s="193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  <c r="AC778" s="193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  <c r="AC779" s="193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  <c r="AC780" s="193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  <c r="AC781" s="193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  <c r="AC782" s="193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  <c r="AC783" s="193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  <c r="AC784" s="193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  <c r="AC785" s="193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  <c r="AC786" s="193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  <c r="AC788" s="193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  <c r="AC789" s="193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  <c r="AC790" s="193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  <c r="AC791" s="193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  <c r="AC792" s="193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  <c r="AC793" s="193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  <c r="AC795" s="193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  <c r="AC796" s="193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  <c r="AC797" s="193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  <c r="AC904" s="193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  <c r="AC905" s="193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  <c r="AC906" s="193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  <c r="AC907" s="193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  <c r="AC908" s="193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  <c r="AC909" s="193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  <c r="AC910" s="193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  <c r="AC911" s="193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  <c r="AC912" s="193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  <c r="AC913" s="193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  <c r="AC914" s="193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  <c r="AC915" s="193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  <c r="AC916" s="193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  <c r="AC917" s="193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  <c r="AC918" s="193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  <c r="AC919" s="193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  <c r="AC920" s="193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  <c r="AC921" s="193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  <c r="AC922" s="193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  <c r="AC923" s="193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  <c r="AC924" s="193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  <c r="AC925" s="193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  <c r="AC926" s="193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  <c r="AC927" s="193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  <c r="AC928" s="193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  <c r="AC929" s="193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  <c r="AC930" s="193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  <c r="AC931" s="193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  <c r="AC932" s="193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  <c r="AC933" s="193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  <c r="AC934" s="193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  <c r="AC935" s="193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  <c r="AC936" s="193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  <c r="AC937" s="193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  <c r="AC938" s="193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  <c r="AC939" s="193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  <c r="AC940" s="193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  <c r="AC941" s="193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  <c r="AC942" s="193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  <c r="AC943" s="193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  <c r="AC944" s="193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  <c r="AC945" s="193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  <c r="AC946" s="193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  <c r="AC947" s="193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  <c r="AC948" s="193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  <c r="AC949" s="193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  <c r="AC950" s="193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  <c r="AC951" s="193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  <c r="AC952" s="193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  <c r="AC953" s="193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  <c r="AC954" s="193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  <c r="AC955" s="193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  <c r="AC956" s="193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  <c r="AC957" s="193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  <c r="AC958" s="193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  <c r="AC959" s="193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  <c r="AC960" s="193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  <c r="AC961" s="193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  <c r="AC962" s="193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  <c r="AC963" s="193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  <c r="AC964" s="193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  <c r="AC965" s="193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  <c r="AC966" s="193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  <c r="AC967" s="193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  <c r="AC968" s="193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  <c r="AC969" s="193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  <c r="AC970" s="193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  <c r="AC971" s="193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  <c r="AC972" s="193"/>
    </row>
    <row r="973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  <c r="AC973" s="193"/>
    </row>
    <row r="974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  <c r="AC974" s="193"/>
    </row>
    <row r="975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  <c r="AC975" s="193"/>
    </row>
    <row r="976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  <c r="AC976" s="193"/>
    </row>
    <row r="977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  <c r="AC977" s="193"/>
    </row>
    <row r="978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  <c r="AC978" s="193"/>
    </row>
    <row r="979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  <c r="AC979" s="193"/>
    </row>
    <row r="98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  <c r="AC980" s="193"/>
    </row>
    <row r="98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  <c r="AC981" s="193"/>
    </row>
    <row r="98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  <c r="AC982" s="193"/>
    </row>
    <row r="983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  <c r="AC983" s="193"/>
    </row>
    <row r="984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  <c r="AC984" s="193"/>
    </row>
    <row r="985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  <c r="AC985" s="193"/>
    </row>
    <row r="986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  <c r="AC986" s="193"/>
    </row>
    <row r="987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  <c r="AC987" s="193"/>
    </row>
    <row r="988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  <c r="AC988" s="193"/>
    </row>
    <row r="989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  <c r="AC989" s="193"/>
    </row>
    <row r="99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  <c r="AC990" s="193"/>
    </row>
    <row r="99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  <c r="AC991" s="193"/>
    </row>
    <row r="99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  <c r="AC992" s="193"/>
    </row>
    <row r="993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  <c r="AC993" s="193"/>
    </row>
    <row r="994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  <c r="AC994" s="193"/>
    </row>
    <row r="995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  <c r="AC995" s="193"/>
    </row>
    <row r="996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  <c r="AB996" s="193"/>
      <c r="AC996" s="193"/>
    </row>
    <row r="997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  <c r="AB997" s="193"/>
      <c r="AC997" s="193"/>
    </row>
    <row r="998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  <c r="AA998" s="193"/>
      <c r="AB998" s="193"/>
      <c r="AC998" s="193"/>
    </row>
    <row r="999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  <c r="AA999" s="193"/>
      <c r="AB999" s="193"/>
      <c r="AC999" s="193"/>
    </row>
    <row r="100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  <c r="AA1000" s="193"/>
      <c r="AB1000" s="193"/>
      <c r="AC1000" s="193"/>
    </row>
    <row r="1001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3"/>
      <c r="V1001" s="193"/>
      <c r="W1001" s="193"/>
      <c r="X1001" s="193"/>
      <c r="Y1001" s="193"/>
      <c r="Z1001" s="193"/>
      <c r="AA1001" s="193"/>
      <c r="AB1001" s="193"/>
      <c r="AC1001" s="193"/>
    </row>
    <row r="1002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193"/>
      <c r="S1002" s="193"/>
      <c r="T1002" s="193"/>
      <c r="U1002" s="193"/>
      <c r="V1002" s="193"/>
      <c r="W1002" s="193"/>
      <c r="X1002" s="193"/>
      <c r="Y1002" s="193"/>
      <c r="Z1002" s="193"/>
      <c r="AA1002" s="193"/>
      <c r="AB1002" s="193"/>
      <c r="AC1002" s="193"/>
    </row>
    <row r="1003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193"/>
      <c r="S1003" s="193"/>
      <c r="T1003" s="193"/>
      <c r="U1003" s="193"/>
      <c r="V1003" s="193"/>
      <c r="W1003" s="193"/>
      <c r="X1003" s="193"/>
      <c r="Y1003" s="193"/>
      <c r="Z1003" s="193"/>
      <c r="AA1003" s="193"/>
      <c r="AB1003" s="193"/>
      <c r="AC1003" s="193"/>
    </row>
    <row r="1004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193"/>
      <c r="S1004" s="193"/>
      <c r="T1004" s="193"/>
      <c r="U1004" s="193"/>
      <c r="V1004" s="193"/>
      <c r="W1004" s="193"/>
      <c r="X1004" s="193"/>
      <c r="Y1004" s="193"/>
      <c r="Z1004" s="193"/>
      <c r="AA1004" s="193"/>
      <c r="AB1004" s="193"/>
      <c r="AC1004" s="193"/>
    </row>
    <row r="1005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193"/>
      <c r="S1005" s="193"/>
      <c r="T1005" s="193"/>
      <c r="U1005" s="193"/>
      <c r="V1005" s="193"/>
      <c r="W1005" s="193"/>
      <c r="X1005" s="193"/>
      <c r="Y1005" s="193"/>
      <c r="Z1005" s="193"/>
      <c r="AA1005" s="193"/>
      <c r="AB1005" s="193"/>
      <c r="AC1005" s="193"/>
    </row>
    <row r="1006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193"/>
      <c r="S1006" s="193"/>
      <c r="T1006" s="193"/>
      <c r="U1006" s="193"/>
      <c r="V1006" s="193"/>
      <c r="W1006" s="193"/>
      <c r="X1006" s="193"/>
      <c r="Y1006" s="193"/>
      <c r="Z1006" s="193"/>
      <c r="AA1006" s="193"/>
      <c r="AB1006" s="193"/>
      <c r="AC1006" s="193"/>
    </row>
    <row r="1007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193"/>
      <c r="S1007" s="193"/>
      <c r="T1007" s="193"/>
      <c r="U1007" s="193"/>
      <c r="V1007" s="193"/>
      <c r="W1007" s="193"/>
      <c r="X1007" s="193"/>
      <c r="Y1007" s="193"/>
      <c r="Z1007" s="193"/>
      <c r="AA1007" s="193"/>
      <c r="AB1007" s="193"/>
      <c r="AC1007" s="193"/>
    </row>
    <row r="1008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193"/>
      <c r="S1008" s="193"/>
      <c r="T1008" s="193"/>
      <c r="U1008" s="193"/>
      <c r="V1008" s="193"/>
      <c r="W1008" s="193"/>
      <c r="X1008" s="193"/>
      <c r="Y1008" s="193"/>
      <c r="Z1008" s="193"/>
      <c r="AA1008" s="193"/>
      <c r="AB1008" s="193"/>
      <c r="AC1008" s="193"/>
    </row>
    <row r="1009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193"/>
      <c r="S1009" s="193"/>
      <c r="T1009" s="193"/>
      <c r="U1009" s="193"/>
      <c r="V1009" s="193"/>
      <c r="W1009" s="193"/>
      <c r="X1009" s="193"/>
      <c r="Y1009" s="193"/>
      <c r="Z1009" s="193"/>
      <c r="AA1009" s="193"/>
      <c r="AB1009" s="193"/>
      <c r="AC1009" s="193"/>
    </row>
    <row r="10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193"/>
      <c r="S1010" s="193"/>
      <c r="T1010" s="193"/>
      <c r="U1010" s="193"/>
      <c r="V1010" s="193"/>
      <c r="W1010" s="193"/>
      <c r="X1010" s="193"/>
      <c r="Y1010" s="193"/>
      <c r="Z1010" s="193"/>
      <c r="AA1010" s="193"/>
      <c r="AB1010" s="193"/>
      <c r="AC1010" s="193"/>
    </row>
    <row r="1011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193"/>
      <c r="S1011" s="193"/>
      <c r="T1011" s="193"/>
      <c r="U1011" s="193"/>
      <c r="V1011" s="193"/>
      <c r="W1011" s="193"/>
      <c r="X1011" s="193"/>
      <c r="Y1011" s="193"/>
      <c r="Z1011" s="193"/>
      <c r="AA1011" s="193"/>
      <c r="AB1011" s="193"/>
      <c r="AC1011" s="193"/>
    </row>
    <row r="1012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193"/>
      <c r="S1012" s="193"/>
      <c r="T1012" s="193"/>
      <c r="U1012" s="193"/>
      <c r="V1012" s="193"/>
      <c r="W1012" s="193"/>
      <c r="X1012" s="193"/>
      <c r="Y1012" s="193"/>
      <c r="Z1012" s="193"/>
      <c r="AA1012" s="193"/>
      <c r="AB1012" s="193"/>
      <c r="AC1012" s="193"/>
    </row>
    <row r="1013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193"/>
      <c r="S1013" s="193"/>
      <c r="T1013" s="193"/>
      <c r="U1013" s="193"/>
      <c r="V1013" s="193"/>
      <c r="W1013" s="193"/>
      <c r="X1013" s="193"/>
      <c r="Y1013" s="193"/>
      <c r="Z1013" s="193"/>
      <c r="AA1013" s="193"/>
      <c r="AB1013" s="193"/>
      <c r="AC1013" s="193"/>
    </row>
    <row r="1014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193"/>
      <c r="S1014" s="193"/>
      <c r="T1014" s="193"/>
      <c r="U1014" s="193"/>
      <c r="V1014" s="193"/>
      <c r="W1014" s="193"/>
      <c r="X1014" s="193"/>
      <c r="Y1014" s="193"/>
      <c r="Z1014" s="193"/>
      <c r="AA1014" s="193"/>
      <c r="AB1014" s="193"/>
      <c r="AC1014" s="19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6.25"/>
    <col customWidth="1" min="5" max="5" width="16.25"/>
    <col customWidth="1" min="13" max="13" width="19.0"/>
    <col customWidth="1" min="14" max="14" width="12.25"/>
    <col customWidth="1" min="15" max="15" width="18.5"/>
    <col customWidth="1" min="20" max="20" width="14.25"/>
  </cols>
  <sheetData>
    <row r="1">
      <c r="A1" s="280"/>
      <c r="B1" s="281" t="s">
        <v>0</v>
      </c>
      <c r="C1" s="282">
        <f>AVERAGE(C98:C118)</f>
        <v>421.8214286</v>
      </c>
      <c r="D1" s="280"/>
      <c r="E1" s="281" t="s">
        <v>0</v>
      </c>
      <c r="F1" s="282">
        <f>AVERAGE(F98:F118)</f>
        <v>172.5104762</v>
      </c>
      <c r="G1" s="283">
        <f>STDEV(F74:F93)</f>
        <v>1.852337357</v>
      </c>
      <c r="H1" s="280"/>
      <c r="I1" s="280"/>
      <c r="J1" s="280"/>
      <c r="K1" s="280"/>
      <c r="L1" s="280"/>
      <c r="M1" s="280"/>
      <c r="N1" s="280"/>
      <c r="O1" s="280"/>
      <c r="P1" s="283" t="s">
        <v>1</v>
      </c>
      <c r="Q1" s="283" t="s">
        <v>2</v>
      </c>
      <c r="R1" s="283" t="s">
        <v>3</v>
      </c>
      <c r="S1" s="280"/>
      <c r="T1" s="283" t="s">
        <v>5</v>
      </c>
      <c r="U1" s="283" t="str">
        <f>B9</f>
        <v>NSE:COALINDIA
</v>
      </c>
      <c r="V1" s="283" t="str">
        <f>E9</f>
        <v>NSE:GAIL</v>
      </c>
      <c r="W1" s="283" t="s">
        <v>11</v>
      </c>
      <c r="X1" s="284" t="s">
        <v>12</v>
      </c>
      <c r="Y1" s="280"/>
      <c r="Z1" s="280"/>
      <c r="AA1" s="280"/>
      <c r="AB1" s="280"/>
      <c r="AC1" s="280"/>
    </row>
    <row r="2">
      <c r="A2" s="9"/>
      <c r="B2" s="260" t="s">
        <v>20</v>
      </c>
      <c r="C2" s="208">
        <f>AVERAGE(C88:C118)</f>
        <v>416.7774194</v>
      </c>
      <c r="D2" s="9"/>
      <c r="E2" s="260" t="s">
        <v>20</v>
      </c>
      <c r="F2" s="208">
        <f>AVERAGE(F88:F118)</f>
        <v>172.8987097</v>
      </c>
      <c r="G2" s="9"/>
      <c r="H2" s="209"/>
      <c r="I2" s="209"/>
      <c r="J2" s="209"/>
      <c r="K2" s="209"/>
      <c r="L2" s="9"/>
      <c r="M2" s="193" t="s">
        <v>23</v>
      </c>
      <c r="N2" s="210">
        <f>CORREL(C88:C130,F88:F130)</f>
        <v>0.01274330925</v>
      </c>
      <c r="O2" s="193" t="s">
        <v>25</v>
      </c>
      <c r="P2" s="199">
        <f>AVERAGE(K88:K117)</f>
        <v>2.410672292</v>
      </c>
      <c r="Q2" s="199">
        <f>MAX(K88:K117)</f>
        <v>2.509850746</v>
      </c>
      <c r="R2" s="199">
        <f>MIN(K88:K116)</f>
        <v>2.263380282</v>
      </c>
      <c r="S2" s="199">
        <f t="shared" ref="S2:S5" si="1">Q2-R2</f>
        <v>0.2464704646</v>
      </c>
      <c r="T2" s="193">
        <f>MATCH(MAX(K11:K116), K11:K116, 0)</f>
        <v>14</v>
      </c>
      <c r="U2" s="193">
        <f t="array" ref="U2">INDEX(C11:C116, MATCH(MAX(K11:K116), K11:K116, 0))</f>
        <v>460.2</v>
      </c>
      <c r="V2" s="193">
        <f t="array" ref="V2">INDEX(F11:F116, MATCH(MAX(K11:K116), K11:K116, 0))</f>
        <v>155.9</v>
      </c>
      <c r="W2" s="195">
        <f t="shared" ref="W2:W3" si="2">U2/V2</f>
        <v>2.951892239</v>
      </c>
      <c r="X2" s="193" t="s">
        <v>2</v>
      </c>
      <c r="Y2" s="9"/>
      <c r="Z2" s="9"/>
      <c r="AA2" s="9"/>
      <c r="AB2" s="9"/>
      <c r="AC2" s="9"/>
    </row>
    <row r="3">
      <c r="A3" s="193">
        <f>STDEV(C75:C93)</f>
        <v>5.535553613</v>
      </c>
      <c r="B3" s="212" t="s">
        <v>61</v>
      </c>
      <c r="C3" s="212">
        <f>max(C98:C118)</f>
        <v>432</v>
      </c>
      <c r="D3" s="213">
        <f>C1+A3*2</f>
        <v>432.8925358</v>
      </c>
      <c r="E3" s="212" t="s">
        <v>61</v>
      </c>
      <c r="F3" s="212">
        <f>max(F98:F118)</f>
        <v>176</v>
      </c>
      <c r="G3" s="213">
        <f>F1+G1*2</f>
        <v>176.2151509</v>
      </c>
      <c r="H3" s="209"/>
      <c r="I3" s="209"/>
      <c r="J3" s="209"/>
      <c r="K3" s="209"/>
      <c r="L3" s="9"/>
      <c r="M3" s="193" t="s">
        <v>64</v>
      </c>
      <c r="N3" s="210">
        <f>CORREL(C61:C130,F61:F130)</f>
        <v>-0.07578131416</v>
      </c>
      <c r="O3" s="193" t="s">
        <v>67</v>
      </c>
      <c r="P3" s="199">
        <f>AVERAGE((K58:K117))</f>
        <v>2.407249427</v>
      </c>
      <c r="Q3" s="199">
        <f>MAX(K58:K117)</f>
        <v>2.513821903</v>
      </c>
      <c r="R3" s="199">
        <f>MIN(K58:K116)</f>
        <v>2.263380282</v>
      </c>
      <c r="S3" s="199">
        <f t="shared" si="1"/>
        <v>0.2504416216</v>
      </c>
      <c r="T3" s="193">
        <f>MATCH(Min(K11:K116), K11:K116, 0)</f>
        <v>84</v>
      </c>
      <c r="U3" s="193">
        <f t="array" ref="U3">INDEX(C11:C116, MATCH(Min(K11:K116), K11:K116, 0))</f>
        <v>401.75</v>
      </c>
      <c r="V3" s="193">
        <f t="array" ref="V3">INDEX(F11:F116, MATCH(MIN(K11:K116), K11:K116, 0))</f>
        <v>177.5</v>
      </c>
      <c r="W3" s="195">
        <f t="shared" si="2"/>
        <v>2.263380282</v>
      </c>
      <c r="X3" s="193" t="s">
        <v>3</v>
      </c>
      <c r="Y3" s="9"/>
      <c r="Z3" s="9"/>
      <c r="AA3" s="9"/>
      <c r="AB3" s="9"/>
      <c r="AC3" s="9"/>
    </row>
    <row r="4">
      <c r="A4" s="9"/>
      <c r="B4" s="212" t="s">
        <v>73</v>
      </c>
      <c r="C4" s="212">
        <f>MIN(C98:C118)</f>
        <v>409.9</v>
      </c>
      <c r="D4" s="213">
        <f>C1-A3*2</f>
        <v>410.7503213</v>
      </c>
      <c r="E4" s="212" t="s">
        <v>73</v>
      </c>
      <c r="F4" s="212">
        <f>MIN(F98:F118)</f>
        <v>167.5</v>
      </c>
      <c r="G4" s="213">
        <f>F1-G1*2</f>
        <v>168.8058015</v>
      </c>
      <c r="H4" s="209"/>
      <c r="I4" s="209"/>
      <c r="J4" s="209"/>
      <c r="K4" s="209"/>
      <c r="L4" s="9"/>
      <c r="M4" s="193" t="s">
        <v>77</v>
      </c>
      <c r="N4" s="210">
        <f>CORREL(C31:C124,F31:F124)</f>
        <v>-0.3221720058</v>
      </c>
      <c r="O4" s="193" t="s">
        <v>79</v>
      </c>
      <c r="P4" s="199">
        <f>AVERAGE(K28:K117)</f>
        <v>2.482532752</v>
      </c>
      <c r="Q4" s="199">
        <f>MAX(K28:K117)</f>
        <v>2.886283132</v>
      </c>
      <c r="R4" s="199">
        <f>MIN(K28:K116)</f>
        <v>2.263380282</v>
      </c>
      <c r="S4" s="199">
        <f t="shared" si="1"/>
        <v>0.6229028501</v>
      </c>
      <c r="T4" s="9"/>
      <c r="U4" s="9"/>
      <c r="V4" s="9"/>
      <c r="W4" s="191"/>
      <c r="X4" s="9"/>
      <c r="Y4" s="9"/>
      <c r="Z4" s="9"/>
      <c r="AA4" s="9"/>
      <c r="AB4" s="9"/>
      <c r="AC4" s="9"/>
    </row>
    <row r="5">
      <c r="A5" s="9"/>
      <c r="B5" s="212" t="s">
        <v>81</v>
      </c>
      <c r="C5" s="212">
        <f>max(C108:C118)</f>
        <v>428</v>
      </c>
      <c r="D5" s="213">
        <f>C1+A3</f>
        <v>427.3569822</v>
      </c>
      <c r="E5" s="212" t="s">
        <v>81</v>
      </c>
      <c r="F5" s="212">
        <f>max(F108:F118)</f>
        <v>173.85</v>
      </c>
      <c r="G5" s="213">
        <f>F1+G1</f>
        <v>174.3628135</v>
      </c>
      <c r="H5" s="9"/>
      <c r="I5" s="9"/>
      <c r="J5" s="9"/>
      <c r="K5" s="9"/>
      <c r="L5" s="9"/>
      <c r="M5" s="193" t="s">
        <v>82</v>
      </c>
      <c r="N5" s="210">
        <f>CORREL(C11:C130,F11:F130)</f>
        <v>-0.5974606936</v>
      </c>
      <c r="O5" s="193" t="s">
        <v>83</v>
      </c>
      <c r="P5" s="199">
        <f>AVERAGE(K11:K117)</f>
        <v>2.540372659</v>
      </c>
      <c r="Q5" s="199">
        <f>MAX(K11:K117)</f>
        <v>2.951892239</v>
      </c>
      <c r="R5" s="199">
        <f>MIN(K11:K116)</f>
        <v>2.263380282</v>
      </c>
      <c r="S5" s="199">
        <f t="shared" si="1"/>
        <v>0.6885119569</v>
      </c>
      <c r="T5" s="261" t="str">
        <f>U1</f>
        <v>NSE:COALINDIA
</v>
      </c>
      <c r="U5" s="261">
        <v>2.0</v>
      </c>
      <c r="V5" s="261">
        <f>U2*U7*U5</f>
        <v>184080</v>
      </c>
      <c r="W5" s="286">
        <f>V2*U6*U8</f>
        <v>46770</v>
      </c>
      <c r="X5" s="9"/>
      <c r="Y5" s="9"/>
      <c r="Z5" s="9"/>
      <c r="AA5" s="9"/>
      <c r="AB5" s="9"/>
      <c r="AC5" s="9"/>
    </row>
    <row r="6">
      <c r="A6" s="9"/>
      <c r="B6" s="212" t="s">
        <v>87</v>
      </c>
      <c r="C6" s="212">
        <f>MIN(C108:C118)</f>
        <v>411.65</v>
      </c>
      <c r="D6" s="213">
        <f>C1-A3</f>
        <v>416.285875</v>
      </c>
      <c r="E6" s="212" t="s">
        <v>87</v>
      </c>
      <c r="F6" s="212">
        <f>MIN(F108:F118)</f>
        <v>167.5</v>
      </c>
      <c r="G6" s="213">
        <f>F1-G1</f>
        <v>170.6581388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261" t="str">
        <f>V1</f>
        <v>NSE:GAIL</v>
      </c>
      <c r="U6" s="261">
        <v>1.0</v>
      </c>
      <c r="V6" s="261">
        <f>U3*U5*U7</f>
        <v>160700</v>
      </c>
      <c r="W6" s="261">
        <f>V3*U6*U8</f>
        <v>53250</v>
      </c>
      <c r="X6" s="9"/>
      <c r="Y6" s="9"/>
      <c r="Z6" s="9"/>
      <c r="AA6" s="9"/>
      <c r="AB6" s="9"/>
      <c r="AC6" s="9"/>
    </row>
    <row r="7">
      <c r="A7" s="9"/>
      <c r="B7" s="193" t="s">
        <v>88</v>
      </c>
      <c r="C7" s="193">
        <f>max(C88:C118)</f>
        <v>432</v>
      </c>
      <c r="D7" s="9"/>
      <c r="E7" s="193" t="s">
        <v>88</v>
      </c>
      <c r="F7" s="193">
        <f>max(F88:F118)</f>
        <v>177.5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93" t="str">
        <f>U1</f>
        <v>NSE:COALINDIA
</v>
      </c>
      <c r="U7" s="193">
        <v>200.0</v>
      </c>
      <c r="V7" s="9"/>
      <c r="W7" s="9"/>
      <c r="X7" s="9"/>
      <c r="Y7" s="9"/>
      <c r="Z7" s="9"/>
      <c r="AA7" s="9"/>
      <c r="AB7" s="9"/>
      <c r="AC7" s="9"/>
    </row>
    <row r="8">
      <c r="A8" s="9"/>
      <c r="B8" s="212" t="s">
        <v>90</v>
      </c>
      <c r="C8" s="215">
        <f>AVERAGE(C98:C118)</f>
        <v>421.8214286</v>
      </c>
      <c r="D8" s="9"/>
      <c r="E8" s="212" t="s">
        <v>90</v>
      </c>
      <c r="F8" s="215">
        <f>AVERAGE(F98:F118)</f>
        <v>172.5104762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93" t="str">
        <f>V1</f>
        <v>NSE:GAIL</v>
      </c>
      <c r="U8" s="193">
        <v>300.0</v>
      </c>
      <c r="V8" s="9"/>
      <c r="W8" s="9"/>
      <c r="X8" s="9"/>
      <c r="Y8" s="9"/>
      <c r="Z8" s="9"/>
      <c r="AA8" s="9"/>
      <c r="AB8" s="9"/>
      <c r="AC8" s="9"/>
    </row>
    <row r="9">
      <c r="A9" s="9"/>
      <c r="B9" s="216" t="s">
        <v>217</v>
      </c>
      <c r="C9" s="9"/>
      <c r="D9" s="9"/>
      <c r="E9" s="216" t="s">
        <v>134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9"/>
      <c r="B10" s="193" t="str">
        <f>IFERROR(__xludf.DUMMYFUNCTION("GOOGLEFINANCE(B9,""price"",TODAY()-166,TODAY())"),"Date")</f>
        <v>Date</v>
      </c>
      <c r="C10" s="193" t="str">
        <f>IFERROR(__xludf.DUMMYFUNCTION("""COMPUTED_VALUE"""),"Close")</f>
        <v>Close</v>
      </c>
      <c r="D10" s="9"/>
      <c r="E10" s="193" t="str">
        <f>IFERROR(__xludf.DUMMYFUNCTION("GOOGLEFINANCE(E9,""price"",TODAY()-166,TODAY())"),"Date")</f>
        <v>Date</v>
      </c>
      <c r="F10" s="193" t="str">
        <f>IFERROR(__xludf.DUMMYFUNCTION("""COMPUTED_VALUE"""),"Close")</f>
        <v>Close</v>
      </c>
      <c r="G10" s="9"/>
      <c r="H10" s="193" t="s">
        <v>92</v>
      </c>
      <c r="I10" s="193" t="s">
        <v>93</v>
      </c>
      <c r="J10" s="193" t="s">
        <v>94</v>
      </c>
      <c r="K10" s="193" t="s">
        <v>92</v>
      </c>
      <c r="L10" s="193" t="s">
        <v>191</v>
      </c>
      <c r="M10" s="193" t="s">
        <v>192</v>
      </c>
      <c r="N10" s="193" t="s">
        <v>193</v>
      </c>
      <c r="O10" s="193" t="s">
        <v>194</v>
      </c>
      <c r="P10" s="193" t="s">
        <v>99</v>
      </c>
      <c r="Q10" s="9"/>
      <c r="R10" s="9"/>
      <c r="S10" s="9"/>
      <c r="T10" s="9"/>
      <c r="U10" s="9"/>
      <c r="V10" s="9"/>
      <c r="W10" s="9"/>
      <c r="X10" s="9"/>
      <c r="Y10" s="193" t="s">
        <v>1</v>
      </c>
      <c r="Z10" s="263" t="str">
        <f>T5</f>
        <v>NSE:COALINDIA
</v>
      </c>
      <c r="AA10" s="263" t="str">
        <f>T6</f>
        <v>NSE:GAIL</v>
      </c>
      <c r="AB10" s="9"/>
      <c r="AC10" s="9"/>
    </row>
    <row r="11">
      <c r="A11" s="9"/>
      <c r="B11" s="217">
        <f>IFERROR(__xludf.DUMMYFUNCTION("""COMPUTED_VALUE"""),46146.64583333333)</f>
        <v>46146.64583</v>
      </c>
      <c r="C11" s="193">
        <f>IFERROR(__xludf.DUMMYFUNCTION("""COMPUTED_VALUE"""),479.95)</f>
        <v>479.95</v>
      </c>
      <c r="D11" s="9"/>
      <c r="E11" s="217">
        <f>IFERROR(__xludf.DUMMYFUNCTION("""COMPUTED_VALUE"""),46146.64583333333)</f>
        <v>46146.64583</v>
      </c>
      <c r="F11" s="193">
        <f>IFERROR(__xludf.DUMMYFUNCTION("""COMPUTED_VALUE"""),164.48)</f>
        <v>164.48</v>
      </c>
      <c r="G11" s="9"/>
      <c r="H11" s="199">
        <f t="shared" ref="H11:H124" si="3">C11/F11</f>
        <v>2.917983949</v>
      </c>
      <c r="I11" s="193">
        <f t="shared" ref="I11:I118" si="4">C11-F11</f>
        <v>315.47</v>
      </c>
      <c r="J11" s="213">
        <f t="shared" ref="J11:J118" si="5">((I11-$I$131)/$I$132)</f>
        <v>2.089487838</v>
      </c>
      <c r="K11" s="199">
        <f t="shared" ref="K11:K116" si="6">C11/F11</f>
        <v>2.917983949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193">
        <f>V5-V6</f>
        <v>23380</v>
      </c>
      <c r="W11" s="194">
        <f>W6-W5</f>
        <v>6480</v>
      </c>
      <c r="X11" s="286">
        <f>V11+W11</f>
        <v>29860</v>
      </c>
      <c r="Y11" s="193" t="s">
        <v>101</v>
      </c>
      <c r="Z11" s="264">
        <f>AVERAGE(C88,C118)</f>
        <v>408.425</v>
      </c>
      <c r="AA11" s="264">
        <f>AVERAGE(F88,F118)</f>
        <v>172.04</v>
      </c>
      <c r="AB11" s="9"/>
      <c r="AC11" s="9"/>
    </row>
    <row r="12">
      <c r="A12" s="9"/>
      <c r="B12" s="217">
        <f>IFERROR(__xludf.DUMMYFUNCTION("""COMPUTED_VALUE"""),46147.64583333333)</f>
        <v>46147.64583</v>
      </c>
      <c r="C12" s="193">
        <f>IFERROR(__xludf.DUMMYFUNCTION("""COMPUTED_VALUE"""),472.6)</f>
        <v>472.6</v>
      </c>
      <c r="D12" s="9"/>
      <c r="E12" s="217">
        <f>IFERROR(__xludf.DUMMYFUNCTION("""COMPUTED_VALUE"""),46147.64583333333)</f>
        <v>46147.64583</v>
      </c>
      <c r="F12" s="193">
        <f>IFERROR(__xludf.DUMMYFUNCTION("""COMPUTED_VALUE"""),163.7)</f>
        <v>163.7</v>
      </c>
      <c r="G12" s="9"/>
      <c r="H12" s="199">
        <f t="shared" si="3"/>
        <v>2.886988393</v>
      </c>
      <c r="I12" s="193">
        <f t="shared" si="4"/>
        <v>308.9</v>
      </c>
      <c r="J12" s="213">
        <f t="shared" si="5"/>
        <v>1.830135356</v>
      </c>
      <c r="K12" s="199">
        <f t="shared" si="6"/>
        <v>2.886988393</v>
      </c>
      <c r="L12" s="9"/>
      <c r="M12" s="9"/>
      <c r="N12" s="9"/>
      <c r="O12" s="9"/>
      <c r="P12" s="9"/>
      <c r="Q12" s="9"/>
      <c r="R12" s="9"/>
      <c r="S12" s="9"/>
      <c r="T12" s="193" t="s">
        <v>103</v>
      </c>
      <c r="U12" s="265">
        <f>S2/3</f>
        <v>0.08215682153</v>
      </c>
      <c r="V12" s="9"/>
      <c r="W12" s="9"/>
      <c r="X12" s="9"/>
      <c r="Y12" s="193" t="s">
        <v>104</v>
      </c>
      <c r="Z12" s="264">
        <f>AVERAGE(C58,C118)</f>
        <v>420.475</v>
      </c>
      <c r="AA12" s="264">
        <f>AVERAGE(F58,F118)</f>
        <v>172.905</v>
      </c>
      <c r="AB12" s="9"/>
      <c r="AC12" s="9"/>
    </row>
    <row r="13">
      <c r="A13" s="9"/>
      <c r="B13" s="217">
        <f>IFERROR(__xludf.DUMMYFUNCTION("""COMPUTED_VALUE"""),46148.64583333333)</f>
        <v>46148.64583</v>
      </c>
      <c r="C13" s="193">
        <f>IFERROR(__xludf.DUMMYFUNCTION("""COMPUTED_VALUE"""),470.2)</f>
        <v>470.2</v>
      </c>
      <c r="D13" s="9"/>
      <c r="E13" s="217">
        <f>IFERROR(__xludf.DUMMYFUNCTION("""COMPUTED_VALUE"""),46148.64583333333)</f>
        <v>46148.64583</v>
      </c>
      <c r="F13" s="193">
        <f>IFERROR(__xludf.DUMMYFUNCTION("""COMPUTED_VALUE"""),165.68)</f>
        <v>165.68</v>
      </c>
      <c r="G13" s="9"/>
      <c r="H13" s="199">
        <f t="shared" si="3"/>
        <v>2.838000966</v>
      </c>
      <c r="I13" s="193">
        <f t="shared" si="4"/>
        <v>304.52</v>
      </c>
      <c r="J13" s="213">
        <f t="shared" si="5"/>
        <v>1.657233702</v>
      </c>
      <c r="K13" s="199">
        <f t="shared" si="6"/>
        <v>2.838000966</v>
      </c>
      <c r="L13" s="9"/>
      <c r="M13" s="9"/>
      <c r="N13" s="9"/>
      <c r="O13" s="209"/>
      <c r="P13" s="9"/>
      <c r="Q13" s="9"/>
      <c r="R13" s="9"/>
      <c r="S13" s="9"/>
      <c r="T13" s="266"/>
      <c r="U13" s="118">
        <f>(X11*U12)/S2</f>
        <v>9953.333333</v>
      </c>
      <c r="V13" s="266"/>
      <c r="W13" s="266"/>
      <c r="X13" s="267">
        <f>X11/(R2/U12)</f>
        <v>1083.866777</v>
      </c>
      <c r="Y13" s="193" t="s">
        <v>105</v>
      </c>
      <c r="Z13" s="264">
        <f>AVERAGE(C28,C118)</f>
        <v>437.35</v>
      </c>
      <c r="AA13" s="264">
        <f>AVERAGE(F28,F118)</f>
        <v>170.54</v>
      </c>
      <c r="AB13" s="9"/>
      <c r="AC13" s="9"/>
    </row>
    <row r="14">
      <c r="A14" s="9"/>
      <c r="B14" s="217">
        <f>IFERROR(__xludf.DUMMYFUNCTION("""COMPUTED_VALUE"""),46149.64583333333)</f>
        <v>46149.64583</v>
      </c>
      <c r="C14" s="193">
        <f>IFERROR(__xludf.DUMMYFUNCTION("""COMPUTED_VALUE"""),466.65)</f>
        <v>466.65</v>
      </c>
      <c r="D14" s="9"/>
      <c r="E14" s="217">
        <f>IFERROR(__xludf.DUMMYFUNCTION("""COMPUTED_VALUE"""),46149.64583333333)</f>
        <v>46149.64583</v>
      </c>
      <c r="F14" s="193">
        <f>IFERROR(__xludf.DUMMYFUNCTION("""COMPUTED_VALUE"""),167.26)</f>
        <v>167.26</v>
      </c>
      <c r="G14" s="9"/>
      <c r="H14" s="199">
        <f t="shared" si="3"/>
        <v>2.789967715</v>
      </c>
      <c r="I14" s="193">
        <f t="shared" si="4"/>
        <v>299.39</v>
      </c>
      <c r="J14" s="213">
        <f t="shared" si="5"/>
        <v>1.4547256</v>
      </c>
      <c r="K14" s="199">
        <f t="shared" si="6"/>
        <v>2.789967715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9"/>
      <c r="B15" s="217">
        <f>IFERROR(__xludf.DUMMYFUNCTION("""COMPUTED_VALUE"""),46150.64583333333)</f>
        <v>46150.64583</v>
      </c>
      <c r="C15" s="193">
        <f>IFERROR(__xludf.DUMMYFUNCTION("""COMPUTED_VALUE"""),456.4)</f>
        <v>456.4</v>
      </c>
      <c r="D15" s="9"/>
      <c r="E15" s="217">
        <f>IFERROR(__xludf.DUMMYFUNCTION("""COMPUTED_VALUE"""),46150.64583333333)</f>
        <v>46150.64583</v>
      </c>
      <c r="F15" s="193">
        <f>IFERROR(__xludf.DUMMYFUNCTION("""COMPUTED_VALUE"""),166.49)</f>
        <v>166.49</v>
      </c>
      <c r="G15" s="9"/>
      <c r="H15" s="199">
        <f t="shared" si="3"/>
        <v>2.741305784</v>
      </c>
      <c r="I15" s="193">
        <f t="shared" si="4"/>
        <v>289.91</v>
      </c>
      <c r="J15" s="213">
        <f t="shared" si="5"/>
        <v>1.080500101</v>
      </c>
      <c r="K15" s="199">
        <f t="shared" si="6"/>
        <v>2.741305784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217">
        <f>IFERROR(__xludf.DUMMYFUNCTION("""COMPUTED_VALUE"""),46153.64583333333)</f>
        <v>46153.64583</v>
      </c>
      <c r="C16" s="193">
        <f>IFERROR(__xludf.DUMMYFUNCTION("""COMPUTED_VALUE"""),464.45)</f>
        <v>464.45</v>
      </c>
      <c r="D16" s="9"/>
      <c r="E16" s="217">
        <f>IFERROR(__xludf.DUMMYFUNCTION("""COMPUTED_VALUE"""),46153.64583333333)</f>
        <v>46153.64583</v>
      </c>
      <c r="F16" s="193">
        <f>IFERROR(__xludf.DUMMYFUNCTION("""COMPUTED_VALUE"""),162.51)</f>
        <v>162.51</v>
      </c>
      <c r="G16" s="9"/>
      <c r="H16" s="199">
        <f t="shared" si="3"/>
        <v>2.857977971</v>
      </c>
      <c r="I16" s="193">
        <f t="shared" si="4"/>
        <v>301.94</v>
      </c>
      <c r="J16" s="213">
        <f t="shared" si="5"/>
        <v>1.555387522</v>
      </c>
      <c r="K16" s="199">
        <f t="shared" si="6"/>
        <v>2.857977971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217">
        <f>IFERROR(__xludf.DUMMYFUNCTION("""COMPUTED_VALUE"""),46154.64583333333)</f>
        <v>46154.64583</v>
      </c>
      <c r="C17" s="193">
        <f>IFERROR(__xludf.DUMMYFUNCTION("""COMPUTED_VALUE"""),463.05)</f>
        <v>463.05</v>
      </c>
      <c r="D17" s="9"/>
      <c r="E17" s="217">
        <f>IFERROR(__xludf.DUMMYFUNCTION("""COMPUTED_VALUE"""),46154.64583333333)</f>
        <v>46154.64583</v>
      </c>
      <c r="F17" s="193">
        <f>IFERROR(__xludf.DUMMYFUNCTION("""COMPUTED_VALUE"""),160.35)</f>
        <v>160.35</v>
      </c>
      <c r="G17" s="9"/>
      <c r="H17" s="199">
        <f t="shared" si="3"/>
        <v>2.887745557</v>
      </c>
      <c r="I17" s="193">
        <f t="shared" si="4"/>
        <v>302.7</v>
      </c>
      <c r="J17" s="213">
        <f t="shared" si="5"/>
        <v>1.585388722</v>
      </c>
      <c r="K17" s="199">
        <f t="shared" si="6"/>
        <v>2.887745557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217">
        <f>IFERROR(__xludf.DUMMYFUNCTION("""COMPUTED_VALUE"""),46155.64583333333)</f>
        <v>46155.64583</v>
      </c>
      <c r="C18" s="193">
        <f>IFERROR(__xludf.DUMMYFUNCTION("""COMPUTED_VALUE"""),462.25)</f>
        <v>462.25</v>
      </c>
      <c r="D18" s="9"/>
      <c r="E18" s="217">
        <f>IFERROR(__xludf.DUMMYFUNCTION("""COMPUTED_VALUE"""),46155.64583333333)</f>
        <v>46155.64583</v>
      </c>
      <c r="F18" s="193">
        <f>IFERROR(__xludf.DUMMYFUNCTION("""COMPUTED_VALUE"""),163.31)</f>
        <v>163.31</v>
      </c>
      <c r="G18" s="9"/>
      <c r="H18" s="199">
        <f t="shared" si="3"/>
        <v>2.830506399</v>
      </c>
      <c r="I18" s="193">
        <f t="shared" si="4"/>
        <v>298.94</v>
      </c>
      <c r="J18" s="213">
        <f t="shared" si="5"/>
        <v>1.436961731</v>
      </c>
      <c r="K18" s="199">
        <f t="shared" si="6"/>
        <v>2.830506399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217">
        <f>IFERROR(__xludf.DUMMYFUNCTION("""COMPUTED_VALUE"""),46156.64583333333)</f>
        <v>46156.64583</v>
      </c>
      <c r="C19" s="193">
        <f>IFERROR(__xludf.DUMMYFUNCTION("""COMPUTED_VALUE"""),454.05)</f>
        <v>454.05</v>
      </c>
      <c r="D19" s="9"/>
      <c r="E19" s="217">
        <f>IFERROR(__xludf.DUMMYFUNCTION("""COMPUTED_VALUE"""),46156.64583333333)</f>
        <v>46156.64583</v>
      </c>
      <c r="F19" s="193">
        <f>IFERROR(__xludf.DUMMYFUNCTION("""COMPUTED_VALUE"""),162.61)</f>
        <v>162.61</v>
      </c>
      <c r="G19" s="9"/>
      <c r="H19" s="199">
        <f t="shared" si="3"/>
        <v>2.792263698</v>
      </c>
      <c r="I19" s="193">
        <f t="shared" si="4"/>
        <v>291.44</v>
      </c>
      <c r="J19" s="213">
        <f t="shared" si="5"/>
        <v>1.140897254</v>
      </c>
      <c r="K19" s="199">
        <f t="shared" si="6"/>
        <v>2.792263698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217">
        <f>IFERROR(__xludf.DUMMYFUNCTION("""COMPUTED_VALUE"""),46157.64583333333)</f>
        <v>46157.64583</v>
      </c>
      <c r="C20" s="193">
        <f>IFERROR(__xludf.DUMMYFUNCTION("""COMPUTED_VALUE"""),462.2)</f>
        <v>462.2</v>
      </c>
      <c r="D20" s="9"/>
      <c r="E20" s="217">
        <f>IFERROR(__xludf.DUMMYFUNCTION("""COMPUTED_VALUE"""),46157.64583333333)</f>
        <v>46157.64583</v>
      </c>
      <c r="F20" s="193">
        <f>IFERROR(__xludf.DUMMYFUNCTION("""COMPUTED_VALUE"""),162.13)</f>
        <v>162.13</v>
      </c>
      <c r="G20" s="9"/>
      <c r="H20" s="199">
        <f t="shared" si="3"/>
        <v>2.850798742</v>
      </c>
      <c r="I20" s="193">
        <f t="shared" si="4"/>
        <v>300.07</v>
      </c>
      <c r="J20" s="213">
        <f t="shared" si="5"/>
        <v>1.481568779</v>
      </c>
      <c r="K20" s="199">
        <f t="shared" si="6"/>
        <v>2.850798742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217">
        <f>IFERROR(__xludf.DUMMYFUNCTION("""COMPUTED_VALUE"""),46160.64583333333)</f>
        <v>46160.64583</v>
      </c>
      <c r="C21" s="193">
        <f>IFERROR(__xludf.DUMMYFUNCTION("""COMPUTED_VALUE"""),462.1)</f>
        <v>462.1</v>
      </c>
      <c r="D21" s="9"/>
      <c r="E21" s="217">
        <f>IFERROR(__xludf.DUMMYFUNCTION("""COMPUTED_VALUE"""),46160.64583333333)</f>
        <v>46160.64583</v>
      </c>
      <c r="F21" s="193">
        <f>IFERROR(__xludf.DUMMYFUNCTION("""COMPUTED_VALUE"""),160.22)</f>
        <v>160.22</v>
      </c>
      <c r="G21" s="9"/>
      <c r="H21" s="199">
        <f t="shared" si="3"/>
        <v>2.884159281</v>
      </c>
      <c r="I21" s="193">
        <f t="shared" si="4"/>
        <v>301.88</v>
      </c>
      <c r="J21" s="213">
        <f t="shared" si="5"/>
        <v>1.553019006</v>
      </c>
      <c r="K21" s="199">
        <f t="shared" si="6"/>
        <v>2.884159281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217">
        <f>IFERROR(__xludf.DUMMYFUNCTION("""COMPUTED_VALUE"""),46161.64583333333)</f>
        <v>46161.64583</v>
      </c>
      <c r="C22" s="193">
        <f>IFERROR(__xludf.DUMMYFUNCTION("""COMPUTED_VALUE"""),456.95)</f>
        <v>456.95</v>
      </c>
      <c r="D22" s="9"/>
      <c r="E22" s="217">
        <f>IFERROR(__xludf.DUMMYFUNCTION("""COMPUTED_VALUE"""),46161.64583333333)</f>
        <v>46161.64583</v>
      </c>
      <c r="F22" s="193">
        <f>IFERROR(__xludf.DUMMYFUNCTION("""COMPUTED_VALUE"""),156.12)</f>
        <v>156.12</v>
      </c>
      <c r="G22" s="9"/>
      <c r="H22" s="199">
        <f t="shared" si="3"/>
        <v>2.926915193</v>
      </c>
      <c r="I22" s="193">
        <f t="shared" si="4"/>
        <v>300.83</v>
      </c>
      <c r="J22" s="213">
        <f t="shared" si="5"/>
        <v>1.511569979</v>
      </c>
      <c r="K22" s="199">
        <f t="shared" si="6"/>
        <v>2.926915193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217">
        <f>IFERROR(__xludf.DUMMYFUNCTION("""COMPUTED_VALUE"""),46162.64583333333)</f>
        <v>46162.64583</v>
      </c>
      <c r="C23" s="193">
        <f>IFERROR(__xludf.DUMMYFUNCTION("""COMPUTED_VALUE"""),458.7)</f>
        <v>458.7</v>
      </c>
      <c r="D23" s="9"/>
      <c r="E23" s="217">
        <f>IFERROR(__xludf.DUMMYFUNCTION("""COMPUTED_VALUE"""),46162.64583333333)</f>
        <v>46162.64583</v>
      </c>
      <c r="F23" s="193">
        <f>IFERROR(__xludf.DUMMYFUNCTION("""COMPUTED_VALUE"""),155.64)</f>
        <v>155.64</v>
      </c>
      <c r="G23" s="9"/>
      <c r="H23" s="199">
        <f t="shared" si="3"/>
        <v>2.947185813</v>
      </c>
      <c r="I23" s="193">
        <f t="shared" si="4"/>
        <v>303.06</v>
      </c>
      <c r="J23" s="213">
        <f t="shared" si="5"/>
        <v>1.599599817</v>
      </c>
      <c r="K23" s="199">
        <f t="shared" si="6"/>
        <v>2.947185813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217">
        <f>IFERROR(__xludf.DUMMYFUNCTION("""COMPUTED_VALUE"""),46163.64583333333)</f>
        <v>46163.64583</v>
      </c>
      <c r="C24" s="193">
        <f>IFERROR(__xludf.DUMMYFUNCTION("""COMPUTED_VALUE"""),460.2)</f>
        <v>460.2</v>
      </c>
      <c r="D24" s="9"/>
      <c r="E24" s="217">
        <f>IFERROR(__xludf.DUMMYFUNCTION("""COMPUTED_VALUE"""),46163.64583333333)</f>
        <v>46163.64583</v>
      </c>
      <c r="F24" s="193">
        <f>IFERROR(__xludf.DUMMYFUNCTION("""COMPUTED_VALUE"""),155.9)</f>
        <v>155.9</v>
      </c>
      <c r="G24" s="9"/>
      <c r="H24" s="199">
        <f t="shared" si="3"/>
        <v>2.951892239</v>
      </c>
      <c r="I24" s="193">
        <f t="shared" si="4"/>
        <v>304.3</v>
      </c>
      <c r="J24" s="213">
        <f t="shared" si="5"/>
        <v>1.648549144</v>
      </c>
      <c r="K24" s="199">
        <f t="shared" si="6"/>
        <v>2.951892239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217">
        <f>IFERROR(__xludf.DUMMYFUNCTION("""COMPUTED_VALUE"""),46164.64583333333)</f>
        <v>46164.64583</v>
      </c>
      <c r="C25" s="193">
        <f>IFERROR(__xludf.DUMMYFUNCTION("""COMPUTED_VALUE"""),456.55)</f>
        <v>456.55</v>
      </c>
      <c r="D25" s="9"/>
      <c r="E25" s="217">
        <f>IFERROR(__xludf.DUMMYFUNCTION("""COMPUTED_VALUE"""),46164.64583333333)</f>
        <v>46164.64583</v>
      </c>
      <c r="F25" s="193">
        <f>IFERROR(__xludf.DUMMYFUNCTION("""COMPUTED_VALUE"""),160.77)</f>
        <v>160.77</v>
      </c>
      <c r="G25" s="9"/>
      <c r="H25" s="199">
        <f t="shared" si="3"/>
        <v>2.839771102</v>
      </c>
      <c r="I25" s="193">
        <f t="shared" si="4"/>
        <v>295.78</v>
      </c>
      <c r="J25" s="213">
        <f t="shared" si="5"/>
        <v>1.312219898</v>
      </c>
      <c r="K25" s="199">
        <f t="shared" si="6"/>
        <v>2.839771102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217">
        <f>IFERROR(__xludf.DUMMYFUNCTION("""COMPUTED_VALUE"""),46167.64583333333)</f>
        <v>46167.64583</v>
      </c>
      <c r="C26" s="193">
        <f>IFERROR(__xludf.DUMMYFUNCTION("""COMPUTED_VALUE"""),458.0)</f>
        <v>458</v>
      </c>
      <c r="D26" s="9"/>
      <c r="E26" s="217">
        <f>IFERROR(__xludf.DUMMYFUNCTION("""COMPUTED_VALUE"""),46167.64583333333)</f>
        <v>46167.64583</v>
      </c>
      <c r="F26" s="193">
        <f>IFERROR(__xludf.DUMMYFUNCTION("""COMPUTED_VALUE"""),168.67)</f>
        <v>168.67</v>
      </c>
      <c r="G26" s="9"/>
      <c r="H26" s="199">
        <f t="shared" si="3"/>
        <v>2.715361356</v>
      </c>
      <c r="I26" s="193">
        <f t="shared" si="4"/>
        <v>289.33</v>
      </c>
      <c r="J26" s="213">
        <f t="shared" si="5"/>
        <v>1.057604448</v>
      </c>
      <c r="K26" s="199">
        <f t="shared" si="6"/>
        <v>2.715361356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217">
        <f>IFERROR(__xludf.DUMMYFUNCTION("""COMPUTED_VALUE"""),46168.64583333333)</f>
        <v>46168.64583</v>
      </c>
      <c r="C27" s="193">
        <f>IFERROR(__xludf.DUMMYFUNCTION("""COMPUTED_VALUE"""),458.15)</f>
        <v>458.15</v>
      </c>
      <c r="D27" s="9"/>
      <c r="E27" s="217">
        <f>IFERROR(__xludf.DUMMYFUNCTION("""COMPUTED_VALUE"""),46168.64583333333)</f>
        <v>46168.64583</v>
      </c>
      <c r="F27" s="193">
        <f>IFERROR(__xludf.DUMMYFUNCTION("""COMPUTED_VALUE"""),167.63)</f>
        <v>167.63</v>
      </c>
      <c r="G27" s="9"/>
      <c r="H27" s="199">
        <f t="shared" si="3"/>
        <v>2.733102667</v>
      </c>
      <c r="I27" s="193">
        <f t="shared" si="4"/>
        <v>290.52</v>
      </c>
      <c r="J27" s="213">
        <f t="shared" si="5"/>
        <v>1.104580012</v>
      </c>
      <c r="K27" s="199">
        <f t="shared" si="6"/>
        <v>2.733102667</v>
      </c>
      <c r="L27" s="9"/>
      <c r="M27" s="9"/>
      <c r="N27" s="9"/>
      <c r="O27" s="9"/>
      <c r="P27" s="9"/>
      <c r="Q27" s="9"/>
      <c r="R27" s="212" t="s">
        <v>112</v>
      </c>
      <c r="S27" s="229">
        <f>AVERAGE(K88:K118)</f>
        <v>2.412597787</v>
      </c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217">
        <f>IFERROR(__xludf.DUMMYFUNCTION("""COMPUTED_VALUE"""),46169.64583333333)</f>
        <v>46169.64583</v>
      </c>
      <c r="C28" s="193">
        <f>IFERROR(__xludf.DUMMYFUNCTION("""COMPUTED_VALUE"""),463.05)</f>
        <v>463.05</v>
      </c>
      <c r="D28" s="9"/>
      <c r="E28" s="217">
        <f>IFERROR(__xludf.DUMMYFUNCTION("""COMPUTED_VALUE"""),46169.64583333333)</f>
        <v>46169.64583</v>
      </c>
      <c r="F28" s="193">
        <f>IFERROR(__xludf.DUMMYFUNCTION("""COMPUTED_VALUE"""),169.0)</f>
        <v>169</v>
      </c>
      <c r="G28" s="9"/>
      <c r="H28" s="199">
        <f t="shared" si="3"/>
        <v>2.739940828</v>
      </c>
      <c r="I28" s="193">
        <f t="shared" si="4"/>
        <v>294.05</v>
      </c>
      <c r="J28" s="213">
        <f t="shared" si="5"/>
        <v>1.243927692</v>
      </c>
      <c r="K28" s="199">
        <f t="shared" si="6"/>
        <v>2.739940828</v>
      </c>
      <c r="L28" s="9"/>
      <c r="M28" s="9"/>
      <c r="N28" s="9"/>
      <c r="O28" s="9"/>
      <c r="P28" s="9"/>
      <c r="Q28" s="9"/>
      <c r="R28" s="212" t="s">
        <v>113</v>
      </c>
      <c r="S28" s="229">
        <f>MAX(K88:K118)</f>
        <v>2.509850746</v>
      </c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217">
        <f>IFERROR(__xludf.DUMMYFUNCTION("""COMPUTED_VALUE"""),46171.64583333333)</f>
        <v>46171.64583</v>
      </c>
      <c r="C29" s="193">
        <f>IFERROR(__xludf.DUMMYFUNCTION("""COMPUTED_VALUE"""),457.9)</f>
        <v>457.9</v>
      </c>
      <c r="D29" s="9"/>
      <c r="E29" s="217">
        <f>IFERROR(__xludf.DUMMYFUNCTION("""COMPUTED_VALUE"""),46171.64583333333)</f>
        <v>46171.64583</v>
      </c>
      <c r="F29" s="193">
        <f>IFERROR(__xludf.DUMMYFUNCTION("""COMPUTED_VALUE"""),164.51)</f>
        <v>164.51</v>
      </c>
      <c r="G29" s="9"/>
      <c r="H29" s="199">
        <f t="shared" si="3"/>
        <v>2.783417421</v>
      </c>
      <c r="I29" s="193">
        <f t="shared" si="4"/>
        <v>293.39</v>
      </c>
      <c r="J29" s="213">
        <f t="shared" si="5"/>
        <v>1.217874018</v>
      </c>
      <c r="K29" s="199">
        <f t="shared" si="6"/>
        <v>2.783417421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217">
        <f>IFERROR(__xludf.DUMMYFUNCTION("""COMPUTED_VALUE"""),46174.64583333333)</f>
        <v>46174.64583</v>
      </c>
      <c r="C30" s="193">
        <f>IFERROR(__xludf.DUMMYFUNCTION("""COMPUTED_VALUE"""),472.6)</f>
        <v>472.6</v>
      </c>
      <c r="D30" s="9"/>
      <c r="E30" s="217">
        <f>IFERROR(__xludf.DUMMYFUNCTION("""COMPUTED_VALUE"""),46174.64583333333)</f>
        <v>46174.64583</v>
      </c>
      <c r="F30" s="193">
        <f>IFERROR(__xludf.DUMMYFUNCTION("""COMPUTED_VALUE"""),163.74)</f>
        <v>163.74</v>
      </c>
      <c r="G30" s="9"/>
      <c r="H30" s="199">
        <f t="shared" si="3"/>
        <v>2.886283132</v>
      </c>
      <c r="I30" s="193">
        <f t="shared" si="4"/>
        <v>308.86</v>
      </c>
      <c r="J30" s="213">
        <f t="shared" si="5"/>
        <v>1.828556346</v>
      </c>
      <c r="K30" s="199">
        <f t="shared" si="6"/>
        <v>2.886283132</v>
      </c>
      <c r="L30" s="193">
        <f t="shared" ref="L30:L118" si="7">AVERAGE(C11:C30)</f>
        <v>462.8</v>
      </c>
      <c r="M30" s="210">
        <f t="shared" ref="M30:M118" si="8">(C30-L30)/C30</f>
        <v>0.02073635209</v>
      </c>
      <c r="N30" s="213">
        <f t="shared" ref="N30:N118" si="9">AVERAGE(F11:F30)</f>
        <v>163.036</v>
      </c>
      <c r="O30" s="210">
        <f t="shared" ref="O30:O118" si="10">(F30-N30)/F30</f>
        <v>0.004299499206</v>
      </c>
      <c r="P30" s="210">
        <f t="shared" ref="P30:P118" si="11">M30-O30</f>
        <v>0.01643685289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217">
        <f>IFERROR(__xludf.DUMMYFUNCTION("""COMPUTED_VALUE"""),46175.64583333333)</f>
        <v>46175.64583</v>
      </c>
      <c r="C31" s="193">
        <f>IFERROR(__xludf.DUMMYFUNCTION("""COMPUTED_VALUE"""),472.15)</f>
        <v>472.15</v>
      </c>
      <c r="D31" s="9"/>
      <c r="E31" s="217">
        <f>IFERROR(__xludf.DUMMYFUNCTION("""COMPUTED_VALUE"""),46175.64583333333)</f>
        <v>46175.64583</v>
      </c>
      <c r="F31" s="193">
        <f>IFERROR(__xludf.DUMMYFUNCTION("""COMPUTED_VALUE"""),164.83)</f>
        <v>164.83</v>
      </c>
      <c r="G31" s="9"/>
      <c r="H31" s="199">
        <f t="shared" si="3"/>
        <v>2.86446642</v>
      </c>
      <c r="I31" s="193">
        <f t="shared" si="4"/>
        <v>307.32</v>
      </c>
      <c r="J31" s="213">
        <f t="shared" si="5"/>
        <v>1.76776444</v>
      </c>
      <c r="K31" s="199">
        <f t="shared" si="6"/>
        <v>2.86446642</v>
      </c>
      <c r="L31" s="213">
        <f t="shared" si="7"/>
        <v>462.41</v>
      </c>
      <c r="M31" s="210">
        <f t="shared" si="8"/>
        <v>0.02062903738</v>
      </c>
      <c r="N31" s="213">
        <f t="shared" si="9"/>
        <v>163.0535</v>
      </c>
      <c r="O31" s="210">
        <f t="shared" si="10"/>
        <v>0.01077777104</v>
      </c>
      <c r="P31" s="210">
        <f t="shared" si="11"/>
        <v>0.009851266345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217">
        <f>IFERROR(__xludf.DUMMYFUNCTION("""COMPUTED_VALUE"""),46176.64583333333)</f>
        <v>46176.64583</v>
      </c>
      <c r="C32" s="193">
        <f>IFERROR(__xludf.DUMMYFUNCTION("""COMPUTED_VALUE"""),472.3)</f>
        <v>472.3</v>
      </c>
      <c r="D32" s="9"/>
      <c r="E32" s="217">
        <f>IFERROR(__xludf.DUMMYFUNCTION("""COMPUTED_VALUE"""),46176.64583333333)</f>
        <v>46176.64583</v>
      </c>
      <c r="F32" s="193">
        <f>IFERROR(__xludf.DUMMYFUNCTION("""COMPUTED_VALUE"""),163.86)</f>
        <v>163.86</v>
      </c>
      <c r="G32" s="9"/>
      <c r="H32" s="199">
        <f t="shared" si="3"/>
        <v>2.882338582</v>
      </c>
      <c r="I32" s="193">
        <f t="shared" si="4"/>
        <v>308.44</v>
      </c>
      <c r="J32" s="213">
        <f t="shared" si="5"/>
        <v>1.811976735</v>
      </c>
      <c r="K32" s="199">
        <f t="shared" si="6"/>
        <v>2.882338582</v>
      </c>
      <c r="L32" s="213">
        <f t="shared" si="7"/>
        <v>462.395</v>
      </c>
      <c r="M32" s="210">
        <f t="shared" si="8"/>
        <v>0.02097183993</v>
      </c>
      <c r="N32" s="213">
        <f t="shared" si="9"/>
        <v>163.0615</v>
      </c>
      <c r="O32" s="210">
        <f t="shared" si="10"/>
        <v>0.00487306237</v>
      </c>
      <c r="P32" s="210">
        <f t="shared" si="11"/>
        <v>0.01609877756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217">
        <f>IFERROR(__xludf.DUMMYFUNCTION("""COMPUTED_VALUE"""),46177.64583333333)</f>
        <v>46177.64583</v>
      </c>
      <c r="C33" s="193">
        <f>IFERROR(__xludf.DUMMYFUNCTION("""COMPUTED_VALUE"""),481.65)</f>
        <v>481.65</v>
      </c>
      <c r="D33" s="9"/>
      <c r="E33" s="217">
        <f>IFERROR(__xludf.DUMMYFUNCTION("""COMPUTED_VALUE"""),46177.64583333333)</f>
        <v>46177.64583</v>
      </c>
      <c r="F33" s="193">
        <f>IFERROR(__xludf.DUMMYFUNCTION("""COMPUTED_VALUE"""),167.55)</f>
        <v>167.55</v>
      </c>
      <c r="G33" s="9"/>
      <c r="H33" s="199">
        <f t="shared" si="3"/>
        <v>2.874664279</v>
      </c>
      <c r="I33" s="193">
        <f t="shared" si="4"/>
        <v>314.1</v>
      </c>
      <c r="J33" s="213">
        <f t="shared" si="5"/>
        <v>2.035406727</v>
      </c>
      <c r="K33" s="199">
        <f t="shared" si="6"/>
        <v>2.874664279</v>
      </c>
      <c r="L33" s="213">
        <f t="shared" si="7"/>
        <v>462.9675</v>
      </c>
      <c r="M33" s="210">
        <f t="shared" si="8"/>
        <v>0.0387885394</v>
      </c>
      <c r="N33" s="213">
        <f t="shared" si="9"/>
        <v>163.155</v>
      </c>
      <c r="O33" s="210">
        <f t="shared" si="10"/>
        <v>0.02623097583</v>
      </c>
      <c r="P33" s="210">
        <f t="shared" si="11"/>
        <v>0.01255756357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217">
        <f>IFERROR(__xludf.DUMMYFUNCTION("""COMPUTED_VALUE"""),46178.64583333333)</f>
        <v>46178.64583</v>
      </c>
      <c r="C34" s="193">
        <f>IFERROR(__xludf.DUMMYFUNCTION("""COMPUTED_VALUE"""),472.3)</f>
        <v>472.3</v>
      </c>
      <c r="D34" s="9"/>
      <c r="E34" s="217">
        <f>IFERROR(__xludf.DUMMYFUNCTION("""COMPUTED_VALUE"""),46178.64583333333)</f>
        <v>46178.64583</v>
      </c>
      <c r="F34" s="193">
        <f>IFERROR(__xludf.DUMMYFUNCTION("""COMPUTED_VALUE"""),167.4)</f>
        <v>167.4</v>
      </c>
      <c r="G34" s="9"/>
      <c r="H34" s="199">
        <f t="shared" si="3"/>
        <v>2.821385902</v>
      </c>
      <c r="I34" s="193">
        <f t="shared" si="4"/>
        <v>304.9</v>
      </c>
      <c r="J34" s="213">
        <f t="shared" si="5"/>
        <v>1.672234302</v>
      </c>
      <c r="K34" s="199">
        <f t="shared" si="6"/>
        <v>2.821385902</v>
      </c>
      <c r="L34" s="213">
        <f t="shared" si="7"/>
        <v>463.25</v>
      </c>
      <c r="M34" s="210">
        <f t="shared" si="8"/>
        <v>0.01916154986</v>
      </c>
      <c r="N34" s="213">
        <f t="shared" si="9"/>
        <v>163.162</v>
      </c>
      <c r="O34" s="210">
        <f t="shared" si="10"/>
        <v>0.02531660693</v>
      </c>
      <c r="P34" s="210">
        <f t="shared" si="11"/>
        <v>-0.006155057067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217">
        <f>IFERROR(__xludf.DUMMYFUNCTION("""COMPUTED_VALUE"""),46181.64583333333)</f>
        <v>46181.64583</v>
      </c>
      <c r="C35" s="193">
        <f>IFERROR(__xludf.DUMMYFUNCTION("""COMPUTED_VALUE"""),464.9)</f>
        <v>464.9</v>
      </c>
      <c r="D35" s="9"/>
      <c r="E35" s="217">
        <f>IFERROR(__xludf.DUMMYFUNCTION("""COMPUTED_VALUE"""),46181.64583333333)</f>
        <v>46181.64583</v>
      </c>
      <c r="F35" s="193">
        <f>IFERROR(__xludf.DUMMYFUNCTION("""COMPUTED_VALUE"""),168.6)</f>
        <v>168.6</v>
      </c>
      <c r="G35" s="9"/>
      <c r="H35" s="199">
        <f t="shared" si="3"/>
        <v>2.757413998</v>
      </c>
      <c r="I35" s="193">
        <f t="shared" si="4"/>
        <v>296.3</v>
      </c>
      <c r="J35" s="213">
        <f t="shared" si="5"/>
        <v>1.332747035</v>
      </c>
      <c r="K35" s="199">
        <f t="shared" si="6"/>
        <v>2.757413998</v>
      </c>
      <c r="L35" s="213">
        <f t="shared" si="7"/>
        <v>463.675</v>
      </c>
      <c r="M35" s="210">
        <f t="shared" si="8"/>
        <v>0.002634975263</v>
      </c>
      <c r="N35" s="213">
        <f t="shared" si="9"/>
        <v>163.2675</v>
      </c>
      <c r="O35" s="210">
        <f t="shared" si="10"/>
        <v>0.03162811388</v>
      </c>
      <c r="P35" s="210">
        <f t="shared" si="11"/>
        <v>-0.02899313862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217">
        <f>IFERROR(__xludf.DUMMYFUNCTION("""COMPUTED_VALUE"""),46182.64583333333)</f>
        <v>46182.64583</v>
      </c>
      <c r="C36" s="193">
        <f>IFERROR(__xludf.DUMMYFUNCTION("""COMPUTED_VALUE"""),466.9)</f>
        <v>466.9</v>
      </c>
      <c r="D36" s="9"/>
      <c r="E36" s="217">
        <f>IFERROR(__xludf.DUMMYFUNCTION("""COMPUTED_VALUE"""),46182.64583333333)</f>
        <v>46182.64583</v>
      </c>
      <c r="F36" s="193">
        <f>IFERROR(__xludf.DUMMYFUNCTION("""COMPUTED_VALUE"""),167.59)</f>
        <v>167.59</v>
      </c>
      <c r="G36" s="9"/>
      <c r="H36" s="199">
        <f t="shared" si="3"/>
        <v>2.78596575</v>
      </c>
      <c r="I36" s="193">
        <f t="shared" si="4"/>
        <v>299.31</v>
      </c>
      <c r="J36" s="213">
        <f t="shared" si="5"/>
        <v>1.451567579</v>
      </c>
      <c r="K36" s="199">
        <f t="shared" si="6"/>
        <v>2.78596575</v>
      </c>
      <c r="L36" s="213">
        <f t="shared" si="7"/>
        <v>463.7975</v>
      </c>
      <c r="M36" s="210">
        <f t="shared" si="8"/>
        <v>0.00664489184</v>
      </c>
      <c r="N36" s="213">
        <f t="shared" si="9"/>
        <v>163.5215</v>
      </c>
      <c r="O36" s="210">
        <f t="shared" si="10"/>
        <v>0.02427650814</v>
      </c>
      <c r="P36" s="210">
        <f t="shared" si="11"/>
        <v>-0.01763161631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217">
        <f>IFERROR(__xludf.DUMMYFUNCTION("""COMPUTED_VALUE"""),46183.64583333333)</f>
        <v>46183.64583</v>
      </c>
      <c r="C37" s="193">
        <f>IFERROR(__xludf.DUMMYFUNCTION("""COMPUTED_VALUE"""),451.0)</f>
        <v>451</v>
      </c>
      <c r="D37" s="9"/>
      <c r="E37" s="217">
        <f>IFERROR(__xludf.DUMMYFUNCTION("""COMPUTED_VALUE"""),46183.64583333333)</f>
        <v>46183.64583</v>
      </c>
      <c r="F37" s="193">
        <f>IFERROR(__xludf.DUMMYFUNCTION("""COMPUTED_VALUE"""),168.01)</f>
        <v>168.01</v>
      </c>
      <c r="G37" s="9"/>
      <c r="H37" s="199">
        <f t="shared" si="3"/>
        <v>2.684364026</v>
      </c>
      <c r="I37" s="193">
        <f t="shared" si="4"/>
        <v>282.99</v>
      </c>
      <c r="J37" s="213">
        <f t="shared" si="5"/>
        <v>0.8073312771</v>
      </c>
      <c r="K37" s="199">
        <f t="shared" si="6"/>
        <v>2.684364026</v>
      </c>
      <c r="L37" s="213">
        <f t="shared" si="7"/>
        <v>463.195</v>
      </c>
      <c r="M37" s="210">
        <f t="shared" si="8"/>
        <v>-0.02703991131</v>
      </c>
      <c r="N37" s="213">
        <f t="shared" si="9"/>
        <v>163.9045</v>
      </c>
      <c r="O37" s="210">
        <f t="shared" si="10"/>
        <v>0.02443604547</v>
      </c>
      <c r="P37" s="210">
        <f t="shared" si="11"/>
        <v>-0.05147595678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217">
        <f>IFERROR(__xludf.DUMMYFUNCTION("""COMPUTED_VALUE"""),46184.64583333333)</f>
        <v>46184.64583</v>
      </c>
      <c r="C38" s="193">
        <f>IFERROR(__xludf.DUMMYFUNCTION("""COMPUTED_VALUE"""),446.2)</f>
        <v>446.2</v>
      </c>
      <c r="D38" s="9"/>
      <c r="E38" s="217">
        <f>IFERROR(__xludf.DUMMYFUNCTION("""COMPUTED_VALUE"""),46184.64583333333)</f>
        <v>46184.64583</v>
      </c>
      <c r="F38" s="193">
        <f>IFERROR(__xludf.DUMMYFUNCTION("""COMPUTED_VALUE"""),166.09)</f>
        <v>166.09</v>
      </c>
      <c r="G38" s="9"/>
      <c r="H38" s="199">
        <f t="shared" si="3"/>
        <v>2.686495274</v>
      </c>
      <c r="I38" s="193">
        <f t="shared" si="4"/>
        <v>280.11</v>
      </c>
      <c r="J38" s="213">
        <f t="shared" si="5"/>
        <v>0.693642518</v>
      </c>
      <c r="K38" s="199">
        <f t="shared" si="6"/>
        <v>2.686495274</v>
      </c>
      <c r="L38" s="213">
        <f t="shared" si="7"/>
        <v>462.3925</v>
      </c>
      <c r="M38" s="210">
        <f t="shared" si="8"/>
        <v>-0.03628978037</v>
      </c>
      <c r="N38" s="213">
        <f t="shared" si="9"/>
        <v>164.0435</v>
      </c>
      <c r="O38" s="210">
        <f t="shared" si="10"/>
        <v>0.01232163285</v>
      </c>
      <c r="P38" s="210">
        <f t="shared" si="11"/>
        <v>-0.04861141322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217">
        <f>IFERROR(__xludf.DUMMYFUNCTION("""COMPUTED_VALUE"""),46185.64583333333)</f>
        <v>46185.64583</v>
      </c>
      <c r="C39" s="193">
        <f>IFERROR(__xludf.DUMMYFUNCTION("""COMPUTED_VALUE"""),443.5)</f>
        <v>443.5</v>
      </c>
      <c r="D39" s="9"/>
      <c r="E39" s="217">
        <f>IFERROR(__xludf.DUMMYFUNCTION("""COMPUTED_VALUE"""),46185.64583333333)</f>
        <v>46185.64583</v>
      </c>
      <c r="F39" s="193">
        <f>IFERROR(__xludf.DUMMYFUNCTION("""COMPUTED_VALUE"""),170.5)</f>
        <v>170.5</v>
      </c>
      <c r="G39" s="9"/>
      <c r="H39" s="199">
        <f t="shared" si="3"/>
        <v>2.601173021</v>
      </c>
      <c r="I39" s="193">
        <f t="shared" si="4"/>
        <v>273</v>
      </c>
      <c r="J39" s="213">
        <f t="shared" si="5"/>
        <v>0.412973394</v>
      </c>
      <c r="K39" s="199">
        <f t="shared" si="6"/>
        <v>2.601173021</v>
      </c>
      <c r="L39" s="213">
        <f t="shared" si="7"/>
        <v>461.865</v>
      </c>
      <c r="M39" s="210">
        <f t="shared" si="8"/>
        <v>-0.04140924464</v>
      </c>
      <c r="N39" s="213">
        <f t="shared" si="9"/>
        <v>164.438</v>
      </c>
      <c r="O39" s="210">
        <f t="shared" si="10"/>
        <v>0.0355542522</v>
      </c>
      <c r="P39" s="210">
        <f t="shared" si="11"/>
        <v>-0.07696349684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217">
        <f>IFERROR(__xludf.DUMMYFUNCTION("""COMPUTED_VALUE"""),46188.64583333333)</f>
        <v>46188.64583</v>
      </c>
      <c r="C40" s="193">
        <f>IFERROR(__xludf.DUMMYFUNCTION("""COMPUTED_VALUE"""),444.05)</f>
        <v>444.05</v>
      </c>
      <c r="D40" s="9"/>
      <c r="E40" s="217">
        <f>IFERROR(__xludf.DUMMYFUNCTION("""COMPUTED_VALUE"""),46188.64583333333)</f>
        <v>46188.64583</v>
      </c>
      <c r="F40" s="193">
        <f>IFERROR(__xludf.DUMMYFUNCTION("""COMPUTED_VALUE"""),175.41)</f>
        <v>175.41</v>
      </c>
      <c r="G40" s="9"/>
      <c r="H40" s="199">
        <f t="shared" si="3"/>
        <v>2.531497634</v>
      </c>
      <c r="I40" s="193">
        <f t="shared" si="4"/>
        <v>268.64</v>
      </c>
      <c r="J40" s="213">
        <f t="shared" si="5"/>
        <v>0.2408612448</v>
      </c>
      <c r="K40" s="199">
        <f t="shared" si="6"/>
        <v>2.531497634</v>
      </c>
      <c r="L40" s="213">
        <f t="shared" si="7"/>
        <v>460.9575</v>
      </c>
      <c r="M40" s="210">
        <f t="shared" si="8"/>
        <v>-0.03807566715</v>
      </c>
      <c r="N40" s="213">
        <f t="shared" si="9"/>
        <v>165.102</v>
      </c>
      <c r="O40" s="210">
        <f t="shared" si="10"/>
        <v>0.05876517872</v>
      </c>
      <c r="P40" s="210">
        <f t="shared" si="11"/>
        <v>-0.09684084588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217">
        <f>IFERROR(__xludf.DUMMYFUNCTION("""COMPUTED_VALUE"""),46189.64583333333)</f>
        <v>46189.64583</v>
      </c>
      <c r="C41" s="193">
        <f>IFERROR(__xludf.DUMMYFUNCTION("""COMPUTED_VALUE"""),450.95)</f>
        <v>450.95</v>
      </c>
      <c r="D41" s="9"/>
      <c r="E41" s="217">
        <f>IFERROR(__xludf.DUMMYFUNCTION("""COMPUTED_VALUE"""),46189.64583333333)</f>
        <v>46189.64583</v>
      </c>
      <c r="F41" s="193">
        <f>IFERROR(__xludf.DUMMYFUNCTION("""COMPUTED_VALUE"""),176.09)</f>
        <v>176.09</v>
      </c>
      <c r="G41" s="9"/>
      <c r="H41" s="199">
        <f t="shared" si="3"/>
        <v>2.560906355</v>
      </c>
      <c r="I41" s="193">
        <f t="shared" si="4"/>
        <v>274.86</v>
      </c>
      <c r="J41" s="213">
        <f t="shared" si="5"/>
        <v>0.4863973842</v>
      </c>
      <c r="K41" s="199">
        <f t="shared" si="6"/>
        <v>2.560906355</v>
      </c>
      <c r="L41" s="213">
        <f t="shared" si="7"/>
        <v>460.4</v>
      </c>
      <c r="M41" s="210">
        <f t="shared" si="8"/>
        <v>-0.02095576006</v>
      </c>
      <c r="N41" s="213">
        <f t="shared" si="9"/>
        <v>165.8955</v>
      </c>
      <c r="O41" s="210">
        <f t="shared" si="10"/>
        <v>0.05789369073</v>
      </c>
      <c r="P41" s="210">
        <f t="shared" si="11"/>
        <v>-0.07884945079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217">
        <f>IFERROR(__xludf.DUMMYFUNCTION("""COMPUTED_VALUE"""),46190.64583333333)</f>
        <v>46190.64583</v>
      </c>
      <c r="C42" s="193">
        <f>IFERROR(__xludf.DUMMYFUNCTION("""COMPUTED_VALUE"""),455.75)</f>
        <v>455.75</v>
      </c>
      <c r="D42" s="9"/>
      <c r="E42" s="217">
        <f>IFERROR(__xludf.DUMMYFUNCTION("""COMPUTED_VALUE"""),46190.64583333333)</f>
        <v>46190.64583</v>
      </c>
      <c r="F42" s="193">
        <f>IFERROR(__xludf.DUMMYFUNCTION("""COMPUTED_VALUE"""),175.03)</f>
        <v>175.03</v>
      </c>
      <c r="G42" s="9"/>
      <c r="H42" s="199">
        <f t="shared" si="3"/>
        <v>2.603839342</v>
      </c>
      <c r="I42" s="193">
        <f t="shared" si="4"/>
        <v>280.72</v>
      </c>
      <c r="J42" s="213">
        <f t="shared" si="5"/>
        <v>0.7177224288</v>
      </c>
      <c r="K42" s="199">
        <f t="shared" si="6"/>
        <v>2.603839342</v>
      </c>
      <c r="L42" s="213">
        <f t="shared" si="7"/>
        <v>460.34</v>
      </c>
      <c r="M42" s="210">
        <f t="shared" si="8"/>
        <v>-0.01007131103</v>
      </c>
      <c r="N42" s="213">
        <f t="shared" si="9"/>
        <v>166.841</v>
      </c>
      <c r="O42" s="210">
        <f t="shared" si="10"/>
        <v>0.04678626521</v>
      </c>
      <c r="P42" s="210">
        <f t="shared" si="11"/>
        <v>-0.05685757624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217">
        <f>IFERROR(__xludf.DUMMYFUNCTION("""COMPUTED_VALUE"""),46191.64583333333)</f>
        <v>46191.64583</v>
      </c>
      <c r="C43" s="193">
        <f>IFERROR(__xludf.DUMMYFUNCTION("""COMPUTED_VALUE"""),452.0)</f>
        <v>452</v>
      </c>
      <c r="D43" s="9"/>
      <c r="E43" s="217">
        <f>IFERROR(__xludf.DUMMYFUNCTION("""COMPUTED_VALUE"""),46191.64583333333)</f>
        <v>46191.64583</v>
      </c>
      <c r="F43" s="193">
        <f>IFERROR(__xludf.DUMMYFUNCTION("""COMPUTED_VALUE"""),176.44)</f>
        <v>176.44</v>
      </c>
      <c r="G43" s="9"/>
      <c r="H43" s="199">
        <f t="shared" si="3"/>
        <v>2.561777375</v>
      </c>
      <c r="I43" s="193">
        <f t="shared" si="4"/>
        <v>275.56</v>
      </c>
      <c r="J43" s="213">
        <f t="shared" si="5"/>
        <v>0.5140300687</v>
      </c>
      <c r="K43" s="199">
        <f t="shared" si="6"/>
        <v>2.561777375</v>
      </c>
      <c r="L43" s="213">
        <f t="shared" si="7"/>
        <v>460.005</v>
      </c>
      <c r="M43" s="210">
        <f t="shared" si="8"/>
        <v>-0.01771017699</v>
      </c>
      <c r="N43" s="213">
        <f t="shared" si="9"/>
        <v>167.881</v>
      </c>
      <c r="O43" s="210">
        <f t="shared" si="10"/>
        <v>0.0485094083</v>
      </c>
      <c r="P43" s="210">
        <f t="shared" si="11"/>
        <v>-0.06621958529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217">
        <f>IFERROR(__xludf.DUMMYFUNCTION("""COMPUTED_VALUE"""),46192.64583333333)</f>
        <v>46192.64583</v>
      </c>
      <c r="C44" s="193">
        <f>IFERROR(__xludf.DUMMYFUNCTION("""COMPUTED_VALUE"""),451.3)</f>
        <v>451.3</v>
      </c>
      <c r="D44" s="9"/>
      <c r="E44" s="217">
        <f>IFERROR(__xludf.DUMMYFUNCTION("""COMPUTED_VALUE"""),46192.64583333333)</f>
        <v>46192.64583</v>
      </c>
      <c r="F44" s="193">
        <f>IFERROR(__xludf.DUMMYFUNCTION("""COMPUTED_VALUE"""),173.9)</f>
        <v>173.9</v>
      </c>
      <c r="G44" s="9"/>
      <c r="H44" s="199">
        <f t="shared" si="3"/>
        <v>2.595169638</v>
      </c>
      <c r="I44" s="193">
        <f t="shared" si="4"/>
        <v>277.4</v>
      </c>
      <c r="J44" s="213">
        <f t="shared" si="5"/>
        <v>0.5866645537</v>
      </c>
      <c r="K44" s="199">
        <f t="shared" si="6"/>
        <v>2.595169638</v>
      </c>
      <c r="L44" s="213">
        <f t="shared" si="7"/>
        <v>459.56</v>
      </c>
      <c r="M44" s="210">
        <f t="shared" si="8"/>
        <v>-0.01830268114</v>
      </c>
      <c r="N44" s="213">
        <f t="shared" si="9"/>
        <v>168.781</v>
      </c>
      <c r="O44" s="210">
        <f t="shared" si="10"/>
        <v>0.02943645773</v>
      </c>
      <c r="P44" s="210">
        <f t="shared" si="11"/>
        <v>-0.04773913888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217">
        <f>IFERROR(__xludf.DUMMYFUNCTION("""COMPUTED_VALUE"""),46195.64583333333)</f>
        <v>46195.64583</v>
      </c>
      <c r="C45" s="193">
        <f>IFERROR(__xludf.DUMMYFUNCTION("""COMPUTED_VALUE"""),449.0)</f>
        <v>449</v>
      </c>
      <c r="D45" s="9"/>
      <c r="E45" s="217">
        <f>IFERROR(__xludf.DUMMYFUNCTION("""COMPUTED_VALUE"""),46195.64583333333)</f>
        <v>46195.64583</v>
      </c>
      <c r="F45" s="193">
        <f>IFERROR(__xludf.DUMMYFUNCTION("""COMPUTED_VALUE"""),177.3)</f>
        <v>177.3</v>
      </c>
      <c r="G45" s="9"/>
      <c r="H45" s="199">
        <f t="shared" si="3"/>
        <v>2.532430908</v>
      </c>
      <c r="I45" s="193">
        <f t="shared" si="4"/>
        <v>271.7</v>
      </c>
      <c r="J45" s="213">
        <f t="shared" si="5"/>
        <v>0.3616555513</v>
      </c>
      <c r="K45" s="199">
        <f t="shared" si="6"/>
        <v>2.532430908</v>
      </c>
      <c r="L45" s="213">
        <f t="shared" si="7"/>
        <v>459.1825</v>
      </c>
      <c r="M45" s="210">
        <f t="shared" si="8"/>
        <v>-0.02267817372</v>
      </c>
      <c r="N45" s="213">
        <f t="shared" si="9"/>
        <v>169.6075</v>
      </c>
      <c r="O45" s="210">
        <f t="shared" si="10"/>
        <v>0.04338691483</v>
      </c>
      <c r="P45" s="210">
        <f t="shared" si="11"/>
        <v>-0.06606508855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217">
        <f>IFERROR(__xludf.DUMMYFUNCTION("""COMPUTED_VALUE"""),46196.64583333333)</f>
        <v>46196.64583</v>
      </c>
      <c r="C46" s="193">
        <f>IFERROR(__xludf.DUMMYFUNCTION("""COMPUTED_VALUE"""),444.35)</f>
        <v>444.35</v>
      </c>
      <c r="D46" s="9"/>
      <c r="E46" s="217">
        <f>IFERROR(__xludf.DUMMYFUNCTION("""COMPUTED_VALUE"""),46196.64583333333)</f>
        <v>46196.64583</v>
      </c>
      <c r="F46" s="193">
        <f>IFERROR(__xludf.DUMMYFUNCTION("""COMPUTED_VALUE"""),173.84)</f>
        <v>173.84</v>
      </c>
      <c r="G46" s="9"/>
      <c r="H46" s="199">
        <f t="shared" si="3"/>
        <v>2.556086056</v>
      </c>
      <c r="I46" s="193">
        <f t="shared" si="4"/>
        <v>270.51</v>
      </c>
      <c r="J46" s="213">
        <f t="shared" si="5"/>
        <v>0.3146799877</v>
      </c>
      <c r="K46" s="199">
        <f t="shared" si="6"/>
        <v>2.556086056</v>
      </c>
      <c r="L46" s="213">
        <f t="shared" si="7"/>
        <v>458.5</v>
      </c>
      <c r="M46" s="210">
        <f t="shared" si="8"/>
        <v>-0.03184426691</v>
      </c>
      <c r="N46" s="213">
        <f t="shared" si="9"/>
        <v>169.866</v>
      </c>
      <c r="O46" s="210">
        <f t="shared" si="10"/>
        <v>0.02286010124</v>
      </c>
      <c r="P46" s="210">
        <f t="shared" si="11"/>
        <v>-0.05470436815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217">
        <f>IFERROR(__xludf.DUMMYFUNCTION("""COMPUTED_VALUE"""),46197.64583333333)</f>
        <v>46197.64583</v>
      </c>
      <c r="C47" s="193">
        <f>IFERROR(__xludf.DUMMYFUNCTION("""COMPUTED_VALUE"""),441.75)</f>
        <v>441.75</v>
      </c>
      <c r="D47" s="9"/>
      <c r="E47" s="217">
        <f>IFERROR(__xludf.DUMMYFUNCTION("""COMPUTED_VALUE"""),46197.64583333333)</f>
        <v>46197.64583</v>
      </c>
      <c r="F47" s="193">
        <f>IFERROR(__xludf.DUMMYFUNCTION("""COMPUTED_VALUE"""),174.93)</f>
        <v>174.93</v>
      </c>
      <c r="G47" s="9"/>
      <c r="H47" s="199">
        <f t="shared" si="3"/>
        <v>2.525295833</v>
      </c>
      <c r="I47" s="193">
        <f t="shared" si="4"/>
        <v>266.82</v>
      </c>
      <c r="J47" s="213">
        <f t="shared" si="5"/>
        <v>0.1690162651</v>
      </c>
      <c r="K47" s="199">
        <f t="shared" si="6"/>
        <v>2.525295833</v>
      </c>
      <c r="L47" s="213">
        <f t="shared" si="7"/>
        <v>457.68</v>
      </c>
      <c r="M47" s="210">
        <f t="shared" si="8"/>
        <v>-0.03606112054</v>
      </c>
      <c r="N47" s="213">
        <f t="shared" si="9"/>
        <v>170.231</v>
      </c>
      <c r="O47" s="210">
        <f t="shared" si="10"/>
        <v>0.02686217344</v>
      </c>
      <c r="P47" s="210">
        <f t="shared" si="11"/>
        <v>-0.06292329398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217">
        <f>IFERROR(__xludf.DUMMYFUNCTION("""COMPUTED_VALUE"""),46198.64583333333)</f>
        <v>46198.64583</v>
      </c>
      <c r="C48" s="193">
        <f>IFERROR(__xludf.DUMMYFUNCTION("""COMPUTED_VALUE"""),435.4)</f>
        <v>435.4</v>
      </c>
      <c r="D48" s="9"/>
      <c r="E48" s="217">
        <f>IFERROR(__xludf.DUMMYFUNCTION("""COMPUTED_VALUE"""),46198.64583333333)</f>
        <v>46198.64583</v>
      </c>
      <c r="F48" s="193">
        <f>IFERROR(__xludf.DUMMYFUNCTION("""COMPUTED_VALUE"""),172.85)</f>
        <v>172.85</v>
      </c>
      <c r="G48" s="9"/>
      <c r="H48" s="199">
        <f t="shared" si="3"/>
        <v>2.518947064</v>
      </c>
      <c r="I48" s="193">
        <f t="shared" si="4"/>
        <v>262.55</v>
      </c>
      <c r="J48" s="213">
        <f t="shared" si="5"/>
        <v>0.0004568896247</v>
      </c>
      <c r="K48" s="199">
        <f t="shared" si="6"/>
        <v>2.518947064</v>
      </c>
      <c r="L48" s="213">
        <f t="shared" si="7"/>
        <v>456.2975</v>
      </c>
      <c r="M48" s="210">
        <f t="shared" si="8"/>
        <v>-0.04799609554</v>
      </c>
      <c r="N48" s="213">
        <f t="shared" si="9"/>
        <v>170.4235</v>
      </c>
      <c r="O48" s="210">
        <f t="shared" si="10"/>
        <v>0.0140381834</v>
      </c>
      <c r="P48" s="210">
        <f t="shared" si="11"/>
        <v>-0.06203427894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217">
        <f>IFERROR(__xludf.DUMMYFUNCTION("""COMPUTED_VALUE"""),46202.64583333333)</f>
        <v>46202.64583</v>
      </c>
      <c r="C49" s="193">
        <f>IFERROR(__xludf.DUMMYFUNCTION("""COMPUTED_VALUE"""),444.85)</f>
        <v>444.85</v>
      </c>
      <c r="D49" s="9"/>
      <c r="E49" s="217">
        <f>IFERROR(__xludf.DUMMYFUNCTION("""COMPUTED_VALUE"""),46202.64583333333)</f>
        <v>46202.64583</v>
      </c>
      <c r="F49" s="193">
        <f>IFERROR(__xludf.DUMMYFUNCTION("""COMPUTED_VALUE"""),172.22)</f>
        <v>172.22</v>
      </c>
      <c r="G49" s="9"/>
      <c r="H49" s="199">
        <f t="shared" si="3"/>
        <v>2.583033329</v>
      </c>
      <c r="I49" s="193">
        <f t="shared" si="4"/>
        <v>272.63</v>
      </c>
      <c r="J49" s="213">
        <f t="shared" si="5"/>
        <v>0.3983675465</v>
      </c>
      <c r="K49" s="199">
        <f t="shared" si="6"/>
        <v>2.583033329</v>
      </c>
      <c r="L49" s="213">
        <f t="shared" si="7"/>
        <v>455.645</v>
      </c>
      <c r="M49" s="210">
        <f t="shared" si="8"/>
        <v>-0.02426660672</v>
      </c>
      <c r="N49" s="213">
        <f t="shared" si="9"/>
        <v>170.809</v>
      </c>
      <c r="O49" s="210">
        <f t="shared" si="10"/>
        <v>0.008193008942</v>
      </c>
      <c r="P49" s="210">
        <f t="shared" si="11"/>
        <v>-0.03245961566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217">
        <f>IFERROR(__xludf.DUMMYFUNCTION("""COMPUTED_VALUE"""),46203.64583333333)</f>
        <v>46203.64583</v>
      </c>
      <c r="C50" s="193">
        <f>IFERROR(__xludf.DUMMYFUNCTION("""COMPUTED_VALUE"""),439.05)</f>
        <v>439.05</v>
      </c>
      <c r="D50" s="9"/>
      <c r="E50" s="217">
        <f>IFERROR(__xludf.DUMMYFUNCTION("""COMPUTED_VALUE"""),46203.64583333333)</f>
        <v>46203.64583</v>
      </c>
      <c r="F50" s="193">
        <f>IFERROR(__xludf.DUMMYFUNCTION("""COMPUTED_VALUE"""),173.46)</f>
        <v>173.46</v>
      </c>
      <c r="G50" s="9"/>
      <c r="H50" s="199">
        <f t="shared" si="3"/>
        <v>2.531131097</v>
      </c>
      <c r="I50" s="193">
        <f t="shared" si="4"/>
        <v>265.59</v>
      </c>
      <c r="J50" s="213">
        <f t="shared" si="5"/>
        <v>0.1204616909</v>
      </c>
      <c r="K50" s="199">
        <f t="shared" si="6"/>
        <v>2.531131097</v>
      </c>
      <c r="L50" s="213">
        <f t="shared" si="7"/>
        <v>453.9675</v>
      </c>
      <c r="M50" s="210">
        <f t="shared" si="8"/>
        <v>-0.03397676802</v>
      </c>
      <c r="N50" s="213">
        <f t="shared" si="9"/>
        <v>171.295</v>
      </c>
      <c r="O50" s="210">
        <f t="shared" si="10"/>
        <v>0.01248126369</v>
      </c>
      <c r="P50" s="210">
        <f t="shared" si="11"/>
        <v>-0.04645803171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217">
        <f>IFERROR(__xludf.DUMMYFUNCTION("""COMPUTED_VALUE"""),46204.64583333333)</f>
        <v>46204.64583</v>
      </c>
      <c r="C51" s="193">
        <f>IFERROR(__xludf.DUMMYFUNCTION("""COMPUTED_VALUE"""),434.75)</f>
        <v>434.75</v>
      </c>
      <c r="D51" s="9"/>
      <c r="E51" s="217">
        <f>IFERROR(__xludf.DUMMYFUNCTION("""COMPUTED_VALUE"""),46204.64583333333)</f>
        <v>46204.64583</v>
      </c>
      <c r="F51" s="193">
        <f>IFERROR(__xludf.DUMMYFUNCTION("""COMPUTED_VALUE"""),174.5)</f>
        <v>174.5</v>
      </c>
      <c r="G51" s="9"/>
      <c r="H51" s="199">
        <f t="shared" si="3"/>
        <v>2.491404011</v>
      </c>
      <c r="I51" s="193">
        <f t="shared" si="4"/>
        <v>260.25</v>
      </c>
      <c r="J51" s="213">
        <f t="shared" si="5"/>
        <v>-0.0903362166</v>
      </c>
      <c r="K51" s="199">
        <f t="shared" si="6"/>
        <v>2.491404011</v>
      </c>
      <c r="L51" s="213">
        <f t="shared" si="7"/>
        <v>452.0975</v>
      </c>
      <c r="M51" s="210">
        <f t="shared" si="8"/>
        <v>-0.03990224267</v>
      </c>
      <c r="N51" s="213">
        <f t="shared" si="9"/>
        <v>171.7785</v>
      </c>
      <c r="O51" s="210">
        <f t="shared" si="10"/>
        <v>0.01559598854</v>
      </c>
      <c r="P51" s="210">
        <f t="shared" si="11"/>
        <v>-0.05549823121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217">
        <f>IFERROR(__xludf.DUMMYFUNCTION("""COMPUTED_VALUE"""),46205.64583333333)</f>
        <v>46205.64583</v>
      </c>
      <c r="C52" s="193">
        <f>IFERROR(__xludf.DUMMYFUNCTION("""COMPUTED_VALUE"""),438.9)</f>
        <v>438.9</v>
      </c>
      <c r="D52" s="9"/>
      <c r="E52" s="217">
        <f>IFERROR(__xludf.DUMMYFUNCTION("""COMPUTED_VALUE"""),46205.64583333333)</f>
        <v>46205.64583</v>
      </c>
      <c r="F52" s="193">
        <f>IFERROR(__xludf.DUMMYFUNCTION("""COMPUTED_VALUE"""),174.29)</f>
        <v>174.29</v>
      </c>
      <c r="G52" s="9"/>
      <c r="H52" s="199">
        <f t="shared" si="3"/>
        <v>2.518216765</v>
      </c>
      <c r="I52" s="193">
        <f t="shared" si="4"/>
        <v>264.61</v>
      </c>
      <c r="J52" s="213">
        <f t="shared" si="5"/>
        <v>0.08177593259</v>
      </c>
      <c r="K52" s="199">
        <f t="shared" si="6"/>
        <v>2.518216765</v>
      </c>
      <c r="L52" s="213">
        <f t="shared" si="7"/>
        <v>450.4275</v>
      </c>
      <c r="M52" s="210">
        <f t="shared" si="8"/>
        <v>-0.02626452495</v>
      </c>
      <c r="N52" s="213">
        <f t="shared" si="9"/>
        <v>172.3</v>
      </c>
      <c r="O52" s="210">
        <f t="shared" si="10"/>
        <v>0.01141775202</v>
      </c>
      <c r="P52" s="210">
        <f t="shared" si="11"/>
        <v>-0.03768227697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217">
        <f>IFERROR(__xludf.DUMMYFUNCTION("""COMPUTED_VALUE"""),46206.64583333333)</f>
        <v>46206.64583</v>
      </c>
      <c r="C53" s="193">
        <f>IFERROR(__xludf.DUMMYFUNCTION("""COMPUTED_VALUE"""),438.7)</f>
        <v>438.7</v>
      </c>
      <c r="D53" s="9"/>
      <c r="E53" s="217">
        <f>IFERROR(__xludf.DUMMYFUNCTION("""COMPUTED_VALUE"""),46206.64583333333)</f>
        <v>46206.64583</v>
      </c>
      <c r="F53" s="193">
        <f>IFERROR(__xludf.DUMMYFUNCTION("""COMPUTED_VALUE"""),174.15)</f>
        <v>174.15</v>
      </c>
      <c r="G53" s="9"/>
      <c r="H53" s="199">
        <f t="shared" si="3"/>
        <v>2.519092736</v>
      </c>
      <c r="I53" s="193">
        <f t="shared" si="4"/>
        <v>264.55</v>
      </c>
      <c r="J53" s="213">
        <f t="shared" si="5"/>
        <v>0.07940741678</v>
      </c>
      <c r="K53" s="199">
        <f t="shared" si="6"/>
        <v>2.519092736</v>
      </c>
      <c r="L53" s="213">
        <f t="shared" si="7"/>
        <v>448.28</v>
      </c>
      <c r="M53" s="210">
        <f t="shared" si="8"/>
        <v>-0.02183724641</v>
      </c>
      <c r="N53" s="213">
        <f t="shared" si="9"/>
        <v>172.63</v>
      </c>
      <c r="O53" s="210">
        <f t="shared" si="10"/>
        <v>0.008728107953</v>
      </c>
      <c r="P53" s="210">
        <f t="shared" si="11"/>
        <v>-0.03056535436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217">
        <f>IFERROR(__xludf.DUMMYFUNCTION("""COMPUTED_VALUE"""),46209.64583333333)</f>
        <v>46209.64583</v>
      </c>
      <c r="C54" s="193">
        <f>IFERROR(__xludf.DUMMYFUNCTION("""COMPUTED_VALUE"""),432.35)</f>
        <v>432.35</v>
      </c>
      <c r="D54" s="9"/>
      <c r="E54" s="217">
        <f>IFERROR(__xludf.DUMMYFUNCTION("""COMPUTED_VALUE"""),46209.64583333333)</f>
        <v>46209.64583</v>
      </c>
      <c r="F54" s="193">
        <f>IFERROR(__xludf.DUMMYFUNCTION("""COMPUTED_VALUE"""),175.03)</f>
        <v>175.03</v>
      </c>
      <c r="G54" s="9"/>
      <c r="H54" s="199">
        <f t="shared" si="3"/>
        <v>2.470147975</v>
      </c>
      <c r="I54" s="193">
        <f t="shared" si="4"/>
        <v>257.32</v>
      </c>
      <c r="J54" s="213">
        <f t="shared" si="5"/>
        <v>-0.2059987389</v>
      </c>
      <c r="K54" s="199">
        <f t="shared" si="6"/>
        <v>2.470147975</v>
      </c>
      <c r="L54" s="213">
        <f t="shared" si="7"/>
        <v>446.2825</v>
      </c>
      <c r="M54" s="210">
        <f t="shared" si="8"/>
        <v>-0.03222504915</v>
      </c>
      <c r="N54" s="213">
        <f t="shared" si="9"/>
        <v>173.0115</v>
      </c>
      <c r="O54" s="210">
        <f t="shared" si="10"/>
        <v>0.01153230875</v>
      </c>
      <c r="P54" s="210">
        <f t="shared" si="11"/>
        <v>-0.0437573579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217">
        <f>IFERROR(__xludf.DUMMYFUNCTION("""COMPUTED_VALUE"""),46210.64583333333)</f>
        <v>46210.64583</v>
      </c>
      <c r="C55" s="193">
        <f>IFERROR(__xludf.DUMMYFUNCTION("""COMPUTED_VALUE"""),428.95)</f>
        <v>428.95</v>
      </c>
      <c r="D55" s="9"/>
      <c r="E55" s="217">
        <f>IFERROR(__xludf.DUMMYFUNCTION("""COMPUTED_VALUE"""),46210.64583333333)</f>
        <v>46210.64583</v>
      </c>
      <c r="F55" s="193">
        <f>IFERROR(__xludf.DUMMYFUNCTION("""COMPUTED_VALUE"""),174.01)</f>
        <v>174.01</v>
      </c>
      <c r="G55" s="9"/>
      <c r="H55" s="199">
        <f t="shared" si="3"/>
        <v>2.465088213</v>
      </c>
      <c r="I55" s="193">
        <f t="shared" si="4"/>
        <v>254.94</v>
      </c>
      <c r="J55" s="213">
        <f t="shared" si="5"/>
        <v>-0.2999498662</v>
      </c>
      <c r="K55" s="199">
        <f t="shared" si="6"/>
        <v>2.465088213</v>
      </c>
      <c r="L55" s="213">
        <f t="shared" si="7"/>
        <v>444.485</v>
      </c>
      <c r="M55" s="210">
        <f t="shared" si="8"/>
        <v>-0.03621634223</v>
      </c>
      <c r="N55" s="213">
        <f t="shared" si="9"/>
        <v>173.282</v>
      </c>
      <c r="O55" s="210">
        <f t="shared" si="10"/>
        <v>0.004183667605</v>
      </c>
      <c r="P55" s="210">
        <f t="shared" si="11"/>
        <v>-0.04040000984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217">
        <f>IFERROR(__xludf.DUMMYFUNCTION("""COMPUTED_VALUE"""),46211.64583333333)</f>
        <v>46211.64583</v>
      </c>
      <c r="C56" s="193">
        <f>IFERROR(__xludf.DUMMYFUNCTION("""COMPUTED_VALUE"""),429.05)</f>
        <v>429.05</v>
      </c>
      <c r="D56" s="9"/>
      <c r="E56" s="217">
        <f>IFERROR(__xludf.DUMMYFUNCTION("""COMPUTED_VALUE"""),46211.64583333333)</f>
        <v>46211.64583</v>
      </c>
      <c r="F56" s="193">
        <f>IFERROR(__xludf.DUMMYFUNCTION("""COMPUTED_VALUE"""),169.24)</f>
        <v>169.24</v>
      </c>
      <c r="G56" s="9"/>
      <c r="H56" s="199">
        <f t="shared" si="3"/>
        <v>2.535157173</v>
      </c>
      <c r="I56" s="193">
        <f t="shared" si="4"/>
        <v>259.81</v>
      </c>
      <c r="J56" s="213">
        <f t="shared" si="5"/>
        <v>-0.1077053326</v>
      </c>
      <c r="K56" s="199">
        <f t="shared" si="6"/>
        <v>2.535157173</v>
      </c>
      <c r="L56" s="213">
        <f t="shared" si="7"/>
        <v>442.5925</v>
      </c>
      <c r="M56" s="210">
        <f t="shared" si="8"/>
        <v>-0.03156392029</v>
      </c>
      <c r="N56" s="213">
        <f t="shared" si="9"/>
        <v>173.3645</v>
      </c>
      <c r="O56" s="210">
        <f t="shared" si="10"/>
        <v>-0.02437071614</v>
      </c>
      <c r="P56" s="210">
        <f t="shared" si="11"/>
        <v>-0.007193204146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217">
        <f>IFERROR(__xludf.DUMMYFUNCTION("""COMPUTED_VALUE"""),46212.64583333333)</f>
        <v>46212.64583</v>
      </c>
      <c r="C57" s="193">
        <f>IFERROR(__xludf.DUMMYFUNCTION("""COMPUTED_VALUE"""),429.9)</f>
        <v>429.9</v>
      </c>
      <c r="D57" s="9"/>
      <c r="E57" s="217">
        <f>IFERROR(__xludf.DUMMYFUNCTION("""COMPUTED_VALUE"""),46212.64583333333)</f>
        <v>46212.64583</v>
      </c>
      <c r="F57" s="193">
        <f>IFERROR(__xludf.DUMMYFUNCTION("""COMPUTED_VALUE"""),170.2)</f>
        <v>170.2</v>
      </c>
      <c r="G57" s="9"/>
      <c r="H57" s="199">
        <f t="shared" si="3"/>
        <v>2.525851939</v>
      </c>
      <c r="I57" s="193">
        <f t="shared" si="4"/>
        <v>259.7</v>
      </c>
      <c r="J57" s="213">
        <f t="shared" si="5"/>
        <v>-0.1120476116</v>
      </c>
      <c r="K57" s="199">
        <f t="shared" si="6"/>
        <v>2.525851939</v>
      </c>
      <c r="L57" s="213">
        <f t="shared" si="7"/>
        <v>441.5375</v>
      </c>
      <c r="M57" s="210">
        <f t="shared" si="8"/>
        <v>-0.0270702489</v>
      </c>
      <c r="N57" s="213">
        <f t="shared" si="9"/>
        <v>173.474</v>
      </c>
      <c r="O57" s="210">
        <f t="shared" si="10"/>
        <v>-0.01923619271</v>
      </c>
      <c r="P57" s="210">
        <f t="shared" si="11"/>
        <v>-0.007834056181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217">
        <f>IFERROR(__xludf.DUMMYFUNCTION("""COMPUTED_VALUE"""),46213.64583333333)</f>
        <v>46213.64583</v>
      </c>
      <c r="C58" s="193">
        <f>IFERROR(__xludf.DUMMYFUNCTION("""COMPUTED_VALUE"""),429.3)</f>
        <v>429.3</v>
      </c>
      <c r="D58" s="9"/>
      <c r="E58" s="217">
        <f>IFERROR(__xludf.DUMMYFUNCTION("""COMPUTED_VALUE"""),46213.64583333333)</f>
        <v>46213.64583</v>
      </c>
      <c r="F58" s="193">
        <f>IFERROR(__xludf.DUMMYFUNCTION("""COMPUTED_VALUE"""),173.73)</f>
        <v>173.73</v>
      </c>
      <c r="G58" s="9"/>
      <c r="H58" s="199">
        <f t="shared" si="3"/>
        <v>2.471075807</v>
      </c>
      <c r="I58" s="193">
        <f t="shared" si="4"/>
        <v>255.57</v>
      </c>
      <c r="J58" s="213">
        <f t="shared" si="5"/>
        <v>-0.2750804501</v>
      </c>
      <c r="K58" s="199">
        <f t="shared" si="6"/>
        <v>2.471075807</v>
      </c>
      <c r="L58" s="213">
        <f t="shared" si="7"/>
        <v>440.6925</v>
      </c>
      <c r="M58" s="210">
        <f t="shared" si="8"/>
        <v>-0.02653738644</v>
      </c>
      <c r="N58" s="213">
        <f t="shared" si="9"/>
        <v>173.856</v>
      </c>
      <c r="O58" s="210">
        <f t="shared" si="10"/>
        <v>-0.0007252633397</v>
      </c>
      <c r="P58" s="210">
        <f t="shared" si="11"/>
        <v>-0.0258121231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217">
        <f>IFERROR(__xludf.DUMMYFUNCTION("""COMPUTED_VALUE"""),46216.64583333333)</f>
        <v>46216.64583</v>
      </c>
      <c r="C59" s="193">
        <f>IFERROR(__xludf.DUMMYFUNCTION("""COMPUTED_VALUE"""),430.2)</f>
        <v>430.2</v>
      </c>
      <c r="D59" s="9"/>
      <c r="E59" s="217">
        <f>IFERROR(__xludf.DUMMYFUNCTION("""COMPUTED_VALUE"""),46216.64583333333)</f>
        <v>46216.64583</v>
      </c>
      <c r="F59" s="193">
        <f>IFERROR(__xludf.DUMMYFUNCTION("""COMPUTED_VALUE"""),173.12)</f>
        <v>173.12</v>
      </c>
      <c r="G59" s="9"/>
      <c r="H59" s="199">
        <f t="shared" si="3"/>
        <v>2.484981516</v>
      </c>
      <c r="I59" s="193">
        <f t="shared" si="4"/>
        <v>257.08</v>
      </c>
      <c r="J59" s="213">
        <f t="shared" si="5"/>
        <v>-0.2154728021</v>
      </c>
      <c r="K59" s="199">
        <f t="shared" si="6"/>
        <v>2.484981516</v>
      </c>
      <c r="L59" s="213">
        <f t="shared" si="7"/>
        <v>440.0275</v>
      </c>
      <c r="M59" s="210">
        <f t="shared" si="8"/>
        <v>-0.02284402603</v>
      </c>
      <c r="N59" s="213">
        <f t="shared" si="9"/>
        <v>173.987</v>
      </c>
      <c r="O59" s="210">
        <f t="shared" si="10"/>
        <v>-0.005008086876</v>
      </c>
      <c r="P59" s="210">
        <f t="shared" si="11"/>
        <v>-0.01783593916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217">
        <f>IFERROR(__xludf.DUMMYFUNCTION("""COMPUTED_VALUE"""),46217.64583333333)</f>
        <v>46217.64583</v>
      </c>
      <c r="C60" s="193">
        <f>IFERROR(__xludf.DUMMYFUNCTION("""COMPUTED_VALUE"""),430.6)</f>
        <v>430.6</v>
      </c>
      <c r="D60" s="9"/>
      <c r="E60" s="217">
        <f>IFERROR(__xludf.DUMMYFUNCTION("""COMPUTED_VALUE"""),46217.64583333333)</f>
        <v>46217.64583</v>
      </c>
      <c r="F60" s="193">
        <f>IFERROR(__xludf.DUMMYFUNCTION("""COMPUTED_VALUE"""),171.51)</f>
        <v>171.51</v>
      </c>
      <c r="G60" s="9"/>
      <c r="H60" s="199">
        <f t="shared" si="3"/>
        <v>2.510640779</v>
      </c>
      <c r="I60" s="193">
        <f t="shared" si="4"/>
        <v>259.09</v>
      </c>
      <c r="J60" s="213">
        <f t="shared" si="5"/>
        <v>-0.1361275223</v>
      </c>
      <c r="K60" s="199">
        <f t="shared" si="6"/>
        <v>2.510640779</v>
      </c>
      <c r="L60" s="213">
        <f t="shared" si="7"/>
        <v>439.355</v>
      </c>
      <c r="M60" s="210">
        <f t="shared" si="8"/>
        <v>-0.02033209475</v>
      </c>
      <c r="N60" s="213">
        <f t="shared" si="9"/>
        <v>173.792</v>
      </c>
      <c r="O60" s="210">
        <f t="shared" si="10"/>
        <v>-0.01330534663</v>
      </c>
      <c r="P60" s="210">
        <f t="shared" si="11"/>
        <v>-0.007026748124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217">
        <f>IFERROR(__xludf.DUMMYFUNCTION("""COMPUTED_VALUE"""),46218.64583333333)</f>
        <v>46218.64583</v>
      </c>
      <c r="C61" s="193">
        <f>IFERROR(__xludf.DUMMYFUNCTION("""COMPUTED_VALUE"""),427.55)</f>
        <v>427.55</v>
      </c>
      <c r="D61" s="9"/>
      <c r="E61" s="217">
        <f>IFERROR(__xludf.DUMMYFUNCTION("""COMPUTED_VALUE"""),46218.64583333333)</f>
        <v>46218.64583</v>
      </c>
      <c r="F61" s="193">
        <f>IFERROR(__xludf.DUMMYFUNCTION("""COMPUTED_VALUE"""),173.15)</f>
        <v>173.15</v>
      </c>
      <c r="G61" s="9"/>
      <c r="H61" s="199">
        <f t="shared" si="3"/>
        <v>2.469246318</v>
      </c>
      <c r="I61" s="193">
        <f t="shared" si="4"/>
        <v>254.4</v>
      </c>
      <c r="J61" s="213">
        <f t="shared" si="5"/>
        <v>-0.3212665085</v>
      </c>
      <c r="K61" s="199">
        <f t="shared" si="6"/>
        <v>2.469246318</v>
      </c>
      <c r="L61" s="213">
        <f t="shared" si="7"/>
        <v>438.185</v>
      </c>
      <c r="M61" s="210">
        <f t="shared" si="8"/>
        <v>-0.02487428371</v>
      </c>
      <c r="N61" s="213">
        <f t="shared" si="9"/>
        <v>173.645</v>
      </c>
      <c r="O61" s="210">
        <f t="shared" si="10"/>
        <v>-0.002858792954</v>
      </c>
      <c r="P61" s="210">
        <f t="shared" si="11"/>
        <v>-0.02201549076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217">
        <f>IFERROR(__xludf.DUMMYFUNCTION("""COMPUTED_VALUE"""),46219.64583333333)</f>
        <v>46219.64583</v>
      </c>
      <c r="C62" s="193">
        <f>IFERROR(__xludf.DUMMYFUNCTION("""COMPUTED_VALUE"""),427.35)</f>
        <v>427.35</v>
      </c>
      <c r="D62" s="9"/>
      <c r="E62" s="217">
        <f>IFERROR(__xludf.DUMMYFUNCTION("""COMPUTED_VALUE"""),46219.64583333333)</f>
        <v>46219.64583</v>
      </c>
      <c r="F62" s="193">
        <f>IFERROR(__xludf.DUMMYFUNCTION("""COMPUTED_VALUE"""),171.71)</f>
        <v>171.71</v>
      </c>
      <c r="G62" s="9"/>
      <c r="H62" s="199">
        <f t="shared" si="3"/>
        <v>2.488789238</v>
      </c>
      <c r="I62" s="193">
        <f t="shared" si="4"/>
        <v>255.64</v>
      </c>
      <c r="J62" s="213">
        <f t="shared" si="5"/>
        <v>-0.2723171817</v>
      </c>
      <c r="K62" s="199">
        <f t="shared" si="6"/>
        <v>2.488789238</v>
      </c>
      <c r="L62" s="213">
        <f t="shared" si="7"/>
        <v>436.765</v>
      </c>
      <c r="M62" s="210">
        <f t="shared" si="8"/>
        <v>-0.02203112203</v>
      </c>
      <c r="N62" s="213">
        <f t="shared" si="9"/>
        <v>173.479</v>
      </c>
      <c r="O62" s="210">
        <f t="shared" si="10"/>
        <v>-0.0103022538</v>
      </c>
      <c r="P62" s="210">
        <f t="shared" si="11"/>
        <v>-0.01172886823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217">
        <f>IFERROR(__xludf.DUMMYFUNCTION("""COMPUTED_VALUE"""),46220.64583333333)</f>
        <v>46220.64583</v>
      </c>
      <c r="C63" s="193">
        <f>IFERROR(__xludf.DUMMYFUNCTION("""COMPUTED_VALUE"""),427.65)</f>
        <v>427.65</v>
      </c>
      <c r="D63" s="9"/>
      <c r="E63" s="217">
        <f>IFERROR(__xludf.DUMMYFUNCTION("""COMPUTED_VALUE"""),46220.64583333333)</f>
        <v>46220.64583</v>
      </c>
      <c r="F63" s="193">
        <f>IFERROR(__xludf.DUMMYFUNCTION("""COMPUTED_VALUE"""),171.2)</f>
        <v>171.2</v>
      </c>
      <c r="G63" s="9"/>
      <c r="H63" s="199">
        <f t="shared" si="3"/>
        <v>2.497955607</v>
      </c>
      <c r="I63" s="193">
        <f t="shared" si="4"/>
        <v>256.45</v>
      </c>
      <c r="J63" s="213">
        <f t="shared" si="5"/>
        <v>-0.2403422182</v>
      </c>
      <c r="K63" s="199">
        <f t="shared" si="6"/>
        <v>2.497955607</v>
      </c>
      <c r="L63" s="213">
        <f t="shared" si="7"/>
        <v>435.5475</v>
      </c>
      <c r="M63" s="210">
        <f t="shared" si="8"/>
        <v>-0.01846720449</v>
      </c>
      <c r="N63" s="213">
        <f t="shared" si="9"/>
        <v>173.217</v>
      </c>
      <c r="O63" s="210">
        <f t="shared" si="10"/>
        <v>-0.01178154206</v>
      </c>
      <c r="P63" s="210">
        <f t="shared" si="11"/>
        <v>-0.006685662434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93">
        <v>30.0</v>
      </c>
      <c r="B64" s="217">
        <f>IFERROR(__xludf.DUMMYFUNCTION("""COMPUTED_VALUE"""),46223.64583333333)</f>
        <v>46223.64583</v>
      </c>
      <c r="C64" s="193">
        <f>IFERROR(__xludf.DUMMYFUNCTION("""COMPUTED_VALUE"""),429.4)</f>
        <v>429.4</v>
      </c>
      <c r="D64" s="9"/>
      <c r="E64" s="217">
        <f>IFERROR(__xludf.DUMMYFUNCTION("""COMPUTED_VALUE"""),46223.64583333333)</f>
        <v>46223.64583</v>
      </c>
      <c r="F64" s="193">
        <f>IFERROR(__xludf.DUMMYFUNCTION("""COMPUTED_VALUE"""),173.01)</f>
        <v>173.01</v>
      </c>
      <c r="G64" s="9"/>
      <c r="H64" s="199">
        <f t="shared" si="3"/>
        <v>2.48193746</v>
      </c>
      <c r="I64" s="193">
        <f t="shared" si="4"/>
        <v>256.39</v>
      </c>
      <c r="J64" s="213">
        <f t="shared" si="5"/>
        <v>-0.242710734</v>
      </c>
      <c r="K64" s="199">
        <f t="shared" si="6"/>
        <v>2.48193746</v>
      </c>
      <c r="L64" s="213">
        <f t="shared" si="7"/>
        <v>434.4525</v>
      </c>
      <c r="M64" s="210">
        <f t="shared" si="8"/>
        <v>-0.01176641826</v>
      </c>
      <c r="N64" s="213">
        <f t="shared" si="9"/>
        <v>173.1725</v>
      </c>
      <c r="O64" s="210">
        <f t="shared" si="10"/>
        <v>-0.0009392520664</v>
      </c>
      <c r="P64" s="210">
        <f t="shared" si="11"/>
        <v>-0.01082716619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217">
        <f>IFERROR(__xludf.DUMMYFUNCTION("""COMPUTED_VALUE"""),46224.64583333333)</f>
        <v>46224.64583</v>
      </c>
      <c r="C65" s="193">
        <f>IFERROR(__xludf.DUMMYFUNCTION("""COMPUTED_VALUE"""),431.25)</f>
        <v>431.25</v>
      </c>
      <c r="D65" s="9"/>
      <c r="E65" s="217">
        <f>IFERROR(__xludf.DUMMYFUNCTION("""COMPUTED_VALUE"""),46224.64583333333)</f>
        <v>46224.64583</v>
      </c>
      <c r="F65" s="193">
        <f>IFERROR(__xludf.DUMMYFUNCTION("""COMPUTED_VALUE"""),173.99)</f>
        <v>173.99</v>
      </c>
      <c r="G65" s="9"/>
      <c r="H65" s="199">
        <f t="shared" si="3"/>
        <v>2.478590724</v>
      </c>
      <c r="I65" s="193">
        <f t="shared" si="4"/>
        <v>257.26</v>
      </c>
      <c r="J65" s="213">
        <f t="shared" si="5"/>
        <v>-0.2083672547</v>
      </c>
      <c r="K65" s="199">
        <f t="shared" si="6"/>
        <v>2.478590724</v>
      </c>
      <c r="L65" s="213">
        <f t="shared" si="7"/>
        <v>433.565</v>
      </c>
      <c r="M65" s="210">
        <f t="shared" si="8"/>
        <v>-0.005368115942</v>
      </c>
      <c r="N65" s="213">
        <f t="shared" si="9"/>
        <v>173.007</v>
      </c>
      <c r="O65" s="210">
        <f t="shared" si="10"/>
        <v>0.005649749986</v>
      </c>
      <c r="P65" s="210">
        <f t="shared" si="11"/>
        <v>-0.01101786593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217">
        <f>IFERROR(__xludf.DUMMYFUNCTION("""COMPUTED_VALUE"""),46225.64583333333)</f>
        <v>46225.64583</v>
      </c>
      <c r="C66" s="193">
        <f>IFERROR(__xludf.DUMMYFUNCTION("""COMPUTED_VALUE"""),428.4)</f>
        <v>428.4</v>
      </c>
      <c r="D66" s="9"/>
      <c r="E66" s="217">
        <f>IFERROR(__xludf.DUMMYFUNCTION("""COMPUTED_VALUE"""),46225.64583333333)</f>
        <v>46225.64583</v>
      </c>
      <c r="F66" s="193">
        <f>IFERROR(__xludf.DUMMYFUNCTION("""COMPUTED_VALUE"""),173.01)</f>
        <v>173.01</v>
      </c>
      <c r="G66" s="9"/>
      <c r="H66" s="199">
        <f t="shared" si="3"/>
        <v>2.476157448</v>
      </c>
      <c r="I66" s="193">
        <f t="shared" si="4"/>
        <v>255.39</v>
      </c>
      <c r="J66" s="213">
        <f t="shared" si="5"/>
        <v>-0.2821859976</v>
      </c>
      <c r="K66" s="199">
        <f t="shared" si="6"/>
        <v>2.476157448</v>
      </c>
      <c r="L66" s="213">
        <f t="shared" si="7"/>
        <v>432.7675</v>
      </c>
      <c r="M66" s="210">
        <f t="shared" si="8"/>
        <v>-0.0101949113</v>
      </c>
      <c r="N66" s="213">
        <f t="shared" si="9"/>
        <v>172.9655</v>
      </c>
      <c r="O66" s="210">
        <f t="shared" si="10"/>
        <v>0.0002572105659</v>
      </c>
      <c r="P66" s="210">
        <f t="shared" si="11"/>
        <v>-0.01045212186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217">
        <f>IFERROR(__xludf.DUMMYFUNCTION("""COMPUTED_VALUE"""),46226.64583333333)</f>
        <v>46226.64583</v>
      </c>
      <c r="C67" s="193">
        <f>IFERROR(__xludf.DUMMYFUNCTION("""COMPUTED_VALUE"""),427.05)</f>
        <v>427.05</v>
      </c>
      <c r="D67" s="9"/>
      <c r="E67" s="217">
        <f>IFERROR(__xludf.DUMMYFUNCTION("""COMPUTED_VALUE"""),46226.64583333333)</f>
        <v>46226.64583</v>
      </c>
      <c r="F67" s="193">
        <f>IFERROR(__xludf.DUMMYFUNCTION("""COMPUTED_VALUE"""),171.99)</f>
        <v>171.99</v>
      </c>
      <c r="G67" s="9"/>
      <c r="H67" s="199">
        <f t="shared" si="3"/>
        <v>2.482993197</v>
      </c>
      <c r="I67" s="193">
        <f t="shared" si="4"/>
        <v>255.06</v>
      </c>
      <c r="J67" s="213">
        <f t="shared" si="5"/>
        <v>-0.2952128346</v>
      </c>
      <c r="K67" s="199">
        <f t="shared" si="6"/>
        <v>2.482993197</v>
      </c>
      <c r="L67" s="213">
        <f t="shared" si="7"/>
        <v>432.0325</v>
      </c>
      <c r="M67" s="210">
        <f t="shared" si="8"/>
        <v>-0.01166725208</v>
      </c>
      <c r="N67" s="213">
        <f t="shared" si="9"/>
        <v>172.8185</v>
      </c>
      <c r="O67" s="210">
        <f t="shared" si="10"/>
        <v>-0.004817140531</v>
      </c>
      <c r="P67" s="210">
        <f t="shared" si="11"/>
        <v>-0.006850111547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217">
        <f>IFERROR(__xludf.DUMMYFUNCTION("""COMPUTED_VALUE"""),46227.64583333333)</f>
        <v>46227.64583</v>
      </c>
      <c r="C68" s="193">
        <f>IFERROR(__xludf.DUMMYFUNCTION("""COMPUTED_VALUE"""),427.4)</f>
        <v>427.4</v>
      </c>
      <c r="D68" s="9"/>
      <c r="E68" s="217">
        <f>IFERROR(__xludf.DUMMYFUNCTION("""COMPUTED_VALUE"""),46227.64583333333)</f>
        <v>46227.64583</v>
      </c>
      <c r="F68" s="193">
        <f>IFERROR(__xludf.DUMMYFUNCTION("""COMPUTED_VALUE"""),170.02)</f>
        <v>170.02</v>
      </c>
      <c r="G68" s="9"/>
      <c r="H68" s="199">
        <f t="shared" si="3"/>
        <v>2.513821903</v>
      </c>
      <c r="I68" s="193">
        <f t="shared" si="4"/>
        <v>257.38</v>
      </c>
      <c r="J68" s="213">
        <f t="shared" si="5"/>
        <v>-0.2036302231</v>
      </c>
      <c r="K68" s="199">
        <f t="shared" si="6"/>
        <v>2.513821903</v>
      </c>
      <c r="L68" s="213">
        <f t="shared" si="7"/>
        <v>431.6325</v>
      </c>
      <c r="M68" s="210">
        <f t="shared" si="8"/>
        <v>-0.009902901263</v>
      </c>
      <c r="N68" s="213">
        <f t="shared" si="9"/>
        <v>172.677</v>
      </c>
      <c r="O68" s="210">
        <f t="shared" si="10"/>
        <v>-0.01562757323</v>
      </c>
      <c r="P68" s="210">
        <f t="shared" si="11"/>
        <v>0.005724671963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217">
        <f>IFERROR(__xludf.DUMMYFUNCTION("""COMPUTED_VALUE"""),46230.64583333333)</f>
        <v>46230.64583</v>
      </c>
      <c r="C69" s="193">
        <f>IFERROR(__xludf.DUMMYFUNCTION("""COMPUTED_VALUE"""),427.5)</f>
        <v>427.5</v>
      </c>
      <c r="D69" s="9"/>
      <c r="E69" s="217">
        <f>IFERROR(__xludf.DUMMYFUNCTION("""COMPUTED_VALUE"""),46230.64583333333)</f>
        <v>46230.64583</v>
      </c>
      <c r="F69" s="193">
        <f>IFERROR(__xludf.DUMMYFUNCTION("""COMPUTED_VALUE"""),174.23)</f>
        <v>174.23</v>
      </c>
      <c r="G69" s="9"/>
      <c r="H69" s="199">
        <f t="shared" si="3"/>
        <v>2.453653217</v>
      </c>
      <c r="I69" s="193">
        <f t="shared" si="4"/>
        <v>253.27</v>
      </c>
      <c r="J69" s="213">
        <f t="shared" si="5"/>
        <v>-0.3658735564</v>
      </c>
      <c r="K69" s="199">
        <f t="shared" si="6"/>
        <v>2.453653217</v>
      </c>
      <c r="L69" s="213">
        <f t="shared" si="7"/>
        <v>430.765</v>
      </c>
      <c r="M69" s="210">
        <f t="shared" si="8"/>
        <v>-0.007637426901</v>
      </c>
      <c r="N69" s="213">
        <f t="shared" si="9"/>
        <v>172.7775</v>
      </c>
      <c r="O69" s="210">
        <f t="shared" si="10"/>
        <v>0.008336681398</v>
      </c>
      <c r="P69" s="210">
        <f t="shared" si="11"/>
        <v>-0.0159741083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217">
        <f>IFERROR(__xludf.DUMMYFUNCTION("""COMPUTED_VALUE"""),46231.64583333333)</f>
        <v>46231.64583</v>
      </c>
      <c r="C70" s="193">
        <f>IFERROR(__xludf.DUMMYFUNCTION("""COMPUTED_VALUE"""),410.15)</f>
        <v>410.15</v>
      </c>
      <c r="D70" s="9"/>
      <c r="E70" s="217">
        <f>IFERROR(__xludf.DUMMYFUNCTION("""COMPUTED_VALUE"""),46231.64583333333)</f>
        <v>46231.64583</v>
      </c>
      <c r="F70" s="193">
        <f>IFERROR(__xludf.DUMMYFUNCTION("""COMPUTED_VALUE"""),175.15)</f>
        <v>175.15</v>
      </c>
      <c r="G70" s="9"/>
      <c r="H70" s="199">
        <f t="shared" si="3"/>
        <v>2.341707108</v>
      </c>
      <c r="I70" s="193">
        <f t="shared" si="4"/>
        <v>235</v>
      </c>
      <c r="J70" s="213">
        <f t="shared" si="5"/>
        <v>-1.087086622</v>
      </c>
      <c r="K70" s="199">
        <f t="shared" si="6"/>
        <v>2.341707108</v>
      </c>
      <c r="L70" s="213">
        <f t="shared" si="7"/>
        <v>429.32</v>
      </c>
      <c r="M70" s="210">
        <f t="shared" si="8"/>
        <v>-0.04673899793</v>
      </c>
      <c r="N70" s="213">
        <f t="shared" si="9"/>
        <v>172.862</v>
      </c>
      <c r="O70" s="210">
        <f t="shared" si="10"/>
        <v>0.01306308878</v>
      </c>
      <c r="P70" s="210">
        <f t="shared" si="11"/>
        <v>-0.05980208671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217">
        <f>IFERROR(__xludf.DUMMYFUNCTION("""COMPUTED_VALUE"""),46232.64583333333)</f>
        <v>46232.64583</v>
      </c>
      <c r="C71" s="193">
        <f>IFERROR(__xludf.DUMMYFUNCTION("""COMPUTED_VALUE"""),410.05)</f>
        <v>410.05</v>
      </c>
      <c r="D71" s="9"/>
      <c r="E71" s="217">
        <f>IFERROR(__xludf.DUMMYFUNCTION("""COMPUTED_VALUE"""),46232.64583333333)</f>
        <v>46232.64583</v>
      </c>
      <c r="F71" s="193">
        <f>IFERROR(__xludf.DUMMYFUNCTION("""COMPUTED_VALUE"""),175.12)</f>
        <v>175.12</v>
      </c>
      <c r="G71" s="9"/>
      <c r="H71" s="199">
        <f t="shared" si="3"/>
        <v>2.341537232</v>
      </c>
      <c r="I71" s="193">
        <f t="shared" si="4"/>
        <v>234.93</v>
      </c>
      <c r="J71" s="213">
        <f t="shared" si="5"/>
        <v>-1.08984989</v>
      </c>
      <c r="K71" s="199">
        <f t="shared" si="6"/>
        <v>2.341537232</v>
      </c>
      <c r="L71" s="213">
        <f t="shared" si="7"/>
        <v>428.085</v>
      </c>
      <c r="M71" s="210">
        <f t="shared" si="8"/>
        <v>-0.04398244117</v>
      </c>
      <c r="N71" s="213">
        <f t="shared" si="9"/>
        <v>172.893</v>
      </c>
      <c r="O71" s="210">
        <f t="shared" si="10"/>
        <v>0.01271699406</v>
      </c>
      <c r="P71" s="210">
        <f t="shared" si="11"/>
        <v>-0.05669943523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217">
        <f>IFERROR(__xludf.DUMMYFUNCTION("""COMPUTED_VALUE"""),46233.64583333333)</f>
        <v>46233.64583</v>
      </c>
      <c r="C72" s="193">
        <f>IFERROR(__xludf.DUMMYFUNCTION("""COMPUTED_VALUE"""),417.2)</f>
        <v>417.2</v>
      </c>
      <c r="D72" s="9"/>
      <c r="E72" s="217">
        <f>IFERROR(__xludf.DUMMYFUNCTION("""COMPUTED_VALUE"""),46233.64583333333)</f>
        <v>46233.64583</v>
      </c>
      <c r="F72" s="193">
        <f>IFERROR(__xludf.DUMMYFUNCTION("""COMPUTED_VALUE"""),173.64)</f>
        <v>173.64</v>
      </c>
      <c r="G72" s="9"/>
      <c r="H72" s="199">
        <f t="shared" si="3"/>
        <v>2.402672195</v>
      </c>
      <c r="I72" s="193">
        <f t="shared" si="4"/>
        <v>243.56</v>
      </c>
      <c r="J72" s="213">
        <f t="shared" si="5"/>
        <v>-0.7491783657</v>
      </c>
      <c r="K72" s="199">
        <f t="shared" si="6"/>
        <v>2.402672195</v>
      </c>
      <c r="L72" s="213">
        <f t="shared" si="7"/>
        <v>427</v>
      </c>
      <c r="M72" s="210">
        <f t="shared" si="8"/>
        <v>-0.02348993289</v>
      </c>
      <c r="N72" s="213">
        <f t="shared" si="9"/>
        <v>172.8605</v>
      </c>
      <c r="O72" s="210">
        <f t="shared" si="10"/>
        <v>0.004489173002</v>
      </c>
      <c r="P72" s="210">
        <f t="shared" si="11"/>
        <v>-0.02797910589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217">
        <f>IFERROR(__xludf.DUMMYFUNCTION("""COMPUTED_VALUE"""),46234.64583333333)</f>
        <v>46234.64583</v>
      </c>
      <c r="C73" s="193">
        <f>IFERROR(__xludf.DUMMYFUNCTION("""COMPUTED_VALUE"""),414.15)</f>
        <v>414.15</v>
      </c>
      <c r="D73" s="9"/>
      <c r="E73" s="217">
        <f>IFERROR(__xludf.DUMMYFUNCTION("""COMPUTED_VALUE"""),46234.64583333333)</f>
        <v>46234.64583</v>
      </c>
      <c r="F73" s="193">
        <f>IFERROR(__xludf.DUMMYFUNCTION("""COMPUTED_VALUE"""),181.44)</f>
        <v>181.44</v>
      </c>
      <c r="G73" s="9"/>
      <c r="H73" s="199">
        <f t="shared" si="3"/>
        <v>2.282572751</v>
      </c>
      <c r="I73" s="193">
        <f t="shared" si="4"/>
        <v>232.71</v>
      </c>
      <c r="J73" s="213">
        <f t="shared" si="5"/>
        <v>-1.177484975</v>
      </c>
      <c r="K73" s="199">
        <f t="shared" si="6"/>
        <v>2.282572751</v>
      </c>
      <c r="L73" s="213">
        <f t="shared" si="7"/>
        <v>425.7725</v>
      </c>
      <c r="M73" s="210">
        <f t="shared" si="8"/>
        <v>-0.02806350356</v>
      </c>
      <c r="N73" s="213">
        <f t="shared" si="9"/>
        <v>173.225</v>
      </c>
      <c r="O73" s="210">
        <f t="shared" si="10"/>
        <v>0.04527667549</v>
      </c>
      <c r="P73" s="210">
        <f t="shared" si="11"/>
        <v>-0.07334017905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93">
        <v>20.0</v>
      </c>
      <c r="B74" s="217">
        <f>IFERROR(__xludf.DUMMYFUNCTION("""COMPUTED_VALUE"""),46237.64583333333)</f>
        <v>46237.64583</v>
      </c>
      <c r="C74" s="193">
        <f>IFERROR(__xludf.DUMMYFUNCTION("""COMPUTED_VALUE"""),416.0)</f>
        <v>416</v>
      </c>
      <c r="D74" s="9"/>
      <c r="E74" s="217">
        <f>IFERROR(__xludf.DUMMYFUNCTION("""COMPUTED_VALUE"""),46237.64583333333)</f>
        <v>46237.64583</v>
      </c>
      <c r="F74" s="193">
        <f>IFERROR(__xludf.DUMMYFUNCTION("""COMPUTED_VALUE"""),174.3)</f>
        <v>174.3</v>
      </c>
      <c r="G74" s="9"/>
      <c r="H74" s="199">
        <f t="shared" si="3"/>
        <v>2.386689616</v>
      </c>
      <c r="I74" s="193">
        <f t="shared" si="4"/>
        <v>241.7</v>
      </c>
      <c r="J74" s="213">
        <f t="shared" si="5"/>
        <v>-0.8226023559</v>
      </c>
      <c r="K74" s="199">
        <f t="shared" si="6"/>
        <v>2.386689616</v>
      </c>
      <c r="L74" s="213">
        <f t="shared" si="7"/>
        <v>424.955</v>
      </c>
      <c r="M74" s="210">
        <f t="shared" si="8"/>
        <v>-0.02152644231</v>
      </c>
      <c r="N74" s="213">
        <f t="shared" si="9"/>
        <v>173.1885</v>
      </c>
      <c r="O74" s="210">
        <f t="shared" si="10"/>
        <v>0.006376936317</v>
      </c>
      <c r="P74" s="210">
        <f t="shared" si="11"/>
        <v>-0.02790337862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217">
        <f>IFERROR(__xludf.DUMMYFUNCTION("""COMPUTED_VALUE"""),46238.64583333333)</f>
        <v>46238.64583</v>
      </c>
      <c r="C75" s="193">
        <f>IFERROR(__xludf.DUMMYFUNCTION("""COMPUTED_VALUE"""),417.6)</f>
        <v>417.6</v>
      </c>
      <c r="D75" s="9"/>
      <c r="E75" s="217">
        <f>IFERROR(__xludf.DUMMYFUNCTION("""COMPUTED_VALUE"""),46238.64583333333)</f>
        <v>46238.64583</v>
      </c>
      <c r="F75" s="193">
        <f>IFERROR(__xludf.DUMMYFUNCTION("""COMPUTED_VALUE"""),175.0)</f>
        <v>175</v>
      </c>
      <c r="G75" s="9"/>
      <c r="H75" s="199">
        <f t="shared" si="3"/>
        <v>2.386285714</v>
      </c>
      <c r="I75" s="193">
        <f t="shared" si="4"/>
        <v>242.6</v>
      </c>
      <c r="J75" s="213">
        <f t="shared" si="5"/>
        <v>-0.7870746187</v>
      </c>
      <c r="K75" s="199">
        <f t="shared" si="6"/>
        <v>2.386285714</v>
      </c>
      <c r="L75" s="213">
        <f t="shared" si="7"/>
        <v>424.3875</v>
      </c>
      <c r="M75" s="210">
        <f t="shared" si="8"/>
        <v>-0.01625359195</v>
      </c>
      <c r="N75" s="213">
        <f t="shared" si="9"/>
        <v>173.238</v>
      </c>
      <c r="O75" s="210">
        <f t="shared" si="10"/>
        <v>0.01006857143</v>
      </c>
      <c r="P75" s="210">
        <f t="shared" si="11"/>
        <v>-0.02632216338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217">
        <f>IFERROR(__xludf.DUMMYFUNCTION("""COMPUTED_VALUE"""),46239.64583333333)</f>
        <v>46239.64583</v>
      </c>
      <c r="C76" s="193">
        <f>IFERROR(__xludf.DUMMYFUNCTION("""COMPUTED_VALUE"""),415.5)</f>
        <v>415.5</v>
      </c>
      <c r="D76" s="9"/>
      <c r="E76" s="217">
        <f>IFERROR(__xludf.DUMMYFUNCTION("""COMPUTED_VALUE"""),46239.64583333333)</f>
        <v>46239.64583</v>
      </c>
      <c r="F76" s="193">
        <f>IFERROR(__xludf.DUMMYFUNCTION("""COMPUTED_VALUE"""),176.96)</f>
        <v>176.96</v>
      </c>
      <c r="G76" s="9"/>
      <c r="H76" s="199">
        <f t="shared" si="3"/>
        <v>2.347988246</v>
      </c>
      <c r="I76" s="193">
        <f t="shared" si="4"/>
        <v>238.54</v>
      </c>
      <c r="J76" s="213">
        <f t="shared" si="5"/>
        <v>-0.9473441888</v>
      </c>
      <c r="K76" s="199">
        <f t="shared" si="6"/>
        <v>2.347988246</v>
      </c>
      <c r="L76" s="213">
        <f t="shared" si="7"/>
        <v>423.71</v>
      </c>
      <c r="M76" s="210">
        <f t="shared" si="8"/>
        <v>-0.01975932611</v>
      </c>
      <c r="N76" s="213">
        <f t="shared" si="9"/>
        <v>173.624</v>
      </c>
      <c r="O76" s="210">
        <f t="shared" si="10"/>
        <v>0.0188517179</v>
      </c>
      <c r="P76" s="210">
        <f t="shared" si="11"/>
        <v>-0.03861104402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217">
        <f>IFERROR(__xludf.DUMMYFUNCTION("""COMPUTED_VALUE"""),46240.64583333333)</f>
        <v>46240.64583</v>
      </c>
      <c r="C77" s="193">
        <f>IFERROR(__xludf.DUMMYFUNCTION("""COMPUTED_VALUE"""),415.6)</f>
        <v>415.6</v>
      </c>
      <c r="D77" s="9"/>
      <c r="E77" s="217">
        <f>IFERROR(__xludf.DUMMYFUNCTION("""COMPUTED_VALUE"""),46240.64583333333)</f>
        <v>46240.64583</v>
      </c>
      <c r="F77" s="193">
        <f>IFERROR(__xludf.DUMMYFUNCTION("""COMPUTED_VALUE"""),176.4)</f>
        <v>176.4</v>
      </c>
      <c r="G77" s="9"/>
      <c r="H77" s="199">
        <f t="shared" si="3"/>
        <v>2.35600907</v>
      </c>
      <c r="I77" s="193">
        <f t="shared" si="4"/>
        <v>239.2</v>
      </c>
      <c r="J77" s="213">
        <f t="shared" si="5"/>
        <v>-0.9212905149</v>
      </c>
      <c r="K77" s="199">
        <f t="shared" si="6"/>
        <v>2.35600907</v>
      </c>
      <c r="L77" s="213">
        <f t="shared" si="7"/>
        <v>422.995</v>
      </c>
      <c r="M77" s="210">
        <f t="shared" si="8"/>
        <v>-0.01779355149</v>
      </c>
      <c r="N77" s="213">
        <f t="shared" si="9"/>
        <v>173.934</v>
      </c>
      <c r="O77" s="210">
        <f t="shared" si="10"/>
        <v>0.01397959184</v>
      </c>
      <c r="P77" s="210">
        <f t="shared" si="11"/>
        <v>-0.03177314333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217">
        <f>IFERROR(__xludf.DUMMYFUNCTION("""COMPUTED_VALUE"""),46241.64583333333)</f>
        <v>46241.64583</v>
      </c>
      <c r="C78" s="193">
        <f>IFERROR(__xludf.DUMMYFUNCTION("""COMPUTED_VALUE"""),415.25)</f>
        <v>415.25</v>
      </c>
      <c r="D78" s="9"/>
      <c r="E78" s="217">
        <f>IFERROR(__xludf.DUMMYFUNCTION("""COMPUTED_VALUE"""),46241.64583333333)</f>
        <v>46241.64583</v>
      </c>
      <c r="F78" s="193">
        <f>IFERROR(__xludf.DUMMYFUNCTION("""COMPUTED_VALUE"""),173.63)</f>
        <v>173.63</v>
      </c>
      <c r="G78" s="9"/>
      <c r="H78" s="199">
        <f t="shared" si="3"/>
        <v>2.391579796</v>
      </c>
      <c r="I78" s="193">
        <f t="shared" si="4"/>
        <v>241.62</v>
      </c>
      <c r="J78" s="213">
        <f t="shared" si="5"/>
        <v>-0.825760377</v>
      </c>
      <c r="K78" s="199">
        <f t="shared" si="6"/>
        <v>2.391579796</v>
      </c>
      <c r="L78" s="213">
        <f t="shared" si="7"/>
        <v>422.2925</v>
      </c>
      <c r="M78" s="210">
        <f t="shared" si="8"/>
        <v>-0.01695966285</v>
      </c>
      <c r="N78" s="213">
        <f t="shared" si="9"/>
        <v>173.929</v>
      </c>
      <c r="O78" s="210">
        <f t="shared" si="10"/>
        <v>-0.001722052641</v>
      </c>
      <c r="P78" s="210">
        <f t="shared" si="11"/>
        <v>-0.01523761021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217">
        <f>IFERROR(__xludf.DUMMYFUNCTION("""COMPUTED_VALUE"""),46244.64583333333)</f>
        <v>46244.64583</v>
      </c>
      <c r="C79" s="193">
        <f>IFERROR(__xludf.DUMMYFUNCTION("""COMPUTED_VALUE"""),411.0)</f>
        <v>411</v>
      </c>
      <c r="D79" s="9"/>
      <c r="E79" s="217">
        <f>IFERROR(__xludf.DUMMYFUNCTION("""COMPUTED_VALUE"""),46244.64583333333)</f>
        <v>46244.64583</v>
      </c>
      <c r="F79" s="193">
        <f>IFERROR(__xludf.DUMMYFUNCTION("""COMPUTED_VALUE"""),172.5)</f>
        <v>172.5</v>
      </c>
      <c r="G79" s="9"/>
      <c r="H79" s="199">
        <f t="shared" si="3"/>
        <v>2.382608696</v>
      </c>
      <c r="I79" s="193">
        <f t="shared" si="4"/>
        <v>238.5</v>
      </c>
      <c r="J79" s="213">
        <f t="shared" si="5"/>
        <v>-0.9489231994</v>
      </c>
      <c r="K79" s="199">
        <f t="shared" si="6"/>
        <v>2.382608696</v>
      </c>
      <c r="L79" s="213">
        <f t="shared" si="7"/>
        <v>421.3325</v>
      </c>
      <c r="M79" s="210">
        <f t="shared" si="8"/>
        <v>-0.02513990268</v>
      </c>
      <c r="N79" s="213">
        <f t="shared" si="9"/>
        <v>173.898</v>
      </c>
      <c r="O79" s="210">
        <f t="shared" si="10"/>
        <v>-0.008104347826</v>
      </c>
      <c r="P79" s="210">
        <f t="shared" si="11"/>
        <v>-0.01703555485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217">
        <f>IFERROR(__xludf.DUMMYFUNCTION("""COMPUTED_VALUE"""),46245.64583333333)</f>
        <v>46245.64583</v>
      </c>
      <c r="C80" s="193">
        <f>IFERROR(__xludf.DUMMYFUNCTION("""COMPUTED_VALUE"""),412.6)</f>
        <v>412.6</v>
      </c>
      <c r="D80" s="9"/>
      <c r="E80" s="217">
        <f>IFERROR(__xludf.DUMMYFUNCTION("""COMPUTED_VALUE"""),46245.64583333333)</f>
        <v>46245.64583</v>
      </c>
      <c r="F80" s="193">
        <f>IFERROR(__xludf.DUMMYFUNCTION("""COMPUTED_VALUE"""),175.34)</f>
        <v>175.34</v>
      </c>
      <c r="G80" s="9"/>
      <c r="H80" s="199">
        <f t="shared" si="3"/>
        <v>2.353142466</v>
      </c>
      <c r="I80" s="193">
        <f t="shared" si="4"/>
        <v>237.26</v>
      </c>
      <c r="J80" s="213">
        <f t="shared" si="5"/>
        <v>-0.9978725262</v>
      </c>
      <c r="K80" s="199">
        <f t="shared" si="6"/>
        <v>2.353142466</v>
      </c>
      <c r="L80" s="213">
        <f t="shared" si="7"/>
        <v>420.4325</v>
      </c>
      <c r="M80" s="210">
        <f t="shared" si="8"/>
        <v>-0.01898327678</v>
      </c>
      <c r="N80" s="213">
        <f t="shared" si="9"/>
        <v>174.0895</v>
      </c>
      <c r="O80" s="210">
        <f t="shared" si="10"/>
        <v>0.007131858104</v>
      </c>
      <c r="P80" s="210">
        <f t="shared" si="11"/>
        <v>-0.02611513489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217">
        <f>IFERROR(__xludf.DUMMYFUNCTION("""COMPUTED_VALUE"""),46246.64583333333)</f>
        <v>46246.64583</v>
      </c>
      <c r="C81" s="193">
        <f>IFERROR(__xludf.DUMMYFUNCTION("""COMPUTED_VALUE"""),409.3)</f>
        <v>409.3</v>
      </c>
      <c r="D81" s="9"/>
      <c r="E81" s="217">
        <f>IFERROR(__xludf.DUMMYFUNCTION("""COMPUTED_VALUE"""),46246.64583333333)</f>
        <v>46246.64583</v>
      </c>
      <c r="F81" s="193">
        <f>IFERROR(__xludf.DUMMYFUNCTION("""COMPUTED_VALUE"""),177.95)</f>
        <v>177.95</v>
      </c>
      <c r="G81" s="9"/>
      <c r="H81" s="199">
        <f t="shared" si="3"/>
        <v>2.300084293</v>
      </c>
      <c r="I81" s="193">
        <f t="shared" si="4"/>
        <v>231.35</v>
      </c>
      <c r="J81" s="213">
        <f t="shared" si="5"/>
        <v>-1.231171334</v>
      </c>
      <c r="K81" s="199">
        <f t="shared" si="6"/>
        <v>2.300084293</v>
      </c>
      <c r="L81" s="213">
        <f t="shared" si="7"/>
        <v>419.52</v>
      </c>
      <c r="M81" s="210">
        <f t="shared" si="8"/>
        <v>-0.02496946005</v>
      </c>
      <c r="N81" s="213">
        <f t="shared" si="9"/>
        <v>174.3295</v>
      </c>
      <c r="O81" s="210">
        <f t="shared" si="10"/>
        <v>0.0203456027</v>
      </c>
      <c r="P81" s="210">
        <f t="shared" si="11"/>
        <v>-0.04531506275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217">
        <f>IFERROR(__xludf.DUMMYFUNCTION("""COMPUTED_VALUE"""),46247.64583333333)</f>
        <v>46247.64583</v>
      </c>
      <c r="C82" s="193">
        <f>IFERROR(__xludf.DUMMYFUNCTION("""COMPUTED_VALUE"""),410.5)</f>
        <v>410.5</v>
      </c>
      <c r="D82" s="9"/>
      <c r="E82" s="217">
        <f>IFERROR(__xludf.DUMMYFUNCTION("""COMPUTED_VALUE"""),46247.64583333333)</f>
        <v>46247.64583</v>
      </c>
      <c r="F82" s="193">
        <f>IFERROR(__xludf.DUMMYFUNCTION("""COMPUTED_VALUE"""),175.9)</f>
        <v>175.9</v>
      </c>
      <c r="G82" s="9"/>
      <c r="H82" s="199">
        <f t="shared" si="3"/>
        <v>2.333712337</v>
      </c>
      <c r="I82" s="193">
        <f t="shared" si="4"/>
        <v>234.6</v>
      </c>
      <c r="J82" s="213">
        <f t="shared" si="5"/>
        <v>-1.102876727</v>
      </c>
      <c r="K82" s="199">
        <f t="shared" si="6"/>
        <v>2.333712337</v>
      </c>
      <c r="L82" s="213">
        <f t="shared" si="7"/>
        <v>418.6775</v>
      </c>
      <c r="M82" s="210">
        <f t="shared" si="8"/>
        <v>-0.01992082826</v>
      </c>
      <c r="N82" s="213">
        <f t="shared" si="9"/>
        <v>174.539</v>
      </c>
      <c r="O82" s="210">
        <f t="shared" si="10"/>
        <v>0.007737350767</v>
      </c>
      <c r="P82" s="210">
        <f t="shared" si="11"/>
        <v>-0.02765817903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217">
        <f>IFERROR(__xludf.DUMMYFUNCTION("""COMPUTED_VALUE"""),46248.64583333333)</f>
        <v>46248.64583</v>
      </c>
      <c r="C83" s="193">
        <f>IFERROR(__xludf.DUMMYFUNCTION("""COMPUTED_VALUE"""),407.1)</f>
        <v>407.1</v>
      </c>
      <c r="D83" s="9"/>
      <c r="E83" s="217">
        <f>IFERROR(__xludf.DUMMYFUNCTION("""COMPUTED_VALUE"""),46248.64583333333)</f>
        <v>46248.64583</v>
      </c>
      <c r="F83" s="193">
        <f>IFERROR(__xludf.DUMMYFUNCTION("""COMPUTED_VALUE"""),174.9)</f>
        <v>174.9</v>
      </c>
      <c r="G83" s="9"/>
      <c r="H83" s="199">
        <f t="shared" si="3"/>
        <v>2.32761578</v>
      </c>
      <c r="I83" s="193">
        <f t="shared" si="4"/>
        <v>232.2</v>
      </c>
      <c r="J83" s="213">
        <f t="shared" si="5"/>
        <v>-1.19761736</v>
      </c>
      <c r="K83" s="199">
        <f t="shared" si="6"/>
        <v>2.32761578</v>
      </c>
      <c r="L83" s="213">
        <f t="shared" si="7"/>
        <v>417.65</v>
      </c>
      <c r="M83" s="210">
        <f t="shared" si="8"/>
        <v>-0.0259150086</v>
      </c>
      <c r="N83" s="213">
        <f t="shared" si="9"/>
        <v>174.724</v>
      </c>
      <c r="O83" s="210">
        <f t="shared" si="10"/>
        <v>0.001006289308</v>
      </c>
      <c r="P83" s="210">
        <f t="shared" si="11"/>
        <v>-0.02692129791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93">
        <v>10.0</v>
      </c>
      <c r="B84" s="217">
        <f>IFERROR(__xludf.DUMMYFUNCTION("""COMPUTED_VALUE"""),46251.64583333333)</f>
        <v>46251.64583</v>
      </c>
      <c r="C84" s="193">
        <f>IFERROR(__xludf.DUMMYFUNCTION("""COMPUTED_VALUE"""),408.45)</f>
        <v>408.45</v>
      </c>
      <c r="D84" s="9"/>
      <c r="E84" s="217">
        <f>IFERROR(__xludf.DUMMYFUNCTION("""COMPUTED_VALUE"""),46251.64583333333)</f>
        <v>46251.64583</v>
      </c>
      <c r="F84" s="193">
        <f>IFERROR(__xludf.DUMMYFUNCTION("""COMPUTED_VALUE"""),172.1)</f>
        <v>172.1</v>
      </c>
      <c r="G84" s="9"/>
      <c r="H84" s="199">
        <f t="shared" si="3"/>
        <v>2.37332946</v>
      </c>
      <c r="I84" s="193">
        <f t="shared" si="4"/>
        <v>236.35</v>
      </c>
      <c r="J84" s="213">
        <f t="shared" si="5"/>
        <v>-1.033795016</v>
      </c>
      <c r="K84" s="199">
        <f t="shared" si="6"/>
        <v>2.37332946</v>
      </c>
      <c r="L84" s="213">
        <f t="shared" si="7"/>
        <v>416.6025</v>
      </c>
      <c r="M84" s="210">
        <f t="shared" si="8"/>
        <v>-0.01995960338</v>
      </c>
      <c r="N84" s="213">
        <f t="shared" si="9"/>
        <v>174.6785</v>
      </c>
      <c r="O84" s="210">
        <f t="shared" si="10"/>
        <v>-0.01498256827</v>
      </c>
      <c r="P84" s="210">
        <f t="shared" si="11"/>
        <v>-0.004977035104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217">
        <f>IFERROR(__xludf.DUMMYFUNCTION("""COMPUTED_VALUE"""),46252.64583333333)</f>
        <v>46252.64583</v>
      </c>
      <c r="C85" s="193">
        <f>IFERROR(__xludf.DUMMYFUNCTION("""COMPUTED_VALUE"""),406.9)</f>
        <v>406.9</v>
      </c>
      <c r="D85" s="9"/>
      <c r="E85" s="217">
        <f>IFERROR(__xludf.DUMMYFUNCTION("""COMPUTED_VALUE"""),46252.64583333333)</f>
        <v>46252.64583</v>
      </c>
      <c r="F85" s="193">
        <f>IFERROR(__xludf.DUMMYFUNCTION("""COMPUTED_VALUE"""),173.5)</f>
        <v>173.5</v>
      </c>
      <c r="G85" s="9"/>
      <c r="H85" s="199">
        <f t="shared" si="3"/>
        <v>2.345244957</v>
      </c>
      <c r="I85" s="193">
        <f t="shared" si="4"/>
        <v>233.4</v>
      </c>
      <c r="J85" s="213">
        <f t="shared" si="5"/>
        <v>-1.150247044</v>
      </c>
      <c r="K85" s="199">
        <f t="shared" si="6"/>
        <v>2.345244957</v>
      </c>
      <c r="L85" s="213">
        <f t="shared" si="7"/>
        <v>415.385</v>
      </c>
      <c r="M85" s="210">
        <f t="shared" si="8"/>
        <v>-0.02085278938</v>
      </c>
      <c r="N85" s="213">
        <f t="shared" si="9"/>
        <v>174.654</v>
      </c>
      <c r="O85" s="210">
        <f t="shared" si="10"/>
        <v>-0.00665129683</v>
      </c>
      <c r="P85" s="210">
        <f t="shared" si="11"/>
        <v>-0.01420149255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217">
        <f>IFERROR(__xludf.DUMMYFUNCTION("""COMPUTED_VALUE"""),46253.64583333333)</f>
        <v>46253.64583</v>
      </c>
      <c r="C86" s="193">
        <f>IFERROR(__xludf.DUMMYFUNCTION("""COMPUTED_VALUE"""),400.0)</f>
        <v>400</v>
      </c>
      <c r="D86" s="9"/>
      <c r="E86" s="217">
        <f>IFERROR(__xludf.DUMMYFUNCTION("""COMPUTED_VALUE"""),46253.64583333333)</f>
        <v>46253.64583</v>
      </c>
      <c r="F86" s="193">
        <f>IFERROR(__xludf.DUMMYFUNCTION("""COMPUTED_VALUE"""),172.5)</f>
        <v>172.5</v>
      </c>
      <c r="G86" s="9"/>
      <c r="H86" s="199">
        <f t="shared" si="3"/>
        <v>2.31884058</v>
      </c>
      <c r="I86" s="193">
        <f t="shared" si="4"/>
        <v>227.5</v>
      </c>
      <c r="J86" s="213">
        <f t="shared" si="5"/>
        <v>-1.383151099</v>
      </c>
      <c r="K86" s="199">
        <f t="shared" si="6"/>
        <v>2.31884058</v>
      </c>
      <c r="L86" s="213">
        <f t="shared" si="7"/>
        <v>413.965</v>
      </c>
      <c r="M86" s="210">
        <f t="shared" si="8"/>
        <v>-0.0349125</v>
      </c>
      <c r="N86" s="213">
        <f t="shared" si="9"/>
        <v>174.6285</v>
      </c>
      <c r="O86" s="210">
        <f t="shared" si="10"/>
        <v>-0.01233913043</v>
      </c>
      <c r="P86" s="210">
        <f t="shared" si="11"/>
        <v>-0.02257336957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217">
        <f>IFERROR(__xludf.DUMMYFUNCTION("""COMPUTED_VALUE"""),46254.64583333333)</f>
        <v>46254.64583</v>
      </c>
      <c r="C87" s="193">
        <f>IFERROR(__xludf.DUMMYFUNCTION("""COMPUTED_VALUE"""),402.5)</f>
        <v>402.5</v>
      </c>
      <c r="D87" s="9"/>
      <c r="E87" s="217">
        <f>IFERROR(__xludf.DUMMYFUNCTION("""COMPUTED_VALUE"""),46254.64583333333)</f>
        <v>46254.64583</v>
      </c>
      <c r="F87" s="193">
        <f>IFERROR(__xludf.DUMMYFUNCTION("""COMPUTED_VALUE"""),172.5)</f>
        <v>172.5</v>
      </c>
      <c r="G87" s="9"/>
      <c r="H87" s="199">
        <f t="shared" si="3"/>
        <v>2.333333333</v>
      </c>
      <c r="I87" s="193">
        <f t="shared" si="4"/>
        <v>230</v>
      </c>
      <c r="J87" s="213">
        <f t="shared" si="5"/>
        <v>-1.28446294</v>
      </c>
      <c r="K87" s="199">
        <f t="shared" si="6"/>
        <v>2.333333333</v>
      </c>
      <c r="L87" s="213">
        <f t="shared" si="7"/>
        <v>412.7375</v>
      </c>
      <c r="M87" s="210">
        <f t="shared" si="8"/>
        <v>-0.02543478261</v>
      </c>
      <c r="N87" s="213">
        <f t="shared" si="9"/>
        <v>174.654</v>
      </c>
      <c r="O87" s="210">
        <f t="shared" si="10"/>
        <v>-0.01248695652</v>
      </c>
      <c r="P87" s="210">
        <f t="shared" si="11"/>
        <v>-0.01294782609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217">
        <f>IFERROR(__xludf.DUMMYFUNCTION("""COMPUTED_VALUE"""),46255.64583333333)</f>
        <v>46255.64583</v>
      </c>
      <c r="C88" s="193">
        <f>IFERROR(__xludf.DUMMYFUNCTION("""COMPUTED_VALUE"""),405.2)</f>
        <v>405.2</v>
      </c>
      <c r="D88" s="9"/>
      <c r="E88" s="217">
        <f>IFERROR(__xludf.DUMMYFUNCTION("""COMPUTED_VALUE"""),46255.64583333333)</f>
        <v>46255.64583</v>
      </c>
      <c r="F88" s="193">
        <f>IFERROR(__xludf.DUMMYFUNCTION("""COMPUTED_VALUE"""),172.0)</f>
        <v>172</v>
      </c>
      <c r="G88" s="9"/>
      <c r="H88" s="199">
        <f t="shared" si="3"/>
        <v>2.355813953</v>
      </c>
      <c r="I88" s="193">
        <f t="shared" si="4"/>
        <v>233.2</v>
      </c>
      <c r="J88" s="213">
        <f t="shared" si="5"/>
        <v>-1.158142096</v>
      </c>
      <c r="K88" s="199">
        <f t="shared" si="6"/>
        <v>2.355813953</v>
      </c>
      <c r="L88" s="213">
        <f t="shared" si="7"/>
        <v>411.6275</v>
      </c>
      <c r="M88" s="210">
        <f t="shared" si="8"/>
        <v>-0.01586253702</v>
      </c>
      <c r="N88" s="213">
        <f t="shared" si="9"/>
        <v>174.753</v>
      </c>
      <c r="O88" s="210">
        <f t="shared" si="10"/>
        <v>-0.01600581395</v>
      </c>
      <c r="P88" s="210">
        <f t="shared" si="11"/>
        <v>0.0001432769347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217">
        <f>IFERROR(__xludf.DUMMYFUNCTION("""COMPUTED_VALUE"""),46258.64583333333)</f>
        <v>46258.64583</v>
      </c>
      <c r="C89" s="193">
        <f>IFERROR(__xludf.DUMMYFUNCTION("""COMPUTED_VALUE"""),406.9)</f>
        <v>406.9</v>
      </c>
      <c r="D89" s="9"/>
      <c r="E89" s="217">
        <f>IFERROR(__xludf.DUMMYFUNCTION("""COMPUTED_VALUE"""),46258.64583333333)</f>
        <v>46258.64583</v>
      </c>
      <c r="F89" s="193">
        <f>IFERROR(__xludf.DUMMYFUNCTION("""COMPUTED_VALUE"""),173.75)</f>
        <v>173.75</v>
      </c>
      <c r="G89" s="9"/>
      <c r="H89" s="199">
        <f t="shared" si="3"/>
        <v>2.341870504</v>
      </c>
      <c r="I89" s="193">
        <f t="shared" si="4"/>
        <v>233.15</v>
      </c>
      <c r="J89" s="213">
        <f t="shared" si="5"/>
        <v>-1.160115859</v>
      </c>
      <c r="K89" s="199">
        <f t="shared" si="6"/>
        <v>2.341870504</v>
      </c>
      <c r="L89" s="213">
        <f t="shared" si="7"/>
        <v>410.5975</v>
      </c>
      <c r="M89" s="210">
        <f t="shared" si="8"/>
        <v>-0.009086999263</v>
      </c>
      <c r="N89" s="213">
        <f t="shared" si="9"/>
        <v>174.729</v>
      </c>
      <c r="O89" s="210">
        <f t="shared" si="10"/>
        <v>-0.005634532374</v>
      </c>
      <c r="P89" s="210">
        <f t="shared" si="11"/>
        <v>-0.003452466889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217">
        <f>IFERROR(__xludf.DUMMYFUNCTION("""COMPUTED_VALUE"""),46259.64583333333)</f>
        <v>46259.64583</v>
      </c>
      <c r="C90" s="193">
        <f>IFERROR(__xludf.DUMMYFUNCTION("""COMPUTED_VALUE"""),404.0)</f>
        <v>404</v>
      </c>
      <c r="D90" s="209"/>
      <c r="E90" s="217">
        <f>IFERROR(__xludf.DUMMYFUNCTION("""COMPUTED_VALUE"""),46259.64583333333)</f>
        <v>46259.64583</v>
      </c>
      <c r="F90" s="193">
        <f>IFERROR(__xludf.DUMMYFUNCTION("""COMPUTED_VALUE"""),175.5)</f>
        <v>175.5</v>
      </c>
      <c r="G90" s="9"/>
      <c r="H90" s="199">
        <f t="shared" si="3"/>
        <v>2.301994302</v>
      </c>
      <c r="I90" s="193">
        <f t="shared" si="4"/>
        <v>228.5</v>
      </c>
      <c r="J90" s="213">
        <f t="shared" si="5"/>
        <v>-1.343675835</v>
      </c>
      <c r="K90" s="199">
        <f t="shared" si="6"/>
        <v>2.301994302</v>
      </c>
      <c r="L90" s="213">
        <f t="shared" si="7"/>
        <v>410.29</v>
      </c>
      <c r="M90" s="210">
        <f t="shared" si="8"/>
        <v>-0.01556930693</v>
      </c>
      <c r="N90" s="213">
        <f t="shared" si="9"/>
        <v>174.7465</v>
      </c>
      <c r="O90" s="210">
        <f t="shared" si="10"/>
        <v>0.004293447293</v>
      </c>
      <c r="P90" s="210">
        <f t="shared" si="11"/>
        <v>-0.01986275422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217">
        <f>IFERROR(__xludf.DUMMYFUNCTION("""COMPUTED_VALUE"""),46260.64583333333)</f>
        <v>46260.64583</v>
      </c>
      <c r="C91" s="193">
        <f>IFERROR(__xludf.DUMMYFUNCTION("""COMPUTED_VALUE"""),403.5)</f>
        <v>403.5</v>
      </c>
      <c r="D91" s="9"/>
      <c r="E91" s="217">
        <f>IFERROR(__xludf.DUMMYFUNCTION("""COMPUTED_VALUE"""),46260.64583333333)</f>
        <v>46260.64583</v>
      </c>
      <c r="F91" s="193">
        <f>IFERROR(__xludf.DUMMYFUNCTION("""COMPUTED_VALUE"""),174.49)</f>
        <v>174.49</v>
      </c>
      <c r="G91" s="9"/>
      <c r="H91" s="199">
        <f t="shared" si="3"/>
        <v>2.312453436</v>
      </c>
      <c r="I91" s="193">
        <f t="shared" si="4"/>
        <v>229.01</v>
      </c>
      <c r="J91" s="213">
        <f t="shared" si="5"/>
        <v>-1.323543451</v>
      </c>
      <c r="K91" s="199">
        <f t="shared" si="6"/>
        <v>2.312453436</v>
      </c>
      <c r="L91" s="213">
        <f t="shared" si="7"/>
        <v>409.9625</v>
      </c>
      <c r="M91" s="210">
        <f t="shared" si="8"/>
        <v>-0.01601610905</v>
      </c>
      <c r="N91" s="213">
        <f t="shared" si="9"/>
        <v>174.715</v>
      </c>
      <c r="O91" s="210">
        <f t="shared" si="10"/>
        <v>-0.001289472176</v>
      </c>
      <c r="P91" s="210">
        <f t="shared" si="11"/>
        <v>-0.01472663687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217">
        <f>IFERROR(__xludf.DUMMYFUNCTION("""COMPUTED_VALUE"""),46261.64583333333)</f>
        <v>46261.64583</v>
      </c>
      <c r="C92" s="193">
        <f>IFERROR(__xludf.DUMMYFUNCTION("""COMPUTED_VALUE"""),400.0)</f>
        <v>400</v>
      </c>
      <c r="D92" s="9"/>
      <c r="E92" s="217">
        <f>IFERROR(__xludf.DUMMYFUNCTION("""COMPUTED_VALUE"""),46261.64583333333)</f>
        <v>46261.64583</v>
      </c>
      <c r="F92" s="193">
        <f>IFERROR(__xludf.DUMMYFUNCTION("""COMPUTED_VALUE"""),172.44)</f>
        <v>172.44</v>
      </c>
      <c r="G92" s="9"/>
      <c r="H92" s="199">
        <f t="shared" si="3"/>
        <v>2.319647414</v>
      </c>
      <c r="I92" s="193">
        <f t="shared" si="4"/>
        <v>227.56</v>
      </c>
      <c r="J92" s="213">
        <f t="shared" si="5"/>
        <v>-1.380782583</v>
      </c>
      <c r="K92" s="199">
        <f t="shared" si="6"/>
        <v>2.319647414</v>
      </c>
      <c r="L92" s="213">
        <f t="shared" si="7"/>
        <v>409.1025</v>
      </c>
      <c r="M92" s="210">
        <f t="shared" si="8"/>
        <v>-0.02275625</v>
      </c>
      <c r="N92" s="213">
        <f t="shared" si="9"/>
        <v>174.655</v>
      </c>
      <c r="O92" s="210">
        <f t="shared" si="10"/>
        <v>-0.01284504755</v>
      </c>
      <c r="P92" s="210">
        <f t="shared" si="11"/>
        <v>-0.009911202447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217">
        <f>IFERROR(__xludf.DUMMYFUNCTION("""COMPUTED_VALUE"""),46262.64583333333)</f>
        <v>46262.64583</v>
      </c>
      <c r="C93" s="193">
        <f>IFERROR(__xludf.DUMMYFUNCTION("""COMPUTED_VALUE"""),401.0)</f>
        <v>401</v>
      </c>
      <c r="D93" s="9"/>
      <c r="E93" s="217">
        <f>IFERROR(__xludf.DUMMYFUNCTION("""COMPUTED_VALUE"""),46262.64583333333)</f>
        <v>46262.64583</v>
      </c>
      <c r="F93" s="193">
        <f>IFERROR(__xludf.DUMMYFUNCTION("""COMPUTED_VALUE"""),171.1)</f>
        <v>171.1</v>
      </c>
      <c r="G93" s="9"/>
      <c r="H93" s="199">
        <f t="shared" si="3"/>
        <v>2.343658679</v>
      </c>
      <c r="I93" s="193">
        <f t="shared" si="4"/>
        <v>229.9</v>
      </c>
      <c r="J93" s="213">
        <f t="shared" si="5"/>
        <v>-1.288410466</v>
      </c>
      <c r="K93" s="199">
        <f t="shared" si="6"/>
        <v>2.343658679</v>
      </c>
      <c r="L93" s="213">
        <f t="shared" si="7"/>
        <v>408.445</v>
      </c>
      <c r="M93" s="210">
        <f t="shared" si="8"/>
        <v>-0.01856608479</v>
      </c>
      <c r="N93" s="213">
        <f t="shared" si="9"/>
        <v>174.138</v>
      </c>
      <c r="O93" s="210">
        <f t="shared" si="10"/>
        <v>-0.01775569842</v>
      </c>
      <c r="P93" s="210">
        <f t="shared" si="11"/>
        <v>-0.0008103863661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217">
        <f>IFERROR(__xludf.DUMMYFUNCTION("""COMPUTED_VALUE"""),46265.64583333333)</f>
        <v>46265.64583</v>
      </c>
      <c r="C94" s="193">
        <f>IFERROR(__xludf.DUMMYFUNCTION("""COMPUTED_VALUE"""),401.75)</f>
        <v>401.75</v>
      </c>
      <c r="D94" s="9"/>
      <c r="E94" s="217">
        <f>IFERROR(__xludf.DUMMYFUNCTION("""COMPUTED_VALUE"""),46265.64583333333)</f>
        <v>46265.64583</v>
      </c>
      <c r="F94" s="193">
        <f>IFERROR(__xludf.DUMMYFUNCTION("""COMPUTED_VALUE"""),177.5)</f>
        <v>177.5</v>
      </c>
      <c r="G94" s="9"/>
      <c r="H94" s="199">
        <f t="shared" si="3"/>
        <v>2.263380282</v>
      </c>
      <c r="I94" s="193">
        <f t="shared" si="4"/>
        <v>224.25</v>
      </c>
      <c r="J94" s="213">
        <f t="shared" si="5"/>
        <v>-1.511445705</v>
      </c>
      <c r="K94" s="199">
        <f t="shared" si="6"/>
        <v>2.263380282</v>
      </c>
      <c r="L94" s="213">
        <f t="shared" si="7"/>
        <v>407.7325</v>
      </c>
      <c r="M94" s="210">
        <f t="shared" si="8"/>
        <v>-0.01489110143</v>
      </c>
      <c r="N94" s="213">
        <f t="shared" si="9"/>
        <v>174.298</v>
      </c>
      <c r="O94" s="210">
        <f t="shared" si="10"/>
        <v>0.01803943662</v>
      </c>
      <c r="P94" s="210">
        <f t="shared" si="11"/>
        <v>-0.03293053805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217">
        <f>IFERROR(__xludf.DUMMYFUNCTION("""COMPUTED_VALUE"""),46266.64583333333)</f>
        <v>46266.64583</v>
      </c>
      <c r="C95" s="193">
        <f>IFERROR(__xludf.DUMMYFUNCTION("""COMPUTED_VALUE"""),401.6)</f>
        <v>401.6</v>
      </c>
      <c r="D95" s="9"/>
      <c r="E95" s="217">
        <f>IFERROR(__xludf.DUMMYFUNCTION("""COMPUTED_VALUE"""),46266.64583333333)</f>
        <v>46266.64583</v>
      </c>
      <c r="F95" s="193">
        <f>IFERROR(__xludf.DUMMYFUNCTION("""COMPUTED_VALUE"""),172.69)</f>
        <v>172.69</v>
      </c>
      <c r="G95" s="9"/>
      <c r="H95" s="199">
        <f t="shared" si="3"/>
        <v>2.325554462</v>
      </c>
      <c r="I95" s="193">
        <f t="shared" si="4"/>
        <v>228.91</v>
      </c>
      <c r="J95" s="213">
        <f t="shared" si="5"/>
        <v>-1.327490977</v>
      </c>
      <c r="K95" s="199">
        <f t="shared" si="6"/>
        <v>2.325554462</v>
      </c>
      <c r="L95" s="213">
        <f t="shared" si="7"/>
        <v>406.9325</v>
      </c>
      <c r="M95" s="210">
        <f t="shared" si="8"/>
        <v>-0.01327813745</v>
      </c>
      <c r="N95" s="213">
        <f t="shared" si="9"/>
        <v>174.1825</v>
      </c>
      <c r="O95" s="210">
        <f t="shared" si="10"/>
        <v>-0.008642654468</v>
      </c>
      <c r="P95" s="210">
        <f t="shared" si="11"/>
        <v>-0.004635482983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217">
        <f>IFERROR(__xludf.DUMMYFUNCTION("""COMPUTED_VALUE"""),46267.64583333333)</f>
        <v>46267.64583</v>
      </c>
      <c r="C96" s="193">
        <f>IFERROR(__xludf.DUMMYFUNCTION("""COMPUTED_VALUE"""),417.85)</f>
        <v>417.85</v>
      </c>
      <c r="D96" s="9"/>
      <c r="E96" s="217">
        <f>IFERROR(__xludf.DUMMYFUNCTION("""COMPUTED_VALUE"""),46267.64583333333)</f>
        <v>46267.64583</v>
      </c>
      <c r="F96" s="193">
        <f>IFERROR(__xludf.DUMMYFUNCTION("""COMPUTED_VALUE"""),173.0)</f>
        <v>173</v>
      </c>
      <c r="G96" s="9"/>
      <c r="H96" s="199">
        <f t="shared" si="3"/>
        <v>2.415317919</v>
      </c>
      <c r="I96" s="193">
        <f t="shared" si="4"/>
        <v>244.85</v>
      </c>
      <c r="J96" s="213">
        <f t="shared" si="5"/>
        <v>-0.6982552757</v>
      </c>
      <c r="K96" s="199">
        <f t="shared" si="6"/>
        <v>2.415317919</v>
      </c>
      <c r="L96" s="213">
        <f t="shared" si="7"/>
        <v>407.05</v>
      </c>
      <c r="M96" s="210">
        <f t="shared" si="8"/>
        <v>0.02584659567</v>
      </c>
      <c r="N96" s="213">
        <f t="shared" si="9"/>
        <v>173.9845</v>
      </c>
      <c r="O96" s="210">
        <f t="shared" si="10"/>
        <v>-0.005690751445</v>
      </c>
      <c r="P96" s="210">
        <f t="shared" si="11"/>
        <v>0.03153734711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217">
        <f>IFERROR(__xludf.DUMMYFUNCTION("""COMPUTED_VALUE"""),46268.64583333333)</f>
        <v>46268.64583</v>
      </c>
      <c r="C97" s="193">
        <f>IFERROR(__xludf.DUMMYFUNCTION("""COMPUTED_VALUE"""),420.05)</f>
        <v>420.05</v>
      </c>
      <c r="D97" s="9"/>
      <c r="E97" s="217">
        <f>IFERROR(__xludf.DUMMYFUNCTION("""COMPUTED_VALUE"""),46268.64583333333)</f>
        <v>46268.64583</v>
      </c>
      <c r="F97" s="193">
        <f>IFERROR(__xludf.DUMMYFUNCTION("""COMPUTED_VALUE"""),174.67)</f>
        <v>174.67</v>
      </c>
      <c r="G97" s="9"/>
      <c r="H97" s="199">
        <f t="shared" si="3"/>
        <v>2.404820519</v>
      </c>
      <c r="I97" s="193">
        <f t="shared" si="4"/>
        <v>245.38</v>
      </c>
      <c r="J97" s="213">
        <f t="shared" si="5"/>
        <v>-0.677333386</v>
      </c>
      <c r="K97" s="199">
        <f t="shared" si="6"/>
        <v>2.404820519</v>
      </c>
      <c r="L97" s="213">
        <f t="shared" si="7"/>
        <v>407.2725</v>
      </c>
      <c r="M97" s="210">
        <f t="shared" si="8"/>
        <v>0.03041899774</v>
      </c>
      <c r="N97" s="213">
        <f t="shared" si="9"/>
        <v>173.898</v>
      </c>
      <c r="O97" s="210">
        <f t="shared" si="10"/>
        <v>0.004419762982</v>
      </c>
      <c r="P97" s="210">
        <f t="shared" si="11"/>
        <v>0.02599923476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217">
        <f>IFERROR(__xludf.DUMMYFUNCTION("""COMPUTED_VALUE"""),46269.64583333333)</f>
        <v>46269.64583</v>
      </c>
      <c r="C98" s="193">
        <f>IFERROR(__xludf.DUMMYFUNCTION("""COMPUTED_VALUE"""),415.35)</f>
        <v>415.35</v>
      </c>
      <c r="D98" s="9"/>
      <c r="E98" s="217">
        <f>IFERROR(__xludf.DUMMYFUNCTION("""COMPUTED_VALUE"""),46269.64583333333)</f>
        <v>46269.64583</v>
      </c>
      <c r="F98" s="193">
        <f>IFERROR(__xludf.DUMMYFUNCTION("""COMPUTED_VALUE"""),173.4)</f>
        <v>173.4</v>
      </c>
      <c r="G98" s="9"/>
      <c r="H98" s="199">
        <f t="shared" si="3"/>
        <v>2.39532872</v>
      </c>
      <c r="I98" s="193">
        <f t="shared" si="4"/>
        <v>241.95</v>
      </c>
      <c r="J98" s="213">
        <f t="shared" si="5"/>
        <v>-0.81273354</v>
      </c>
      <c r="K98" s="199">
        <f t="shared" si="6"/>
        <v>2.39532872</v>
      </c>
      <c r="L98" s="213">
        <f t="shared" si="7"/>
        <v>407.2775</v>
      </c>
      <c r="M98" s="210">
        <f t="shared" si="8"/>
        <v>0.01943541591</v>
      </c>
      <c r="N98" s="213">
        <f t="shared" si="9"/>
        <v>173.8865</v>
      </c>
      <c r="O98" s="210">
        <f t="shared" si="10"/>
        <v>-0.002805651672</v>
      </c>
      <c r="P98" s="210">
        <f t="shared" si="11"/>
        <v>0.02224106759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217">
        <f>IFERROR(__xludf.DUMMYFUNCTION("""COMPUTED_VALUE"""),46272.64583333333)</f>
        <v>46272.64583</v>
      </c>
      <c r="C99" s="193">
        <f>IFERROR(__xludf.DUMMYFUNCTION("""COMPUTED_VALUE"""),418.85)</f>
        <v>418.85</v>
      </c>
      <c r="D99" s="9"/>
      <c r="E99" s="217">
        <f>IFERROR(__xludf.DUMMYFUNCTION("""COMPUTED_VALUE"""),46272.64583333333)</f>
        <v>46272.64583</v>
      </c>
      <c r="F99" s="193">
        <f>IFERROR(__xludf.DUMMYFUNCTION("""COMPUTED_VALUE"""),176.0)</f>
        <v>176</v>
      </c>
      <c r="G99" s="9"/>
      <c r="H99" s="199">
        <f t="shared" si="3"/>
        <v>2.379829545</v>
      </c>
      <c r="I99" s="193">
        <f t="shared" si="4"/>
        <v>242.85</v>
      </c>
      <c r="J99" s="213">
        <f t="shared" si="5"/>
        <v>-0.7772058028</v>
      </c>
      <c r="K99" s="199">
        <f t="shared" si="6"/>
        <v>2.379829545</v>
      </c>
      <c r="L99" s="213">
        <f t="shared" si="7"/>
        <v>407.67</v>
      </c>
      <c r="M99" s="210">
        <f t="shared" si="8"/>
        <v>0.02669213322</v>
      </c>
      <c r="N99" s="213">
        <f t="shared" si="9"/>
        <v>174.0615</v>
      </c>
      <c r="O99" s="210">
        <f t="shared" si="10"/>
        <v>0.01101420455</v>
      </c>
      <c r="P99" s="210">
        <f t="shared" si="11"/>
        <v>0.01567792868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217">
        <f>IFERROR(__xludf.DUMMYFUNCTION("""COMPUTED_VALUE"""),46273.64583333333)</f>
        <v>46273.64583</v>
      </c>
      <c r="C100" s="193">
        <f>IFERROR(__xludf.DUMMYFUNCTION("""COMPUTED_VALUE"""),420.25)</f>
        <v>420.25</v>
      </c>
      <c r="D100" s="9"/>
      <c r="E100" s="217">
        <f>IFERROR(__xludf.DUMMYFUNCTION("""COMPUTED_VALUE"""),46273.64583333333)</f>
        <v>46273.64583</v>
      </c>
      <c r="F100" s="193">
        <f>IFERROR(__xludf.DUMMYFUNCTION("""COMPUTED_VALUE"""),175.09)</f>
        <v>175.09</v>
      </c>
      <c r="G100" s="9"/>
      <c r="H100" s="199">
        <f t="shared" si="3"/>
        <v>2.400194186</v>
      </c>
      <c r="I100" s="193">
        <f t="shared" si="4"/>
        <v>245.16</v>
      </c>
      <c r="J100" s="213">
        <f t="shared" si="5"/>
        <v>-0.6860179439</v>
      </c>
      <c r="K100" s="199">
        <f t="shared" si="6"/>
        <v>2.400194186</v>
      </c>
      <c r="L100" s="213">
        <f t="shared" si="7"/>
        <v>408.0525</v>
      </c>
      <c r="M100" s="210">
        <f t="shared" si="8"/>
        <v>0.02902439024</v>
      </c>
      <c r="N100" s="213">
        <f t="shared" si="9"/>
        <v>174.049</v>
      </c>
      <c r="O100" s="210">
        <f t="shared" si="10"/>
        <v>0.005945513736</v>
      </c>
      <c r="P100" s="210">
        <f t="shared" si="11"/>
        <v>0.02307887651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217">
        <f>IFERROR(__xludf.DUMMYFUNCTION("""COMPUTED_VALUE"""),46274.64583333333)</f>
        <v>46274.64583</v>
      </c>
      <c r="C101" s="193">
        <f>IFERROR(__xludf.DUMMYFUNCTION("""COMPUTED_VALUE"""),431.0)</f>
        <v>431</v>
      </c>
      <c r="D101" s="9"/>
      <c r="E101" s="217">
        <f>IFERROR(__xludf.DUMMYFUNCTION("""COMPUTED_VALUE"""),46274.64583333333)</f>
        <v>46274.64583</v>
      </c>
      <c r="F101" s="193">
        <f>IFERROR(__xludf.DUMMYFUNCTION("""COMPUTED_VALUE"""),174.9)</f>
        <v>174.9</v>
      </c>
      <c r="G101" s="191"/>
      <c r="H101" s="199">
        <f t="shared" si="3"/>
        <v>2.464265294</v>
      </c>
      <c r="I101" s="193">
        <f t="shared" si="4"/>
        <v>256.1</v>
      </c>
      <c r="J101" s="213">
        <f t="shared" si="5"/>
        <v>-0.2541585604</v>
      </c>
      <c r="K101" s="199">
        <f t="shared" si="6"/>
        <v>2.464265294</v>
      </c>
      <c r="L101" s="213">
        <f t="shared" si="7"/>
        <v>409.1375</v>
      </c>
      <c r="M101" s="210">
        <f t="shared" si="8"/>
        <v>0.050725058</v>
      </c>
      <c r="N101" s="213">
        <f t="shared" si="9"/>
        <v>173.8965</v>
      </c>
      <c r="O101" s="210">
        <f t="shared" si="10"/>
        <v>0.005737564322</v>
      </c>
      <c r="P101" s="210">
        <f t="shared" si="11"/>
        <v>0.04498749368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217">
        <f>IFERROR(__xludf.DUMMYFUNCTION("""COMPUTED_VALUE"""),46275.64583333333)</f>
        <v>46275.64583</v>
      </c>
      <c r="C102" s="193">
        <f>IFERROR(__xludf.DUMMYFUNCTION("""COMPUTED_VALUE"""),432.0)</f>
        <v>432</v>
      </c>
      <c r="D102" s="9"/>
      <c r="E102" s="217">
        <f>IFERROR(__xludf.DUMMYFUNCTION("""COMPUTED_VALUE"""),46275.64583333333)</f>
        <v>46275.64583</v>
      </c>
      <c r="F102" s="193">
        <f>IFERROR(__xludf.DUMMYFUNCTION("""COMPUTED_VALUE"""),174.49)</f>
        <v>174.49</v>
      </c>
      <c r="G102" s="191"/>
      <c r="H102" s="199">
        <f t="shared" si="3"/>
        <v>2.475786578</v>
      </c>
      <c r="I102" s="193">
        <f t="shared" si="4"/>
        <v>257.51</v>
      </c>
      <c r="J102" s="213">
        <f t="shared" si="5"/>
        <v>-0.1984984388</v>
      </c>
      <c r="K102" s="199">
        <f t="shared" si="6"/>
        <v>2.475786578</v>
      </c>
      <c r="L102" s="213">
        <f t="shared" si="7"/>
        <v>410.2125</v>
      </c>
      <c r="M102" s="210">
        <f t="shared" si="8"/>
        <v>0.05043402778</v>
      </c>
      <c r="N102" s="213">
        <f t="shared" si="9"/>
        <v>173.826</v>
      </c>
      <c r="O102" s="210">
        <f t="shared" si="10"/>
        <v>0.003805375666</v>
      </c>
      <c r="P102" s="210">
        <f t="shared" si="11"/>
        <v>0.04662865211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217">
        <f>IFERROR(__xludf.DUMMYFUNCTION("""COMPUTED_VALUE"""),46276.64583333333)</f>
        <v>46276.64583</v>
      </c>
      <c r="C103" s="193">
        <f>IFERROR(__xludf.DUMMYFUNCTION("""COMPUTED_VALUE"""),426.4)</f>
        <v>426.4</v>
      </c>
      <c r="D103" s="9"/>
      <c r="E103" s="217">
        <f>IFERROR(__xludf.DUMMYFUNCTION("""COMPUTED_VALUE"""),46276.64583333333)</f>
        <v>46276.64583</v>
      </c>
      <c r="F103" s="193">
        <f>IFERROR(__xludf.DUMMYFUNCTION("""COMPUTED_VALUE"""),173.62)</f>
        <v>173.62</v>
      </c>
      <c r="G103" s="191"/>
      <c r="H103" s="199">
        <f t="shared" si="3"/>
        <v>2.455938256</v>
      </c>
      <c r="I103" s="193">
        <f t="shared" si="4"/>
        <v>252.78</v>
      </c>
      <c r="J103" s="213">
        <f t="shared" si="5"/>
        <v>-0.3852164355</v>
      </c>
      <c r="K103" s="199">
        <f t="shared" si="6"/>
        <v>2.455938256</v>
      </c>
      <c r="L103" s="213">
        <f t="shared" si="7"/>
        <v>411.1775</v>
      </c>
      <c r="M103" s="210">
        <f t="shared" si="8"/>
        <v>0.0357000469</v>
      </c>
      <c r="N103" s="213">
        <f t="shared" si="9"/>
        <v>173.762</v>
      </c>
      <c r="O103" s="210">
        <f t="shared" si="10"/>
        <v>-0.0008178781246</v>
      </c>
      <c r="P103" s="210">
        <f t="shared" si="11"/>
        <v>0.03651792503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217">
        <f>IFERROR(__xludf.DUMMYFUNCTION("""COMPUTED_VALUE"""),46280.64583333333)</f>
        <v>46280.64583</v>
      </c>
      <c r="C104" s="193">
        <f>IFERROR(__xludf.DUMMYFUNCTION("""COMPUTED_VALUE"""),419.25)</f>
        <v>419.25</v>
      </c>
      <c r="D104" s="9"/>
      <c r="E104" s="217">
        <f>IFERROR(__xludf.DUMMYFUNCTION("""COMPUTED_VALUE"""),46280.64583333333)</f>
        <v>46280.64583</v>
      </c>
      <c r="F104" s="193">
        <f>IFERROR(__xludf.DUMMYFUNCTION("""COMPUTED_VALUE"""),170.88)</f>
        <v>170.88</v>
      </c>
      <c r="G104" s="191"/>
      <c r="H104" s="199">
        <f t="shared" si="3"/>
        <v>2.453476124</v>
      </c>
      <c r="I104" s="193">
        <f t="shared" si="4"/>
        <v>248.37</v>
      </c>
      <c r="J104" s="213">
        <f t="shared" si="5"/>
        <v>-0.5593023479</v>
      </c>
      <c r="K104" s="199">
        <f t="shared" si="6"/>
        <v>2.453476124</v>
      </c>
      <c r="L104" s="213">
        <f t="shared" si="7"/>
        <v>411.7175</v>
      </c>
      <c r="M104" s="210">
        <f t="shared" si="8"/>
        <v>0.01796660704</v>
      </c>
      <c r="N104" s="213">
        <f t="shared" si="9"/>
        <v>173.701</v>
      </c>
      <c r="O104" s="210">
        <f t="shared" si="10"/>
        <v>-0.01650866105</v>
      </c>
      <c r="P104" s="210">
        <f t="shared" si="11"/>
        <v>0.03447526809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217">
        <f>IFERROR(__xludf.DUMMYFUNCTION("""COMPUTED_VALUE"""),46281.64583333333)</f>
        <v>46281.64583</v>
      </c>
      <c r="C105" s="193">
        <f>IFERROR(__xludf.DUMMYFUNCTION("""COMPUTED_VALUE"""),422.25)</f>
        <v>422.25</v>
      </c>
      <c r="D105" s="9"/>
      <c r="E105" s="217">
        <f>IFERROR(__xludf.DUMMYFUNCTION("""COMPUTED_VALUE"""),46281.64583333333)</f>
        <v>46281.64583</v>
      </c>
      <c r="F105" s="193">
        <f>IFERROR(__xludf.DUMMYFUNCTION("""COMPUTED_VALUE"""),170.65)</f>
        <v>170.65</v>
      </c>
      <c r="G105" s="191"/>
      <c r="H105" s="199">
        <f t="shared" si="3"/>
        <v>2.474362731</v>
      </c>
      <c r="I105" s="193">
        <f t="shared" si="4"/>
        <v>251.6</v>
      </c>
      <c r="J105" s="213">
        <f t="shared" si="5"/>
        <v>-0.4317972465</v>
      </c>
      <c r="K105" s="199">
        <f t="shared" si="6"/>
        <v>2.474362731</v>
      </c>
      <c r="L105" s="213">
        <f t="shared" si="7"/>
        <v>412.485</v>
      </c>
      <c r="M105" s="210">
        <f t="shared" si="8"/>
        <v>0.02312611012</v>
      </c>
      <c r="N105" s="213">
        <f t="shared" si="9"/>
        <v>173.5585</v>
      </c>
      <c r="O105" s="210">
        <f t="shared" si="10"/>
        <v>-0.01704365661</v>
      </c>
      <c r="P105" s="210">
        <f t="shared" si="11"/>
        <v>0.04016976673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217">
        <f>IFERROR(__xludf.DUMMYFUNCTION("""COMPUTED_VALUE"""),46282.64583333333)</f>
        <v>46282.64583</v>
      </c>
      <c r="C106" s="193">
        <f>IFERROR(__xludf.DUMMYFUNCTION("""COMPUTED_VALUE"""),418.0)</f>
        <v>418</v>
      </c>
      <c r="D106" s="9"/>
      <c r="E106" s="217">
        <f>IFERROR(__xludf.DUMMYFUNCTION("""COMPUTED_VALUE"""),46282.64583333333)</f>
        <v>46282.64583</v>
      </c>
      <c r="F106" s="193">
        <f>IFERROR(__xludf.DUMMYFUNCTION("""COMPUTED_VALUE"""),172.0)</f>
        <v>172</v>
      </c>
      <c r="G106" s="191"/>
      <c r="H106" s="199">
        <f t="shared" si="3"/>
        <v>2.430232558</v>
      </c>
      <c r="I106" s="193">
        <f t="shared" si="4"/>
        <v>246</v>
      </c>
      <c r="J106" s="213">
        <f t="shared" si="5"/>
        <v>-0.6528587225</v>
      </c>
      <c r="K106" s="199">
        <f t="shared" si="6"/>
        <v>2.430232558</v>
      </c>
      <c r="L106" s="213">
        <f t="shared" si="7"/>
        <v>413.385</v>
      </c>
      <c r="M106" s="210">
        <f t="shared" si="8"/>
        <v>0.01104066986</v>
      </c>
      <c r="N106" s="213">
        <f t="shared" si="9"/>
        <v>173.5335</v>
      </c>
      <c r="O106" s="210">
        <f t="shared" si="10"/>
        <v>-0.008915697674</v>
      </c>
      <c r="P106" s="210">
        <f t="shared" si="11"/>
        <v>0.01995636753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217">
        <f>IFERROR(__xludf.DUMMYFUNCTION("""COMPUTED_VALUE"""),46283.64583333333)</f>
        <v>46283.64583</v>
      </c>
      <c r="C107" s="193">
        <f>IFERROR(__xludf.DUMMYFUNCTION("""COMPUTED_VALUE"""),409.9)</f>
        <v>409.9</v>
      </c>
      <c r="D107" s="9"/>
      <c r="E107" s="217">
        <f>IFERROR(__xludf.DUMMYFUNCTION("""COMPUTED_VALUE"""),46283.64583333333)</f>
        <v>46283.64583</v>
      </c>
      <c r="F107" s="193">
        <f>IFERROR(__xludf.DUMMYFUNCTION("""COMPUTED_VALUE"""),173.9)</f>
        <v>173.9</v>
      </c>
      <c r="G107" s="191"/>
      <c r="H107" s="199">
        <f t="shared" si="3"/>
        <v>2.357101783</v>
      </c>
      <c r="I107" s="193">
        <f t="shared" si="4"/>
        <v>236</v>
      </c>
      <c r="J107" s="213">
        <f t="shared" si="5"/>
        <v>-1.047611358</v>
      </c>
      <c r="K107" s="199">
        <f t="shared" si="6"/>
        <v>2.357101783</v>
      </c>
      <c r="L107" s="213">
        <f t="shared" si="7"/>
        <v>413.755</v>
      </c>
      <c r="M107" s="210">
        <f t="shared" si="8"/>
        <v>-0.009404732862</v>
      </c>
      <c r="N107" s="213">
        <f t="shared" si="9"/>
        <v>173.6035</v>
      </c>
      <c r="O107" s="210">
        <f t="shared" si="10"/>
        <v>0.001705002875</v>
      </c>
      <c r="P107" s="210">
        <f t="shared" si="11"/>
        <v>-0.01110973574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217">
        <f>IFERROR(__xludf.DUMMYFUNCTION("""COMPUTED_VALUE"""),46286.64583333333)</f>
        <v>46286.64583</v>
      </c>
      <c r="C108" s="193">
        <f>IFERROR(__xludf.DUMMYFUNCTION("""COMPUTED_VALUE"""),414.7)</f>
        <v>414.7</v>
      </c>
      <c r="D108" s="9"/>
      <c r="E108" s="217">
        <f>IFERROR(__xludf.DUMMYFUNCTION("""COMPUTED_VALUE"""),46286.64583333333)</f>
        <v>46286.64583</v>
      </c>
      <c r="F108" s="193">
        <f>IFERROR(__xludf.DUMMYFUNCTION("""COMPUTED_VALUE"""),172.61)</f>
        <v>172.61</v>
      </c>
      <c r="G108" s="191"/>
      <c r="H108" s="199">
        <f t="shared" si="3"/>
        <v>2.402525925</v>
      </c>
      <c r="I108" s="193">
        <f t="shared" si="4"/>
        <v>242.09</v>
      </c>
      <c r="J108" s="213">
        <f t="shared" si="5"/>
        <v>-0.8072070031</v>
      </c>
      <c r="K108" s="199">
        <f t="shared" si="6"/>
        <v>2.402525925</v>
      </c>
      <c r="L108" s="213">
        <f t="shared" si="7"/>
        <v>414.23</v>
      </c>
      <c r="M108" s="210">
        <f t="shared" si="8"/>
        <v>0.001133349409</v>
      </c>
      <c r="N108" s="213">
        <f t="shared" si="9"/>
        <v>173.634</v>
      </c>
      <c r="O108" s="210">
        <f t="shared" si="10"/>
        <v>-0.005932448873</v>
      </c>
      <c r="P108" s="210">
        <f t="shared" si="11"/>
        <v>0.007065798282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217">
        <f>IFERROR(__xludf.DUMMYFUNCTION("""COMPUTED_VALUE"""),46287.64583333333)</f>
        <v>46287.64583</v>
      </c>
      <c r="C109" s="193">
        <f>IFERROR(__xludf.DUMMYFUNCTION("""COMPUTED_VALUE"""),428.0)</f>
        <v>428</v>
      </c>
      <c r="D109" s="9"/>
      <c r="E109" s="217">
        <f>IFERROR(__xludf.DUMMYFUNCTION("""COMPUTED_VALUE"""),46287.64583333333)</f>
        <v>46287.64583</v>
      </c>
      <c r="F109" s="193">
        <f>IFERROR(__xludf.DUMMYFUNCTION("""COMPUTED_VALUE"""),171.84)</f>
        <v>171.84</v>
      </c>
      <c r="G109" s="191"/>
      <c r="H109" s="199">
        <f t="shared" si="3"/>
        <v>2.490689013</v>
      </c>
      <c r="I109" s="193">
        <f t="shared" si="4"/>
        <v>256.16</v>
      </c>
      <c r="J109" s="213">
        <f t="shared" si="5"/>
        <v>-0.2517900446</v>
      </c>
      <c r="K109" s="199">
        <f t="shared" si="6"/>
        <v>2.490689013</v>
      </c>
      <c r="L109" s="213">
        <f t="shared" si="7"/>
        <v>415.285</v>
      </c>
      <c r="M109" s="210">
        <f t="shared" si="8"/>
        <v>0.02970794393</v>
      </c>
      <c r="N109" s="213">
        <f t="shared" si="9"/>
        <v>173.5385</v>
      </c>
      <c r="O109" s="210">
        <f t="shared" si="10"/>
        <v>-0.0098841946</v>
      </c>
      <c r="P109" s="210">
        <f t="shared" si="11"/>
        <v>0.03959213852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217">
        <f>IFERROR(__xludf.DUMMYFUNCTION("""COMPUTED_VALUE"""),46288.64583333333)</f>
        <v>46288.64583</v>
      </c>
      <c r="C110" s="193">
        <f>IFERROR(__xludf.DUMMYFUNCTION("""COMPUTED_VALUE"""),424.55)</f>
        <v>424.55</v>
      </c>
      <c r="D110" s="9"/>
      <c r="E110" s="217">
        <f>IFERROR(__xludf.DUMMYFUNCTION("""COMPUTED_VALUE"""),46288.64583333333)</f>
        <v>46288.64583</v>
      </c>
      <c r="F110" s="193">
        <f>IFERROR(__xludf.DUMMYFUNCTION("""COMPUTED_VALUE"""),172.95)</f>
        <v>172.95</v>
      </c>
      <c r="G110" s="191"/>
      <c r="H110" s="199">
        <f t="shared" si="3"/>
        <v>2.45475571</v>
      </c>
      <c r="I110" s="193">
        <f t="shared" si="4"/>
        <v>251.6</v>
      </c>
      <c r="J110" s="213">
        <f t="shared" si="5"/>
        <v>-0.4317972465</v>
      </c>
      <c r="K110" s="199">
        <f t="shared" si="6"/>
        <v>2.45475571</v>
      </c>
      <c r="L110" s="213">
        <f t="shared" si="7"/>
        <v>416.3125</v>
      </c>
      <c r="M110" s="210">
        <f t="shared" si="8"/>
        <v>0.01940289719</v>
      </c>
      <c r="N110" s="213">
        <f t="shared" si="9"/>
        <v>173.411</v>
      </c>
      <c r="O110" s="210">
        <f t="shared" si="10"/>
        <v>-0.002665510263</v>
      </c>
      <c r="P110" s="210">
        <f t="shared" si="11"/>
        <v>0.02206840745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217">
        <f>IFERROR(__xludf.DUMMYFUNCTION("""COMPUTED_VALUE"""),46289.64583333333)</f>
        <v>46289.64583</v>
      </c>
      <c r="C111" s="193">
        <f>IFERROR(__xludf.DUMMYFUNCTION("""COMPUTED_VALUE"""),422.0)</f>
        <v>422</v>
      </c>
      <c r="D111" s="9"/>
      <c r="E111" s="217">
        <f>IFERROR(__xludf.DUMMYFUNCTION("""COMPUTED_VALUE"""),46289.64583333333)</f>
        <v>46289.64583</v>
      </c>
      <c r="F111" s="193">
        <f>IFERROR(__xludf.DUMMYFUNCTION("""COMPUTED_VALUE"""),173.85)</f>
        <v>173.85</v>
      </c>
      <c r="G111" s="191"/>
      <c r="H111" s="199">
        <f t="shared" si="3"/>
        <v>2.427379925</v>
      </c>
      <c r="I111" s="193">
        <f t="shared" si="4"/>
        <v>248.15</v>
      </c>
      <c r="J111" s="213">
        <f t="shared" si="5"/>
        <v>-0.5679869059</v>
      </c>
      <c r="K111" s="199">
        <f t="shared" si="6"/>
        <v>2.427379925</v>
      </c>
      <c r="L111" s="213">
        <f t="shared" si="7"/>
        <v>417.2375</v>
      </c>
      <c r="M111" s="210">
        <f t="shared" si="8"/>
        <v>0.01128554502</v>
      </c>
      <c r="N111" s="213">
        <f t="shared" si="9"/>
        <v>173.379</v>
      </c>
      <c r="O111" s="210">
        <f t="shared" si="10"/>
        <v>0.002709232097</v>
      </c>
      <c r="P111" s="210">
        <f t="shared" si="11"/>
        <v>0.008576312927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217">
        <f>IFERROR(__xludf.DUMMYFUNCTION("""COMPUTED_VALUE"""),46290.64583333333)</f>
        <v>46290.64583</v>
      </c>
      <c r="C112" s="193">
        <f>IFERROR(__xludf.DUMMYFUNCTION("""COMPUTED_VALUE"""),426.1)</f>
        <v>426.1</v>
      </c>
      <c r="D112" s="9"/>
      <c r="E112" s="217">
        <f>IFERROR(__xludf.DUMMYFUNCTION("""COMPUTED_VALUE"""),46290.64583333333)</f>
        <v>46290.64583</v>
      </c>
      <c r="F112" s="193">
        <f>IFERROR(__xludf.DUMMYFUNCTION("""COMPUTED_VALUE"""),172.7)</f>
        <v>172.7</v>
      </c>
      <c r="G112" s="191"/>
      <c r="H112" s="199">
        <f t="shared" si="3"/>
        <v>2.467284308</v>
      </c>
      <c r="I112" s="193">
        <f t="shared" si="4"/>
        <v>253.4</v>
      </c>
      <c r="J112" s="213">
        <f t="shared" si="5"/>
        <v>-0.3607417721</v>
      </c>
      <c r="K112" s="199">
        <f t="shared" si="6"/>
        <v>2.467284308</v>
      </c>
      <c r="L112" s="213">
        <f t="shared" si="7"/>
        <v>418.5425</v>
      </c>
      <c r="M112" s="210">
        <f t="shared" si="8"/>
        <v>0.01773644684</v>
      </c>
      <c r="N112" s="213">
        <f t="shared" si="9"/>
        <v>173.392</v>
      </c>
      <c r="O112" s="210">
        <f t="shared" si="10"/>
        <v>-0.004006948466</v>
      </c>
      <c r="P112" s="210">
        <f t="shared" si="11"/>
        <v>0.02174339531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217">
        <f>IFERROR(__xludf.DUMMYFUNCTION("""COMPUTED_VALUE"""),46293.64583333333)</f>
        <v>46293.64583</v>
      </c>
      <c r="C113" s="193">
        <f>IFERROR(__xludf.DUMMYFUNCTION("""COMPUTED_VALUE"""),422.5)</f>
        <v>422.5</v>
      </c>
      <c r="D113" s="9"/>
      <c r="E113" s="217">
        <f>IFERROR(__xludf.DUMMYFUNCTION("""COMPUTED_VALUE"""),46293.64583333333)</f>
        <v>46293.64583</v>
      </c>
      <c r="F113" s="193">
        <f>IFERROR(__xludf.DUMMYFUNCTION("""COMPUTED_VALUE"""),172.45)</f>
        <v>172.45</v>
      </c>
      <c r="G113" s="191"/>
      <c r="H113" s="199">
        <f t="shared" si="3"/>
        <v>2.449985503</v>
      </c>
      <c r="I113" s="193">
        <f t="shared" si="4"/>
        <v>250.05</v>
      </c>
      <c r="J113" s="213">
        <f t="shared" si="5"/>
        <v>-0.4929839051</v>
      </c>
      <c r="K113" s="199">
        <f t="shared" si="6"/>
        <v>2.449985503</v>
      </c>
      <c r="L113" s="213">
        <f t="shared" si="7"/>
        <v>419.6175</v>
      </c>
      <c r="M113" s="210">
        <f t="shared" si="8"/>
        <v>0.006822485207</v>
      </c>
      <c r="N113" s="213">
        <f t="shared" si="9"/>
        <v>173.4595</v>
      </c>
      <c r="O113" s="210">
        <f t="shared" si="10"/>
        <v>-0.005853870687</v>
      </c>
      <c r="P113" s="210">
        <f t="shared" si="11"/>
        <v>0.01267635589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217">
        <f>IFERROR(__xludf.DUMMYFUNCTION("""COMPUTED_VALUE"""),46294.64583333333)</f>
        <v>46294.64583</v>
      </c>
      <c r="C114" s="193">
        <f>IFERROR(__xludf.DUMMYFUNCTION("""COMPUTED_VALUE"""),425.0)</f>
        <v>425</v>
      </c>
      <c r="D114" s="9"/>
      <c r="E114" s="217">
        <f>IFERROR(__xludf.DUMMYFUNCTION("""COMPUTED_VALUE"""),46294.64583333333)</f>
        <v>46294.64583</v>
      </c>
      <c r="F114" s="193">
        <f>IFERROR(__xludf.DUMMYFUNCTION("""COMPUTED_VALUE"""),170.04)</f>
        <v>170.04</v>
      </c>
      <c r="G114" s="191"/>
      <c r="H114" s="199">
        <f t="shared" si="3"/>
        <v>2.499411903</v>
      </c>
      <c r="I114" s="193">
        <f t="shared" si="4"/>
        <v>254.96</v>
      </c>
      <c r="J114" s="213">
        <f t="shared" si="5"/>
        <v>-0.2991603609</v>
      </c>
      <c r="K114" s="199">
        <f t="shared" si="6"/>
        <v>2.499411903</v>
      </c>
      <c r="L114" s="213">
        <f t="shared" si="7"/>
        <v>420.78</v>
      </c>
      <c r="M114" s="210">
        <f t="shared" si="8"/>
        <v>0.009929411765</v>
      </c>
      <c r="N114" s="213">
        <f t="shared" si="9"/>
        <v>173.0865</v>
      </c>
      <c r="O114" s="210">
        <f t="shared" si="10"/>
        <v>-0.01791637262</v>
      </c>
      <c r="P114" s="210">
        <f t="shared" si="11"/>
        <v>0.02784578438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217">
        <f>IFERROR(__xludf.DUMMYFUNCTION("""COMPUTED_VALUE"""),46295.64583333333)</f>
        <v>46295.64583</v>
      </c>
      <c r="C115" s="193">
        <f>IFERROR(__xludf.DUMMYFUNCTION("""COMPUTED_VALUE"""),425.0)</f>
        <v>425</v>
      </c>
      <c r="D115" s="9"/>
      <c r="E115" s="217">
        <f>IFERROR(__xludf.DUMMYFUNCTION("""COMPUTED_VALUE"""),46295.64583333333)</f>
        <v>46295.64583</v>
      </c>
      <c r="F115" s="193">
        <f>IFERROR(__xludf.DUMMYFUNCTION("""COMPUTED_VALUE"""),170.55)</f>
        <v>170.55</v>
      </c>
      <c r="G115" s="191"/>
      <c r="H115" s="199">
        <f t="shared" si="3"/>
        <v>2.491937848</v>
      </c>
      <c r="I115" s="193">
        <f t="shared" si="4"/>
        <v>254.45</v>
      </c>
      <c r="J115" s="213">
        <f t="shared" si="5"/>
        <v>-0.3192927453</v>
      </c>
      <c r="K115" s="199">
        <f t="shared" si="6"/>
        <v>2.491937848</v>
      </c>
      <c r="L115" s="213">
        <f t="shared" si="7"/>
        <v>421.95</v>
      </c>
      <c r="M115" s="210">
        <f t="shared" si="8"/>
        <v>0.007176470588</v>
      </c>
      <c r="N115" s="213">
        <f t="shared" si="9"/>
        <v>172.9795</v>
      </c>
      <c r="O115" s="210">
        <f t="shared" si="10"/>
        <v>-0.01424508942</v>
      </c>
      <c r="P115" s="210">
        <f t="shared" si="11"/>
        <v>0.02142156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217">
        <f>IFERROR(__xludf.DUMMYFUNCTION("""COMPUTED_VALUE"""),46296.64583333333)</f>
        <v>46296.64583</v>
      </c>
      <c r="C116" s="193">
        <f>IFERROR(__xludf.DUMMYFUNCTION("""COMPUTED_VALUE"""),420.4)</f>
        <v>420.4</v>
      </c>
      <c r="D116" s="9"/>
      <c r="E116" s="217">
        <f>IFERROR(__xludf.DUMMYFUNCTION("""COMPUTED_VALUE"""),46296.64583333333)</f>
        <v>46296.64583</v>
      </c>
      <c r="F116" s="193">
        <f>IFERROR(__xludf.DUMMYFUNCTION("""COMPUTED_VALUE"""),171.22)</f>
        <v>171.22</v>
      </c>
      <c r="G116" s="191"/>
      <c r="H116" s="199">
        <f t="shared" si="3"/>
        <v>2.45532064</v>
      </c>
      <c r="I116" s="193">
        <f t="shared" si="4"/>
        <v>249.18</v>
      </c>
      <c r="J116" s="213">
        <f t="shared" si="5"/>
        <v>-0.5273273844</v>
      </c>
      <c r="K116" s="199">
        <f t="shared" si="6"/>
        <v>2.45532064</v>
      </c>
      <c r="L116" s="213">
        <f t="shared" si="7"/>
        <v>422.0775</v>
      </c>
      <c r="M116" s="210">
        <f t="shared" si="8"/>
        <v>-0.003990247383</v>
      </c>
      <c r="N116" s="213">
        <f t="shared" si="9"/>
        <v>172.8905</v>
      </c>
      <c r="O116" s="210">
        <f t="shared" si="10"/>
        <v>-0.009756453685</v>
      </c>
      <c r="P116" s="210">
        <f t="shared" si="11"/>
        <v>0.005766206302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217">
        <f>IFERROR(__xludf.DUMMYFUNCTION("""COMPUTED_VALUE"""),46300.64583333333)</f>
        <v>46300.64583</v>
      </c>
      <c r="C117" s="193">
        <f>IFERROR(__xludf.DUMMYFUNCTION("""COMPUTED_VALUE"""),425.1)</f>
        <v>425.1</v>
      </c>
      <c r="D117" s="9"/>
      <c r="E117" s="217">
        <f>IFERROR(__xludf.DUMMYFUNCTION("""COMPUTED_VALUE"""),46300.64583333333)</f>
        <v>46300.64583</v>
      </c>
      <c r="F117" s="193">
        <f>IFERROR(__xludf.DUMMYFUNCTION("""COMPUTED_VALUE"""),167.5)</f>
        <v>167.5</v>
      </c>
      <c r="G117" s="191"/>
      <c r="H117" s="199">
        <f t="shared" si="3"/>
        <v>2.537910448</v>
      </c>
      <c r="I117" s="193">
        <f t="shared" si="4"/>
        <v>257.6</v>
      </c>
      <c r="J117" s="213">
        <f t="shared" si="5"/>
        <v>-0.1949456651</v>
      </c>
      <c r="K117" s="247">
        <f t="shared" ref="K117:K119" si="12">C116/F117</f>
        <v>2.509850746</v>
      </c>
      <c r="L117" s="213">
        <f t="shared" si="7"/>
        <v>422.33</v>
      </c>
      <c r="M117" s="210">
        <f t="shared" si="8"/>
        <v>0.006516113856</v>
      </c>
      <c r="N117" s="213">
        <f t="shared" si="9"/>
        <v>172.532</v>
      </c>
      <c r="O117" s="210">
        <f t="shared" si="10"/>
        <v>-0.03004179104</v>
      </c>
      <c r="P117" s="210">
        <f t="shared" si="11"/>
        <v>0.0365579049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217">
        <f>IFERROR(__xludf.DUMMYFUNCTION("""COMPUTED_VALUE"""),46301.64583333333)</f>
        <v>46301.64583</v>
      </c>
      <c r="C118" s="193">
        <f>IFERROR(__xludf.DUMMYFUNCTION("""COMPUTED_VALUE"""),411.65)</f>
        <v>411.65</v>
      </c>
      <c r="D118" s="9"/>
      <c r="E118" s="217">
        <f>IFERROR(__xludf.DUMMYFUNCTION("""COMPUTED_VALUE"""),46301.64583333333)</f>
        <v>46301.64583</v>
      </c>
      <c r="F118" s="193">
        <f>IFERROR(__xludf.DUMMYFUNCTION("""COMPUTED_VALUE"""),172.08)</f>
        <v>172.08</v>
      </c>
      <c r="G118" s="191"/>
      <c r="H118" s="199">
        <f t="shared" si="3"/>
        <v>2.392201302</v>
      </c>
      <c r="I118" s="193">
        <f t="shared" si="4"/>
        <v>239.57</v>
      </c>
      <c r="J118" s="213">
        <f t="shared" si="5"/>
        <v>-0.9066846673</v>
      </c>
      <c r="K118" s="247">
        <f t="shared" si="12"/>
        <v>2.470362622</v>
      </c>
      <c r="L118" s="213">
        <f t="shared" si="7"/>
        <v>422.145</v>
      </c>
      <c r="M118" s="210">
        <f t="shared" si="8"/>
        <v>-0.02549495931</v>
      </c>
      <c r="N118" s="213">
        <f t="shared" si="9"/>
        <v>172.466</v>
      </c>
      <c r="O118" s="210">
        <f t="shared" si="10"/>
        <v>-0.002243142724</v>
      </c>
      <c r="P118" s="210">
        <f t="shared" si="11"/>
        <v>-0.02325181659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217">
        <f>IFERROR(__xludf.DUMMYFUNCTION("""COMPUTED_VALUE"""),46302.64583333333)</f>
        <v>46302.64583</v>
      </c>
      <c r="C119" s="193">
        <f>IFERROR(__xludf.DUMMYFUNCTION("""COMPUTED_VALUE"""),414.5)</f>
        <v>414.5</v>
      </c>
      <c r="D119" s="9"/>
      <c r="E119" s="217">
        <f>IFERROR(__xludf.DUMMYFUNCTION("""COMPUTED_VALUE"""),46302.64583333333)</f>
        <v>46302.64583</v>
      </c>
      <c r="F119" s="193">
        <f>IFERROR(__xludf.DUMMYFUNCTION("""COMPUTED_VALUE"""),170.71)</f>
        <v>170.71</v>
      </c>
      <c r="G119" s="191"/>
      <c r="H119" s="199">
        <f t="shared" si="3"/>
        <v>2.428094429</v>
      </c>
      <c r="I119" s="9"/>
      <c r="J119" s="9"/>
      <c r="K119" s="247">
        <f t="shared" si="12"/>
        <v>2.411399449</v>
      </c>
      <c r="L119" s="191"/>
      <c r="M119" s="19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237"/>
      <c r="B120" s="236">
        <f>IFERROR(__xludf.DUMMYFUNCTION("""COMPUTED_VALUE"""),46303.64583333333)</f>
        <v>46303.64583</v>
      </c>
      <c r="C120" s="235">
        <f>IFERROR(__xludf.DUMMYFUNCTION("""COMPUTED_VALUE"""),409.35)</f>
        <v>409.35</v>
      </c>
      <c r="D120" s="237"/>
      <c r="E120" s="236">
        <f>IFERROR(__xludf.DUMMYFUNCTION("""COMPUTED_VALUE"""),46303.64583333333)</f>
        <v>46303.64583</v>
      </c>
      <c r="F120" s="235">
        <f>IFERROR(__xludf.DUMMYFUNCTION("""COMPUTED_VALUE"""),167.7)</f>
        <v>167.7</v>
      </c>
      <c r="G120" s="238"/>
      <c r="H120" s="199">
        <f t="shared" si="3"/>
        <v>2.440966011</v>
      </c>
      <c r="I120" s="237"/>
      <c r="J120" s="342"/>
      <c r="K120" s="343"/>
      <c r="L120" s="342"/>
      <c r="M120" s="344"/>
      <c r="N120" s="342"/>
      <c r="O120" s="344"/>
      <c r="P120" s="344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37"/>
      <c r="B121" s="236">
        <f>IFERROR(__xludf.DUMMYFUNCTION("""COMPUTED_VALUE"""),46304.64583333333)</f>
        <v>46304.64583</v>
      </c>
      <c r="C121" s="235">
        <f>IFERROR(__xludf.DUMMYFUNCTION("""COMPUTED_VALUE"""),411.55)</f>
        <v>411.55</v>
      </c>
      <c r="D121" s="237"/>
      <c r="E121" s="236">
        <f>IFERROR(__xludf.DUMMYFUNCTION("""COMPUTED_VALUE"""),46304.64583333333)</f>
        <v>46304.64583</v>
      </c>
      <c r="F121" s="235">
        <f>IFERROR(__xludf.DUMMYFUNCTION("""COMPUTED_VALUE"""),166.64)</f>
        <v>166.64</v>
      </c>
      <c r="G121" s="238"/>
      <c r="H121" s="199">
        <f t="shared" si="3"/>
        <v>2.469695151</v>
      </c>
      <c r="I121" s="237"/>
      <c r="J121" s="342"/>
      <c r="K121" s="343"/>
      <c r="L121" s="342"/>
      <c r="M121" s="344"/>
      <c r="N121" s="342"/>
      <c r="O121" s="344"/>
      <c r="P121" s="344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237"/>
      <c r="B122" s="236">
        <f>IFERROR(__xludf.DUMMYFUNCTION("""COMPUTED_VALUE"""),46307.64583333333)</f>
        <v>46307.64583</v>
      </c>
      <c r="C122" s="235">
        <f>IFERROR(__xludf.DUMMYFUNCTION("""COMPUTED_VALUE"""),404.8)</f>
        <v>404.8</v>
      </c>
      <c r="D122" s="237"/>
      <c r="E122" s="236">
        <f>IFERROR(__xludf.DUMMYFUNCTION("""COMPUTED_VALUE"""),46307.64583333333)</f>
        <v>46307.64583</v>
      </c>
      <c r="F122" s="235">
        <f>IFERROR(__xludf.DUMMYFUNCTION("""COMPUTED_VALUE"""),166.91)</f>
        <v>166.91</v>
      </c>
      <c r="G122" s="238"/>
      <c r="H122" s="199">
        <f t="shared" si="3"/>
        <v>2.425259122</v>
      </c>
      <c r="I122" s="237"/>
      <c r="J122" s="342"/>
      <c r="K122" s="343"/>
      <c r="L122" s="342"/>
      <c r="M122" s="344"/>
      <c r="N122" s="342"/>
      <c r="O122" s="344"/>
      <c r="P122" s="344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237"/>
      <c r="B123" s="236">
        <f>IFERROR(__xludf.DUMMYFUNCTION("""COMPUTED_VALUE"""),46308.64583333333)</f>
        <v>46308.64583</v>
      </c>
      <c r="C123" s="235">
        <f>IFERROR(__xludf.DUMMYFUNCTION("""COMPUTED_VALUE"""),408.5)</f>
        <v>408.5</v>
      </c>
      <c r="D123" s="237"/>
      <c r="E123" s="236">
        <f>IFERROR(__xludf.DUMMYFUNCTION("""COMPUTED_VALUE"""),46308.64583333333)</f>
        <v>46308.64583</v>
      </c>
      <c r="F123" s="235">
        <f>IFERROR(__xludf.DUMMYFUNCTION("""COMPUTED_VALUE"""),168.3)</f>
        <v>168.3</v>
      </c>
      <c r="G123" s="238"/>
      <c r="H123" s="199">
        <f t="shared" si="3"/>
        <v>2.42721331</v>
      </c>
      <c r="I123" s="237"/>
      <c r="J123" s="342"/>
      <c r="K123" s="343"/>
      <c r="L123" s="342"/>
      <c r="M123" s="344"/>
      <c r="N123" s="342"/>
      <c r="O123" s="344"/>
      <c r="P123" s="344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237"/>
      <c r="B124" s="236">
        <f>IFERROR(__xludf.DUMMYFUNCTION("""COMPUTED_VALUE"""),46309.64583333333)</f>
        <v>46309.64583</v>
      </c>
      <c r="C124" s="235">
        <f>IFERROR(__xludf.DUMMYFUNCTION("""COMPUTED_VALUE"""),417.0)</f>
        <v>417</v>
      </c>
      <c r="D124" s="237"/>
      <c r="E124" s="236">
        <f>IFERROR(__xludf.DUMMYFUNCTION("""COMPUTED_VALUE"""),46309.64583333333)</f>
        <v>46309.64583</v>
      </c>
      <c r="F124" s="235">
        <f>IFERROR(__xludf.DUMMYFUNCTION("""COMPUTED_VALUE"""),166.96)</f>
        <v>166.96</v>
      </c>
      <c r="G124" s="238"/>
      <c r="H124" s="199">
        <f t="shared" si="3"/>
        <v>2.497604217</v>
      </c>
      <c r="I124" s="237"/>
      <c r="J124" s="342"/>
      <c r="K124" s="343"/>
      <c r="L124" s="342"/>
      <c r="M124" s="344"/>
      <c r="N124" s="342"/>
      <c r="O124" s="344"/>
      <c r="P124" s="344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B125" s="166">
        <f>IFERROR(__xludf.DUMMYFUNCTION("""COMPUTED_VALUE"""),46310.64583333333)</f>
        <v>46310.64583</v>
      </c>
      <c r="C125" s="230">
        <f>IFERROR(__xludf.DUMMYFUNCTION("""COMPUTED_VALUE"""),418.0)</f>
        <v>418</v>
      </c>
      <c r="E125" s="166">
        <f>IFERROR(__xludf.DUMMYFUNCTION("""COMPUTED_VALUE"""),46310.64583333333)</f>
        <v>46310.64583</v>
      </c>
      <c r="F125" s="230">
        <f>IFERROR(__xludf.DUMMYFUNCTION("""COMPUTED_VALUE"""),169.35)</f>
        <v>169.35</v>
      </c>
    </row>
    <row r="126">
      <c r="B126" s="166">
        <f>IFERROR(__xludf.DUMMYFUNCTION("""COMPUTED_VALUE"""),46311.64583333333)</f>
        <v>46311.64583</v>
      </c>
      <c r="C126" s="230">
        <f>IFERROR(__xludf.DUMMYFUNCTION("""COMPUTED_VALUE"""),417.2)</f>
        <v>417.2</v>
      </c>
      <c r="E126" s="166">
        <f>IFERROR(__xludf.DUMMYFUNCTION("""COMPUTED_VALUE"""),46311.64583333333)</f>
        <v>46311.64583</v>
      </c>
      <c r="F126" s="230">
        <f>IFERROR(__xludf.DUMMYFUNCTION("""COMPUTED_VALUE"""),168.1)</f>
        <v>168.1</v>
      </c>
    </row>
    <row r="129">
      <c r="A129" s="9"/>
      <c r="B129" s="9"/>
      <c r="C129" s="193"/>
      <c r="D129" s="9"/>
      <c r="E129" s="9"/>
      <c r="F129" s="193"/>
      <c r="G129" s="191"/>
      <c r="H129" s="191"/>
      <c r="I129" s="191"/>
      <c r="J129" s="191"/>
      <c r="K129" s="191"/>
      <c r="L129" s="191"/>
      <c r="M129" s="19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235" t="s">
        <v>9</v>
      </c>
      <c r="B130" s="236">
        <f>IFERROR(__xludf.DUMMYFUNCTION("GOOGLEFINANCE(B9,""TRADETIME"")"),46311.64583333333)</f>
        <v>46311.64583</v>
      </c>
      <c r="C130" s="235">
        <f>IFERROR(__xludf.DUMMYFUNCTION("GOOGLEFINANCE(B9,""PRICE"")"),417.2)</f>
        <v>417.2</v>
      </c>
      <c r="D130" s="237"/>
      <c r="E130" s="236">
        <f>IFERROR(__xludf.DUMMYFUNCTION("GOOGLEFINANCE(E9,""TRADETIME"")"),46311.64583333333)</f>
        <v>46311.64583</v>
      </c>
      <c r="F130" s="235">
        <f>IFERROR(__xludf.DUMMYFUNCTION("GOOGLEFINANCE(E9,""PRICE"")"),168.1)</f>
        <v>168.1</v>
      </c>
      <c r="G130" s="238"/>
      <c r="H130" s="252">
        <f>C130/F130</f>
        <v>2.481856038</v>
      </c>
      <c r="I130" s="248">
        <f>C130-F130</f>
        <v>249.1</v>
      </c>
      <c r="J130" s="253">
        <f>((I130-$I$131)/$I$132)</f>
        <v>-0.5304854055</v>
      </c>
      <c r="K130" s="239">
        <f>C130/F130</f>
        <v>2.481856038</v>
      </c>
      <c r="L130" s="240">
        <f>AVERAGE(C73:C109)</f>
        <v>412.9797297</v>
      </c>
      <c r="M130" s="241">
        <f>(C130-L130)/C130</f>
        <v>0.01011570055</v>
      </c>
      <c r="N130" s="240">
        <f>AVERAGE(F73:F109)</f>
        <v>174.092973</v>
      </c>
      <c r="O130" s="241">
        <f>(F130-N130)/F130</f>
        <v>-0.0356512372</v>
      </c>
      <c r="P130" s="241">
        <f>M130-O130</f>
        <v>0.04576693775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9"/>
      <c r="F131" s="9"/>
      <c r="G131" s="191"/>
      <c r="H131" s="261" t="s">
        <v>138</v>
      </c>
      <c r="I131" s="253">
        <f>AVERAGE(I11:I118)</f>
        <v>262.5384259</v>
      </c>
      <c r="J131" s="9"/>
      <c r="K131" s="191"/>
      <c r="L131" s="191"/>
      <c r="M131" s="19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9"/>
      <c r="F132" s="9"/>
      <c r="G132" s="191"/>
      <c r="H132" s="261" t="s">
        <v>139</v>
      </c>
      <c r="I132" s="345">
        <f>_xlfn.STDEV.P(I11:I117)</f>
        <v>25.33231977</v>
      </c>
      <c r="J132" s="9"/>
      <c r="K132" s="191"/>
      <c r="L132" s="191"/>
      <c r="M132" s="19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193"/>
      <c r="D133" s="9"/>
      <c r="E133" s="9"/>
      <c r="F133" s="194"/>
      <c r="G133" s="199"/>
      <c r="H133" s="191"/>
      <c r="I133" s="191"/>
      <c r="J133" s="191"/>
      <c r="K133" s="195"/>
      <c r="L133" s="191"/>
      <c r="M133" s="19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346"/>
      <c r="D134" s="9"/>
      <c r="E134" s="9"/>
      <c r="F134" s="346"/>
      <c r="G134" s="199"/>
      <c r="H134" s="191"/>
      <c r="I134" s="191"/>
      <c r="J134" s="191"/>
      <c r="K134" s="191"/>
      <c r="L134" s="191"/>
      <c r="M134" s="19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193"/>
      <c r="D135" s="9"/>
      <c r="E135" s="9"/>
      <c r="F135" s="193"/>
      <c r="G135" s="191"/>
      <c r="H135" s="191"/>
      <c r="I135" s="191"/>
      <c r="J135" s="191"/>
      <c r="K135" s="191"/>
      <c r="L135" s="191"/>
      <c r="M135" s="19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193"/>
      <c r="D136" s="9"/>
      <c r="E136" s="9"/>
      <c r="F136" s="193"/>
      <c r="G136" s="191"/>
      <c r="H136" s="191"/>
      <c r="I136" s="191"/>
      <c r="J136" s="191"/>
      <c r="K136" s="191"/>
      <c r="L136" s="191"/>
      <c r="M136" s="19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191"/>
      <c r="H137" s="191"/>
      <c r="I137" s="191"/>
      <c r="J137" s="191"/>
      <c r="K137" s="191"/>
      <c r="L137" s="191"/>
      <c r="M137" s="19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191"/>
      <c r="H138" s="191"/>
      <c r="I138" s="191"/>
      <c r="J138" s="191"/>
      <c r="K138" s="191"/>
      <c r="L138" s="191"/>
      <c r="M138" s="19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193"/>
      <c r="D139" s="9"/>
      <c r="E139" s="9"/>
      <c r="F139" s="194"/>
      <c r="G139" s="194"/>
      <c r="H139" s="191"/>
      <c r="I139" s="191"/>
      <c r="J139" s="191"/>
      <c r="K139" s="191"/>
      <c r="L139" s="191"/>
      <c r="M139" s="19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191"/>
      <c r="H140" s="191"/>
      <c r="I140" s="191"/>
      <c r="J140" s="191"/>
      <c r="K140" s="191"/>
      <c r="L140" s="191"/>
      <c r="M140" s="19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257"/>
      <c r="H141" s="191"/>
      <c r="I141" s="191"/>
      <c r="J141" s="191"/>
      <c r="K141" s="191"/>
      <c r="L141" s="191"/>
      <c r="M141" s="19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193"/>
      <c r="D142" s="193"/>
      <c r="E142" s="193"/>
      <c r="F142" s="9"/>
      <c r="G142" s="191"/>
      <c r="H142" s="191"/>
      <c r="I142" s="191"/>
      <c r="J142" s="191"/>
      <c r="K142" s="191"/>
      <c r="L142" s="191"/>
      <c r="M142" s="19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193"/>
      <c r="D143" s="193"/>
      <c r="E143" s="9"/>
      <c r="F143" s="193"/>
      <c r="G143" s="191"/>
      <c r="H143" s="191"/>
      <c r="I143" s="191"/>
      <c r="J143" s="191"/>
      <c r="K143" s="191"/>
      <c r="L143" s="191"/>
      <c r="M143" s="19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191"/>
      <c r="H144" s="191"/>
      <c r="I144" s="191"/>
      <c r="J144" s="191"/>
      <c r="K144" s="191"/>
      <c r="L144" s="191"/>
      <c r="M144" s="19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191"/>
      <c r="H145" s="191"/>
      <c r="I145" s="191"/>
      <c r="J145" s="191"/>
      <c r="K145" s="191"/>
      <c r="L145" s="191"/>
      <c r="M145" s="19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191"/>
      <c r="H146" s="191"/>
      <c r="I146" s="191"/>
      <c r="J146" s="191"/>
      <c r="K146" s="191"/>
      <c r="L146" s="191"/>
      <c r="M146" s="19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191"/>
      <c r="H147" s="191"/>
      <c r="I147" s="191"/>
      <c r="J147" s="191"/>
      <c r="K147" s="191"/>
      <c r="L147" s="191"/>
      <c r="M147" s="191"/>
      <c r="N147" s="191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191"/>
      <c r="H148" s="191"/>
      <c r="I148" s="191"/>
      <c r="J148" s="191"/>
      <c r="K148" s="191"/>
      <c r="L148" s="191"/>
      <c r="M148" s="191"/>
      <c r="N148" s="191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191"/>
      <c r="H149" s="191"/>
      <c r="I149" s="191"/>
      <c r="J149" s="191"/>
      <c r="K149" s="191"/>
      <c r="L149" s="191"/>
      <c r="M149" s="191"/>
      <c r="N149" s="191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191"/>
      <c r="H150" s="191"/>
      <c r="I150" s="191"/>
      <c r="J150" s="191"/>
      <c r="K150" s="191"/>
      <c r="L150" s="191"/>
      <c r="M150" s="191"/>
      <c r="N150" s="191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191"/>
      <c r="H151" s="191"/>
      <c r="I151" s="191"/>
      <c r="J151" s="191"/>
      <c r="K151" s="191"/>
      <c r="L151" s="191"/>
      <c r="M151" s="191"/>
      <c r="N151" s="191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191"/>
      <c r="H152" s="191"/>
      <c r="I152" s="191"/>
      <c r="J152" s="191"/>
      <c r="K152" s="191"/>
      <c r="L152" s="191"/>
      <c r="M152" s="191"/>
      <c r="N152" s="19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191"/>
      <c r="H153" s="191"/>
      <c r="I153" s="191"/>
      <c r="J153" s="191"/>
      <c r="K153" s="191"/>
      <c r="L153" s="191"/>
      <c r="M153" s="191"/>
      <c r="N153" s="191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191"/>
      <c r="H154" s="191"/>
      <c r="I154" s="191"/>
      <c r="J154" s="191"/>
      <c r="K154" s="191"/>
      <c r="L154" s="191"/>
      <c r="M154" s="191"/>
      <c r="N154" s="191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191"/>
      <c r="H155" s="191"/>
      <c r="I155" s="191"/>
      <c r="J155" s="191"/>
      <c r="K155" s="191"/>
      <c r="L155" s="191"/>
      <c r="M155" s="191"/>
      <c r="N155" s="191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191"/>
      <c r="H156" s="191"/>
      <c r="I156" s="191"/>
      <c r="J156" s="191"/>
      <c r="K156" s="191"/>
      <c r="L156" s="191"/>
      <c r="M156" s="191"/>
      <c r="N156" s="191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191"/>
      <c r="H157" s="191"/>
      <c r="I157" s="191"/>
      <c r="J157" s="191"/>
      <c r="K157" s="191"/>
      <c r="L157" s="191"/>
      <c r="M157" s="191"/>
      <c r="N157" s="19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191"/>
      <c r="H158" s="191"/>
      <c r="I158" s="191"/>
      <c r="J158" s="191"/>
      <c r="K158" s="191"/>
      <c r="L158" s="191"/>
      <c r="M158" s="191"/>
      <c r="N158" s="191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191"/>
      <c r="H159" s="191"/>
      <c r="I159" s="191"/>
      <c r="J159" s="191"/>
      <c r="K159" s="191"/>
      <c r="L159" s="191"/>
      <c r="M159" s="191"/>
      <c r="N159" s="191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191"/>
      <c r="H160" s="191"/>
      <c r="I160" s="191"/>
      <c r="J160" s="191"/>
      <c r="K160" s="191"/>
      <c r="L160" s="191"/>
      <c r="M160" s="191"/>
      <c r="N160" s="191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191"/>
      <c r="H161" s="191"/>
      <c r="I161" s="191"/>
      <c r="J161" s="191"/>
      <c r="K161" s="191"/>
      <c r="L161" s="191"/>
      <c r="M161" s="191"/>
      <c r="N161" s="191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191"/>
      <c r="H162" s="191"/>
      <c r="I162" s="191"/>
      <c r="J162" s="191"/>
      <c r="K162" s="191"/>
      <c r="L162" s="191"/>
      <c r="M162" s="191"/>
      <c r="N162" s="191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191"/>
      <c r="H163" s="191"/>
      <c r="I163" s="191"/>
      <c r="J163" s="191"/>
      <c r="K163" s="191"/>
      <c r="L163" s="191"/>
      <c r="M163" s="191"/>
      <c r="N163" s="191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191"/>
      <c r="H164" s="191"/>
      <c r="I164" s="191"/>
      <c r="J164" s="191"/>
      <c r="K164" s="191"/>
      <c r="L164" s="191"/>
      <c r="M164" s="191"/>
      <c r="N164" s="19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191"/>
      <c r="H165" s="191"/>
      <c r="I165" s="191"/>
      <c r="J165" s="191"/>
      <c r="K165" s="191"/>
      <c r="L165" s="191"/>
      <c r="M165" s="191"/>
      <c r="N165" s="19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191"/>
      <c r="H166" s="191"/>
      <c r="I166" s="191"/>
      <c r="J166" s="191"/>
      <c r="K166" s="191"/>
      <c r="L166" s="191"/>
      <c r="M166" s="191"/>
      <c r="N166" s="19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191"/>
      <c r="H167" s="191"/>
      <c r="I167" s="191"/>
      <c r="J167" s="191"/>
      <c r="K167" s="191"/>
      <c r="L167" s="191"/>
      <c r="M167" s="191"/>
      <c r="N167" s="19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191"/>
      <c r="H168" s="191"/>
      <c r="I168" s="191"/>
      <c r="J168" s="191"/>
      <c r="K168" s="191"/>
      <c r="L168" s="191"/>
      <c r="M168" s="191"/>
      <c r="N168" s="19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191"/>
      <c r="H169" s="191"/>
      <c r="I169" s="191"/>
      <c r="J169" s="191"/>
      <c r="K169" s="191"/>
      <c r="L169" s="191"/>
      <c r="M169" s="191"/>
      <c r="N169" s="19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191"/>
      <c r="H170" s="191"/>
      <c r="I170" s="191"/>
      <c r="J170" s="191"/>
      <c r="K170" s="191"/>
      <c r="L170" s="191"/>
      <c r="M170" s="191"/>
      <c r="N170" s="19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191"/>
      <c r="H171" s="191"/>
      <c r="I171" s="191"/>
      <c r="J171" s="191"/>
      <c r="K171" s="191"/>
      <c r="L171" s="191"/>
      <c r="M171" s="191"/>
      <c r="N171" s="19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191"/>
      <c r="H172" s="191"/>
      <c r="I172" s="191"/>
      <c r="J172" s="191"/>
      <c r="K172" s="191"/>
      <c r="L172" s="191"/>
      <c r="M172" s="191"/>
      <c r="N172" s="19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191"/>
      <c r="H173" s="191"/>
      <c r="I173" s="191"/>
      <c r="J173" s="191"/>
      <c r="K173" s="191"/>
      <c r="L173" s="191"/>
      <c r="M173" s="191"/>
      <c r="N173" s="19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191"/>
      <c r="H174" s="191"/>
      <c r="I174" s="191"/>
      <c r="J174" s="191"/>
      <c r="K174" s="191"/>
      <c r="L174" s="191"/>
      <c r="M174" s="191"/>
      <c r="N174" s="19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191"/>
      <c r="H175" s="191"/>
      <c r="I175" s="191"/>
      <c r="J175" s="191"/>
      <c r="K175" s="191"/>
      <c r="L175" s="191"/>
      <c r="M175" s="191"/>
      <c r="N175" s="19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191"/>
      <c r="H176" s="191"/>
      <c r="I176" s="191"/>
      <c r="J176" s="191"/>
      <c r="K176" s="191"/>
      <c r="L176" s="191"/>
      <c r="M176" s="191"/>
      <c r="N176" s="19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191"/>
      <c r="H177" s="191"/>
      <c r="I177" s="191"/>
      <c r="J177" s="191"/>
      <c r="K177" s="191"/>
      <c r="L177" s="191"/>
      <c r="M177" s="191"/>
      <c r="N177" s="19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191"/>
      <c r="H178" s="191"/>
      <c r="I178" s="191"/>
      <c r="J178" s="191"/>
      <c r="K178" s="191"/>
      <c r="L178" s="191"/>
      <c r="M178" s="191"/>
      <c r="N178" s="19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191"/>
      <c r="H179" s="191"/>
      <c r="I179" s="191"/>
      <c r="J179" s="191"/>
      <c r="K179" s="191"/>
      <c r="L179" s="191"/>
      <c r="M179" s="191"/>
      <c r="N179" s="19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191"/>
      <c r="H180" s="191"/>
      <c r="I180" s="191"/>
      <c r="J180" s="191"/>
      <c r="K180" s="191"/>
      <c r="L180" s="191"/>
      <c r="M180" s="191"/>
      <c r="N180" s="19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191"/>
      <c r="H181" s="191"/>
      <c r="I181" s="191"/>
      <c r="J181" s="191"/>
      <c r="K181" s="191"/>
      <c r="L181" s="191"/>
      <c r="M181" s="191"/>
      <c r="N181" s="19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191"/>
      <c r="H182" s="191"/>
      <c r="I182" s="191"/>
      <c r="J182" s="191"/>
      <c r="K182" s="191"/>
      <c r="L182" s="191"/>
      <c r="M182" s="191"/>
      <c r="N182" s="19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191"/>
      <c r="H183" s="191"/>
      <c r="I183" s="191"/>
      <c r="J183" s="191"/>
      <c r="K183" s="191"/>
      <c r="L183" s="191"/>
      <c r="M183" s="191"/>
      <c r="N183" s="19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191"/>
      <c r="H184" s="191"/>
      <c r="I184" s="191"/>
      <c r="J184" s="191"/>
      <c r="K184" s="191"/>
      <c r="L184" s="191"/>
      <c r="M184" s="191"/>
      <c r="N184" s="19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191"/>
      <c r="H185" s="191"/>
      <c r="I185" s="191"/>
      <c r="J185" s="191"/>
      <c r="K185" s="191"/>
      <c r="L185" s="191"/>
      <c r="M185" s="191"/>
      <c r="N185" s="19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191"/>
      <c r="H186" s="191"/>
      <c r="I186" s="191"/>
      <c r="J186" s="191"/>
      <c r="K186" s="191"/>
      <c r="L186" s="191"/>
      <c r="M186" s="191"/>
      <c r="N186" s="19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191"/>
      <c r="H187" s="191"/>
      <c r="I187" s="191"/>
      <c r="J187" s="191"/>
      <c r="K187" s="191"/>
      <c r="L187" s="191"/>
      <c r="M187" s="191"/>
      <c r="N187" s="19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191"/>
      <c r="H188" s="191"/>
      <c r="I188" s="191"/>
      <c r="J188" s="191"/>
      <c r="K188" s="191"/>
      <c r="L188" s="191"/>
      <c r="M188" s="191"/>
      <c r="N188" s="19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191"/>
      <c r="H189" s="191"/>
      <c r="I189" s="191"/>
      <c r="J189" s="191"/>
      <c r="K189" s="191"/>
      <c r="L189" s="191"/>
      <c r="M189" s="191"/>
      <c r="N189" s="19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191"/>
      <c r="H190" s="191"/>
      <c r="I190" s="191"/>
      <c r="J190" s="191"/>
      <c r="K190" s="191"/>
      <c r="L190" s="191"/>
      <c r="M190" s="191"/>
      <c r="N190" s="19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191"/>
      <c r="H191" s="191"/>
      <c r="I191" s="191"/>
      <c r="J191" s="191"/>
      <c r="K191" s="191"/>
      <c r="L191" s="191"/>
      <c r="M191" s="191"/>
      <c r="N191" s="19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191"/>
      <c r="H192" s="191"/>
      <c r="I192" s="191"/>
      <c r="J192" s="191"/>
      <c r="K192" s="191"/>
      <c r="L192" s="191"/>
      <c r="M192" s="191"/>
      <c r="N192" s="19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191"/>
      <c r="H193" s="191"/>
      <c r="I193" s="191"/>
      <c r="J193" s="191"/>
      <c r="K193" s="191"/>
      <c r="L193" s="191"/>
      <c r="M193" s="191"/>
      <c r="N193" s="19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191"/>
      <c r="H194" s="191"/>
      <c r="I194" s="191"/>
      <c r="J194" s="191"/>
      <c r="K194" s="191"/>
      <c r="L194" s="191"/>
      <c r="M194" s="191"/>
      <c r="N194" s="19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191"/>
      <c r="H195" s="191"/>
      <c r="I195" s="191"/>
      <c r="J195" s="191"/>
      <c r="K195" s="191"/>
      <c r="L195" s="191"/>
      <c r="M195" s="191"/>
      <c r="N195" s="19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191"/>
      <c r="H196" s="191"/>
      <c r="I196" s="191"/>
      <c r="J196" s="191"/>
      <c r="K196" s="191"/>
      <c r="L196" s="191"/>
      <c r="M196" s="191"/>
      <c r="N196" s="19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191"/>
      <c r="H197" s="191"/>
      <c r="I197" s="191"/>
      <c r="J197" s="191"/>
      <c r="K197" s="191"/>
      <c r="L197" s="191"/>
      <c r="M197" s="191"/>
      <c r="N197" s="19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191"/>
      <c r="H198" s="191"/>
      <c r="I198" s="191"/>
      <c r="J198" s="191"/>
      <c r="K198" s="191"/>
      <c r="L198" s="191"/>
      <c r="M198" s="191"/>
      <c r="N198" s="19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191"/>
      <c r="H199" s="191"/>
      <c r="I199" s="191"/>
      <c r="J199" s="191"/>
      <c r="K199" s="191"/>
      <c r="L199" s="191"/>
      <c r="M199" s="191"/>
      <c r="N199" s="19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191"/>
      <c r="H200" s="191"/>
      <c r="I200" s="191"/>
      <c r="J200" s="191"/>
      <c r="K200" s="191"/>
      <c r="L200" s="191"/>
      <c r="M200" s="191"/>
      <c r="N200" s="19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191"/>
      <c r="H201" s="191"/>
      <c r="I201" s="191"/>
      <c r="J201" s="191"/>
      <c r="K201" s="191"/>
      <c r="L201" s="191"/>
      <c r="M201" s="191"/>
      <c r="N201" s="19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191"/>
      <c r="H202" s="191"/>
      <c r="I202" s="191"/>
      <c r="J202" s="191"/>
      <c r="K202" s="191"/>
      <c r="L202" s="191"/>
      <c r="M202" s="191"/>
      <c r="N202" s="19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191"/>
      <c r="H203" s="191"/>
      <c r="I203" s="191"/>
      <c r="J203" s="191"/>
      <c r="K203" s="191"/>
      <c r="L203" s="191"/>
      <c r="M203" s="191"/>
      <c r="N203" s="19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191"/>
      <c r="H204" s="191"/>
      <c r="I204" s="191"/>
      <c r="J204" s="191"/>
      <c r="K204" s="191"/>
      <c r="L204" s="191"/>
      <c r="M204" s="191"/>
      <c r="N204" s="19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191"/>
      <c r="H205" s="191"/>
      <c r="I205" s="191"/>
      <c r="J205" s="191"/>
      <c r="K205" s="191"/>
      <c r="L205" s="191"/>
      <c r="M205" s="191"/>
      <c r="N205" s="19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191"/>
      <c r="H206" s="191"/>
      <c r="I206" s="191"/>
      <c r="J206" s="191"/>
      <c r="K206" s="191"/>
      <c r="L206" s="191"/>
      <c r="M206" s="191"/>
      <c r="N206" s="19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191"/>
      <c r="H207" s="191"/>
      <c r="I207" s="191"/>
      <c r="J207" s="191"/>
      <c r="K207" s="191"/>
      <c r="L207" s="191"/>
      <c r="M207" s="191"/>
      <c r="N207" s="19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191"/>
      <c r="H208" s="191"/>
      <c r="I208" s="191"/>
      <c r="J208" s="191"/>
      <c r="K208" s="191"/>
      <c r="L208" s="191"/>
      <c r="M208" s="191"/>
      <c r="N208" s="19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191"/>
      <c r="H209" s="191"/>
      <c r="I209" s="191"/>
      <c r="J209" s="191"/>
      <c r="K209" s="191"/>
      <c r="L209" s="191"/>
      <c r="M209" s="191"/>
      <c r="N209" s="19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191"/>
      <c r="H210" s="191"/>
      <c r="I210" s="191"/>
      <c r="J210" s="191"/>
      <c r="K210" s="191"/>
      <c r="L210" s="191"/>
      <c r="M210" s="191"/>
      <c r="N210" s="19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191"/>
      <c r="H211" s="191"/>
      <c r="I211" s="191"/>
      <c r="J211" s="191"/>
      <c r="K211" s="191"/>
      <c r="L211" s="191"/>
      <c r="M211" s="191"/>
      <c r="N211" s="19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191"/>
      <c r="H212" s="191"/>
      <c r="I212" s="191"/>
      <c r="J212" s="191"/>
      <c r="K212" s="191"/>
      <c r="L212" s="191"/>
      <c r="M212" s="191"/>
      <c r="N212" s="19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191"/>
      <c r="H213" s="191"/>
      <c r="I213" s="191"/>
      <c r="J213" s="191"/>
      <c r="K213" s="191"/>
      <c r="L213" s="191"/>
      <c r="M213" s="191"/>
      <c r="N213" s="19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191"/>
      <c r="H214" s="191"/>
      <c r="I214" s="191"/>
      <c r="J214" s="191"/>
      <c r="K214" s="191"/>
      <c r="L214" s="191"/>
      <c r="M214" s="191"/>
      <c r="N214" s="19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191"/>
      <c r="H215" s="191"/>
      <c r="I215" s="191"/>
      <c r="J215" s="191"/>
      <c r="K215" s="191"/>
      <c r="L215" s="191"/>
      <c r="M215" s="191"/>
      <c r="N215" s="19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191"/>
      <c r="H216" s="191"/>
      <c r="I216" s="191"/>
      <c r="J216" s="191"/>
      <c r="K216" s="191"/>
      <c r="L216" s="191"/>
      <c r="M216" s="191"/>
      <c r="N216" s="19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191"/>
      <c r="H217" s="191"/>
      <c r="I217" s="191"/>
      <c r="J217" s="191"/>
      <c r="K217" s="191"/>
      <c r="L217" s="191"/>
      <c r="M217" s="191"/>
      <c r="N217" s="19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191"/>
      <c r="H218" s="191"/>
      <c r="I218" s="191"/>
      <c r="J218" s="191"/>
      <c r="K218" s="191"/>
      <c r="L218" s="191"/>
      <c r="M218" s="191"/>
      <c r="N218" s="19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191"/>
      <c r="H219" s="191"/>
      <c r="I219" s="191"/>
      <c r="J219" s="191"/>
      <c r="K219" s="191"/>
      <c r="L219" s="191"/>
      <c r="M219" s="191"/>
      <c r="N219" s="19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191"/>
      <c r="H220" s="191"/>
      <c r="I220" s="191"/>
      <c r="J220" s="191"/>
      <c r="K220" s="191"/>
      <c r="L220" s="191"/>
      <c r="M220" s="191"/>
      <c r="N220" s="19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191"/>
      <c r="H221" s="191"/>
      <c r="I221" s="191"/>
      <c r="J221" s="191"/>
      <c r="K221" s="191"/>
      <c r="L221" s="191"/>
      <c r="M221" s="191"/>
      <c r="N221" s="19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191"/>
      <c r="H222" s="191"/>
      <c r="I222" s="191"/>
      <c r="J222" s="191"/>
      <c r="K222" s="191"/>
      <c r="L222" s="191"/>
      <c r="M222" s="191"/>
      <c r="N222" s="19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191"/>
      <c r="H223" s="191"/>
      <c r="I223" s="191"/>
      <c r="J223" s="191"/>
      <c r="K223" s="191"/>
      <c r="L223" s="191"/>
      <c r="M223" s="191"/>
      <c r="N223" s="19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191"/>
      <c r="H224" s="191"/>
      <c r="I224" s="191"/>
      <c r="J224" s="191"/>
      <c r="K224" s="191"/>
      <c r="L224" s="191"/>
      <c r="M224" s="191"/>
      <c r="N224" s="19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191"/>
      <c r="H225" s="191"/>
      <c r="I225" s="191"/>
      <c r="J225" s="191"/>
      <c r="K225" s="191"/>
      <c r="L225" s="191"/>
      <c r="M225" s="191"/>
      <c r="N225" s="191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191"/>
      <c r="H226" s="191"/>
      <c r="I226" s="191"/>
      <c r="J226" s="191"/>
      <c r="K226" s="191"/>
      <c r="L226" s="191"/>
      <c r="M226" s="191"/>
      <c r="N226" s="191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191"/>
      <c r="H227" s="191"/>
      <c r="I227" s="191"/>
      <c r="J227" s="191"/>
      <c r="K227" s="191"/>
      <c r="L227" s="191"/>
      <c r="M227" s="191"/>
      <c r="N227" s="191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191"/>
      <c r="H228" s="191"/>
      <c r="I228" s="191"/>
      <c r="J228" s="191"/>
      <c r="K228" s="191"/>
      <c r="L228" s="191"/>
      <c r="M228" s="191"/>
      <c r="N228" s="191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191"/>
      <c r="H229" s="191"/>
      <c r="I229" s="191"/>
      <c r="J229" s="191"/>
      <c r="K229" s="191"/>
      <c r="L229" s="191"/>
      <c r="M229" s="191"/>
      <c r="N229" s="191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191"/>
      <c r="H230" s="191"/>
      <c r="I230" s="191"/>
      <c r="J230" s="191"/>
      <c r="K230" s="191"/>
      <c r="L230" s="191"/>
      <c r="M230" s="191"/>
      <c r="N230" s="191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191"/>
      <c r="H231" s="191"/>
      <c r="I231" s="191"/>
      <c r="J231" s="191"/>
      <c r="K231" s="191"/>
      <c r="L231" s="191"/>
      <c r="M231" s="191"/>
      <c r="N231" s="191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191"/>
      <c r="H232" s="191"/>
      <c r="I232" s="191"/>
      <c r="J232" s="191"/>
      <c r="K232" s="191"/>
      <c r="L232" s="191"/>
      <c r="M232" s="191"/>
      <c r="N232" s="191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191"/>
      <c r="H233" s="191"/>
      <c r="I233" s="191"/>
      <c r="J233" s="191"/>
      <c r="K233" s="191"/>
      <c r="L233" s="191"/>
      <c r="M233" s="191"/>
      <c r="N233" s="191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191"/>
      <c r="H234" s="191"/>
      <c r="I234" s="191"/>
      <c r="J234" s="191"/>
      <c r="K234" s="191"/>
      <c r="L234" s="191"/>
      <c r="M234" s="191"/>
      <c r="N234" s="191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191"/>
      <c r="H235" s="191"/>
      <c r="I235" s="191"/>
      <c r="J235" s="191"/>
      <c r="K235" s="191"/>
      <c r="L235" s="191"/>
      <c r="M235" s="191"/>
      <c r="N235" s="19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191"/>
      <c r="H236" s="191"/>
      <c r="I236" s="191"/>
      <c r="J236" s="191"/>
      <c r="K236" s="191"/>
      <c r="L236" s="191"/>
      <c r="M236" s="191"/>
      <c r="N236" s="191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191"/>
      <c r="H237" s="191"/>
      <c r="I237" s="191"/>
      <c r="J237" s="191"/>
      <c r="K237" s="191"/>
      <c r="L237" s="191"/>
      <c r="M237" s="191"/>
      <c r="N237" s="191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191"/>
      <c r="H238" s="191"/>
      <c r="I238" s="191"/>
      <c r="J238" s="191"/>
      <c r="K238" s="191"/>
      <c r="L238" s="191"/>
      <c r="M238" s="191"/>
      <c r="N238" s="191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191"/>
      <c r="H239" s="191"/>
      <c r="I239" s="191"/>
      <c r="J239" s="191"/>
      <c r="K239" s="191"/>
      <c r="L239" s="191"/>
      <c r="M239" s="191"/>
      <c r="N239" s="191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191"/>
      <c r="H240" s="191"/>
      <c r="I240" s="191"/>
      <c r="J240" s="191"/>
      <c r="K240" s="191"/>
      <c r="L240" s="191"/>
      <c r="M240" s="191"/>
      <c r="N240" s="191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191"/>
      <c r="H241" s="191"/>
      <c r="I241" s="191"/>
      <c r="J241" s="191"/>
      <c r="K241" s="191"/>
      <c r="L241" s="191"/>
      <c r="M241" s="191"/>
      <c r="N241" s="191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191"/>
      <c r="H242" s="191"/>
      <c r="I242" s="191"/>
      <c r="J242" s="191"/>
      <c r="K242" s="191"/>
      <c r="L242" s="191"/>
      <c r="M242" s="191"/>
      <c r="N242" s="191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191"/>
      <c r="H243" s="191"/>
      <c r="I243" s="191"/>
      <c r="J243" s="191"/>
      <c r="K243" s="191"/>
      <c r="L243" s="191"/>
      <c r="M243" s="191"/>
      <c r="N243" s="191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191"/>
      <c r="H244" s="191"/>
      <c r="I244" s="191"/>
      <c r="J244" s="191"/>
      <c r="K244" s="191"/>
      <c r="L244" s="191"/>
      <c r="M244" s="191"/>
      <c r="N244" s="191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191"/>
      <c r="H245" s="191"/>
      <c r="I245" s="191"/>
      <c r="J245" s="191"/>
      <c r="K245" s="191"/>
      <c r="L245" s="191"/>
      <c r="M245" s="191"/>
      <c r="N245" s="191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191"/>
      <c r="H246" s="191"/>
      <c r="I246" s="191"/>
      <c r="J246" s="191"/>
      <c r="K246" s="191"/>
      <c r="L246" s="191"/>
      <c r="M246" s="191"/>
      <c r="N246" s="191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191"/>
      <c r="H247" s="191"/>
      <c r="I247" s="191"/>
      <c r="J247" s="191"/>
      <c r="K247" s="191"/>
      <c r="L247" s="191"/>
      <c r="M247" s="191"/>
      <c r="N247" s="191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191"/>
      <c r="H248" s="191"/>
      <c r="I248" s="191"/>
      <c r="J248" s="191"/>
      <c r="K248" s="191"/>
      <c r="L248" s="191"/>
      <c r="M248" s="191"/>
      <c r="N248" s="191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191"/>
      <c r="H249" s="191"/>
      <c r="I249" s="191"/>
      <c r="J249" s="191"/>
      <c r="K249" s="191"/>
      <c r="L249" s="191"/>
      <c r="M249" s="191"/>
      <c r="N249" s="191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191"/>
      <c r="H250" s="191"/>
      <c r="I250" s="191"/>
      <c r="J250" s="191"/>
      <c r="K250" s="191"/>
      <c r="L250" s="191"/>
      <c r="M250" s="191"/>
      <c r="N250" s="191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191"/>
      <c r="H251" s="191"/>
      <c r="I251" s="191"/>
      <c r="J251" s="191"/>
      <c r="K251" s="191"/>
      <c r="L251" s="191"/>
      <c r="M251" s="191"/>
      <c r="N251" s="191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191"/>
      <c r="H252" s="191"/>
      <c r="I252" s="191"/>
      <c r="J252" s="191"/>
      <c r="K252" s="191"/>
      <c r="L252" s="191"/>
      <c r="M252" s="191"/>
      <c r="N252" s="191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191"/>
      <c r="H253" s="191"/>
      <c r="I253" s="191"/>
      <c r="J253" s="191"/>
      <c r="K253" s="191"/>
      <c r="L253" s="191"/>
      <c r="M253" s="191"/>
      <c r="N253" s="191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191"/>
      <c r="H254" s="191"/>
      <c r="I254" s="191"/>
      <c r="J254" s="191"/>
      <c r="K254" s="191"/>
      <c r="L254" s="191"/>
      <c r="M254" s="191"/>
      <c r="N254" s="191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191"/>
      <c r="H255" s="191"/>
      <c r="I255" s="191"/>
      <c r="J255" s="191"/>
      <c r="K255" s="191"/>
      <c r="L255" s="191"/>
      <c r="M255" s="191"/>
      <c r="N255" s="191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191"/>
      <c r="H256" s="191"/>
      <c r="I256" s="191"/>
      <c r="J256" s="191"/>
      <c r="K256" s="191"/>
      <c r="L256" s="191"/>
      <c r="M256" s="191"/>
      <c r="N256" s="191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191"/>
      <c r="H257" s="191"/>
      <c r="I257" s="191"/>
      <c r="J257" s="191"/>
      <c r="K257" s="191"/>
      <c r="L257" s="191"/>
      <c r="M257" s="191"/>
      <c r="N257" s="191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191"/>
      <c r="H258" s="191"/>
      <c r="I258" s="191"/>
      <c r="J258" s="191"/>
      <c r="K258" s="191"/>
      <c r="L258" s="191"/>
      <c r="M258" s="191"/>
      <c r="N258" s="191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191"/>
      <c r="H259" s="191"/>
      <c r="I259" s="191"/>
      <c r="J259" s="191"/>
      <c r="K259" s="191"/>
      <c r="L259" s="191"/>
      <c r="M259" s="191"/>
      <c r="N259" s="191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191"/>
      <c r="H260" s="191"/>
      <c r="I260" s="191"/>
      <c r="J260" s="191"/>
      <c r="K260" s="191"/>
      <c r="L260" s="191"/>
      <c r="M260" s="191"/>
      <c r="N260" s="191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191"/>
      <c r="H261" s="191"/>
      <c r="I261" s="191"/>
      <c r="J261" s="191"/>
      <c r="K261" s="191"/>
      <c r="L261" s="191"/>
      <c r="M261" s="191"/>
      <c r="N261" s="191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191"/>
      <c r="H262" s="191"/>
      <c r="I262" s="191"/>
      <c r="J262" s="191"/>
      <c r="K262" s="191"/>
      <c r="L262" s="191"/>
      <c r="M262" s="191"/>
      <c r="N262" s="191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191"/>
      <c r="H263" s="191"/>
      <c r="I263" s="191"/>
      <c r="J263" s="191"/>
      <c r="K263" s="191"/>
      <c r="L263" s="191"/>
      <c r="M263" s="191"/>
      <c r="N263" s="191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191"/>
      <c r="H264" s="191"/>
      <c r="I264" s="191"/>
      <c r="J264" s="191"/>
      <c r="K264" s="191"/>
      <c r="L264" s="191"/>
      <c r="M264" s="191"/>
      <c r="N264" s="191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191"/>
      <c r="H265" s="191"/>
      <c r="I265" s="191"/>
      <c r="J265" s="191"/>
      <c r="K265" s="191"/>
      <c r="L265" s="191"/>
      <c r="M265" s="191"/>
      <c r="N265" s="191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191"/>
      <c r="H266" s="191"/>
      <c r="I266" s="191"/>
      <c r="J266" s="191"/>
      <c r="K266" s="191"/>
      <c r="L266" s="191"/>
      <c r="M266" s="191"/>
      <c r="N266" s="191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191"/>
      <c r="H267" s="191"/>
      <c r="I267" s="191"/>
      <c r="J267" s="191"/>
      <c r="K267" s="191"/>
      <c r="L267" s="191"/>
      <c r="M267" s="191"/>
      <c r="N267" s="191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191"/>
      <c r="H268" s="191"/>
      <c r="I268" s="191"/>
      <c r="J268" s="191"/>
      <c r="K268" s="191"/>
      <c r="L268" s="191"/>
      <c r="M268" s="191"/>
      <c r="N268" s="19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191"/>
      <c r="H269" s="191"/>
      <c r="I269" s="191"/>
      <c r="J269" s="191"/>
      <c r="K269" s="191"/>
      <c r="L269" s="191"/>
      <c r="M269" s="191"/>
      <c r="N269" s="191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191"/>
      <c r="H270" s="191"/>
      <c r="I270" s="191"/>
      <c r="J270" s="191"/>
      <c r="K270" s="191"/>
      <c r="L270" s="191"/>
      <c r="M270" s="191"/>
      <c r="N270" s="191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191"/>
      <c r="H271" s="191"/>
      <c r="I271" s="191"/>
      <c r="J271" s="191"/>
      <c r="K271" s="191"/>
      <c r="L271" s="191"/>
      <c r="M271" s="191"/>
      <c r="N271" s="19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191"/>
      <c r="H272" s="191"/>
      <c r="I272" s="191"/>
      <c r="J272" s="191"/>
      <c r="K272" s="191"/>
      <c r="L272" s="191"/>
      <c r="M272" s="191"/>
      <c r="N272" s="191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191"/>
      <c r="H273" s="191"/>
      <c r="I273" s="191"/>
      <c r="J273" s="191"/>
      <c r="K273" s="191"/>
      <c r="L273" s="191"/>
      <c r="M273" s="191"/>
      <c r="N273" s="191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191"/>
      <c r="H274" s="191"/>
      <c r="I274" s="191"/>
      <c r="J274" s="191"/>
      <c r="K274" s="191"/>
      <c r="L274" s="191"/>
      <c r="M274" s="191"/>
      <c r="N274" s="191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191"/>
      <c r="H275" s="191"/>
      <c r="I275" s="191"/>
      <c r="J275" s="191"/>
      <c r="K275" s="191"/>
      <c r="L275" s="191"/>
      <c r="M275" s="191"/>
      <c r="N275" s="19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191"/>
      <c r="H276" s="191"/>
      <c r="I276" s="191"/>
      <c r="J276" s="191"/>
      <c r="K276" s="191"/>
      <c r="L276" s="191"/>
      <c r="M276" s="191"/>
      <c r="N276" s="191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191"/>
      <c r="H277" s="191"/>
      <c r="I277" s="191"/>
      <c r="J277" s="191"/>
      <c r="K277" s="191"/>
      <c r="L277" s="191"/>
      <c r="M277" s="191"/>
      <c r="N277" s="191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191"/>
      <c r="H278" s="191"/>
      <c r="I278" s="191"/>
      <c r="J278" s="191"/>
      <c r="K278" s="191"/>
      <c r="L278" s="191"/>
      <c r="M278" s="191"/>
      <c r="N278" s="191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191"/>
      <c r="H279" s="191"/>
      <c r="I279" s="191"/>
      <c r="J279" s="191"/>
      <c r="K279" s="191"/>
      <c r="L279" s="191"/>
      <c r="M279" s="191"/>
      <c r="N279" s="191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191"/>
      <c r="H280" s="191"/>
      <c r="I280" s="191"/>
      <c r="J280" s="191"/>
      <c r="K280" s="191"/>
      <c r="L280" s="191"/>
      <c r="M280" s="191"/>
      <c r="N280" s="191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191"/>
      <c r="H281" s="191"/>
      <c r="I281" s="191"/>
      <c r="J281" s="191"/>
      <c r="K281" s="191"/>
      <c r="L281" s="191"/>
      <c r="M281" s="191"/>
      <c r="N281" s="191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191"/>
      <c r="H282" s="191"/>
      <c r="I282" s="191"/>
      <c r="J282" s="191"/>
      <c r="K282" s="191"/>
      <c r="L282" s="191"/>
      <c r="M282" s="191"/>
      <c r="N282" s="191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191"/>
      <c r="H283" s="191"/>
      <c r="I283" s="191"/>
      <c r="J283" s="191"/>
      <c r="K283" s="191"/>
      <c r="L283" s="191"/>
      <c r="M283" s="191"/>
      <c r="N283" s="191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191"/>
      <c r="H284" s="191"/>
      <c r="I284" s="191"/>
      <c r="J284" s="191"/>
      <c r="K284" s="191"/>
      <c r="L284" s="191"/>
      <c r="M284" s="191"/>
      <c r="N284" s="191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191"/>
      <c r="H285" s="191"/>
      <c r="I285" s="191"/>
      <c r="J285" s="191"/>
      <c r="K285" s="191"/>
      <c r="L285" s="191"/>
      <c r="M285" s="191"/>
      <c r="N285" s="191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191"/>
      <c r="H286" s="191"/>
      <c r="I286" s="191"/>
      <c r="J286" s="191"/>
      <c r="K286" s="191"/>
      <c r="L286" s="191"/>
      <c r="M286" s="191"/>
      <c r="N286" s="191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191"/>
      <c r="H287" s="191"/>
      <c r="I287" s="191"/>
      <c r="J287" s="191"/>
      <c r="K287" s="191"/>
      <c r="L287" s="191"/>
      <c r="M287" s="191"/>
      <c r="N287" s="191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191"/>
      <c r="H288" s="191"/>
      <c r="I288" s="191"/>
      <c r="J288" s="191"/>
      <c r="K288" s="191"/>
      <c r="L288" s="191"/>
      <c r="M288" s="191"/>
      <c r="N288" s="191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191"/>
      <c r="H289" s="191"/>
      <c r="I289" s="191"/>
      <c r="J289" s="191"/>
      <c r="K289" s="191"/>
      <c r="L289" s="191"/>
      <c r="M289" s="191"/>
      <c r="N289" s="191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191"/>
      <c r="H290" s="191"/>
      <c r="I290" s="191"/>
      <c r="J290" s="191"/>
      <c r="K290" s="191"/>
      <c r="L290" s="191"/>
      <c r="M290" s="191"/>
      <c r="N290" s="191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191"/>
      <c r="H291" s="191"/>
      <c r="I291" s="191"/>
      <c r="J291" s="191"/>
      <c r="K291" s="191"/>
      <c r="L291" s="191"/>
      <c r="M291" s="191"/>
      <c r="N291" s="191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191"/>
      <c r="H292" s="191"/>
      <c r="I292" s="191"/>
      <c r="J292" s="191"/>
      <c r="K292" s="191"/>
      <c r="L292" s="191"/>
      <c r="M292" s="191"/>
      <c r="N292" s="191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191"/>
      <c r="H293" s="191"/>
      <c r="I293" s="191"/>
      <c r="J293" s="191"/>
      <c r="K293" s="191"/>
      <c r="L293" s="191"/>
      <c r="M293" s="191"/>
      <c r="N293" s="191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191"/>
      <c r="H294" s="191"/>
      <c r="I294" s="191"/>
      <c r="J294" s="191"/>
      <c r="K294" s="191"/>
      <c r="L294" s="191"/>
      <c r="M294" s="191"/>
      <c r="N294" s="191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191"/>
      <c r="H295" s="191"/>
      <c r="I295" s="191"/>
      <c r="J295" s="191"/>
      <c r="K295" s="191"/>
      <c r="L295" s="191"/>
      <c r="M295" s="191"/>
      <c r="N295" s="191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191"/>
      <c r="H296" s="191"/>
      <c r="I296" s="191"/>
      <c r="J296" s="191"/>
      <c r="K296" s="191"/>
      <c r="L296" s="191"/>
      <c r="M296" s="191"/>
      <c r="N296" s="191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191"/>
      <c r="H297" s="191"/>
      <c r="I297" s="191"/>
      <c r="J297" s="191"/>
      <c r="K297" s="191"/>
      <c r="L297" s="191"/>
      <c r="M297" s="191"/>
      <c r="N297" s="191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191"/>
      <c r="H298" s="191"/>
      <c r="I298" s="191"/>
      <c r="J298" s="191"/>
      <c r="K298" s="191"/>
      <c r="L298" s="191"/>
      <c r="M298" s="191"/>
      <c r="N298" s="191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191"/>
      <c r="H299" s="191"/>
      <c r="I299" s="191"/>
      <c r="J299" s="191"/>
      <c r="K299" s="191"/>
      <c r="L299" s="191"/>
      <c r="M299" s="191"/>
      <c r="N299" s="191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191"/>
      <c r="H300" s="191"/>
      <c r="I300" s="191"/>
      <c r="J300" s="191"/>
      <c r="K300" s="191"/>
      <c r="L300" s="191"/>
      <c r="M300" s="191"/>
      <c r="N300" s="191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191"/>
      <c r="H301" s="191"/>
      <c r="I301" s="191"/>
      <c r="J301" s="191"/>
      <c r="K301" s="191"/>
      <c r="L301" s="191"/>
      <c r="M301" s="191"/>
      <c r="N301" s="191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191"/>
      <c r="H302" s="191"/>
      <c r="I302" s="191"/>
      <c r="J302" s="191"/>
      <c r="K302" s="191"/>
      <c r="L302" s="191"/>
      <c r="M302" s="191"/>
      <c r="N302" s="191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191"/>
      <c r="H303" s="191"/>
      <c r="I303" s="191"/>
      <c r="J303" s="191"/>
      <c r="K303" s="191"/>
      <c r="L303" s="191"/>
      <c r="M303" s="191"/>
      <c r="N303" s="191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191"/>
      <c r="H304" s="191"/>
      <c r="I304" s="191"/>
      <c r="J304" s="191"/>
      <c r="K304" s="191"/>
      <c r="L304" s="191"/>
      <c r="M304" s="191"/>
      <c r="N304" s="191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191"/>
      <c r="H305" s="191"/>
      <c r="I305" s="191"/>
      <c r="J305" s="191"/>
      <c r="K305" s="191"/>
      <c r="L305" s="191"/>
      <c r="M305" s="191"/>
      <c r="N305" s="191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191"/>
      <c r="H306" s="191"/>
      <c r="I306" s="191"/>
      <c r="J306" s="191"/>
      <c r="K306" s="191"/>
      <c r="L306" s="191"/>
      <c r="M306" s="191"/>
      <c r="N306" s="191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191"/>
      <c r="H307" s="191"/>
      <c r="I307" s="191"/>
      <c r="J307" s="191"/>
      <c r="K307" s="191"/>
      <c r="L307" s="191"/>
      <c r="M307" s="191"/>
      <c r="N307" s="19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191"/>
      <c r="H308" s="191"/>
      <c r="I308" s="191"/>
      <c r="J308" s="191"/>
      <c r="K308" s="191"/>
      <c r="L308" s="191"/>
      <c r="M308" s="191"/>
      <c r="N308" s="191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191"/>
      <c r="H309" s="191"/>
      <c r="I309" s="191"/>
      <c r="J309" s="191"/>
      <c r="K309" s="191"/>
      <c r="L309" s="191"/>
      <c r="M309" s="191"/>
      <c r="N309" s="191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191"/>
      <c r="H310" s="191"/>
      <c r="I310" s="191"/>
      <c r="J310" s="191"/>
      <c r="K310" s="191"/>
      <c r="L310" s="191"/>
      <c r="M310" s="191"/>
      <c r="N310" s="19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191"/>
      <c r="H311" s="191"/>
      <c r="I311" s="191"/>
      <c r="J311" s="191"/>
      <c r="K311" s="191"/>
      <c r="L311" s="191"/>
      <c r="M311" s="191"/>
      <c r="N311" s="19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191"/>
      <c r="H312" s="191"/>
      <c r="I312" s="191"/>
      <c r="J312" s="191"/>
      <c r="K312" s="191"/>
      <c r="L312" s="191"/>
      <c r="M312" s="191"/>
      <c r="N312" s="19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191"/>
      <c r="H313" s="191"/>
      <c r="I313" s="191"/>
      <c r="J313" s="191"/>
      <c r="K313" s="191"/>
      <c r="L313" s="191"/>
      <c r="M313" s="191"/>
      <c r="N313" s="19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191"/>
      <c r="H314" s="191"/>
      <c r="I314" s="191"/>
      <c r="J314" s="191"/>
      <c r="K314" s="191"/>
      <c r="L314" s="191"/>
      <c r="M314" s="191"/>
      <c r="N314" s="19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191"/>
      <c r="H315" s="191"/>
      <c r="I315" s="191"/>
      <c r="J315" s="191"/>
      <c r="K315" s="191"/>
      <c r="L315" s="191"/>
      <c r="M315" s="191"/>
      <c r="N315" s="191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191"/>
      <c r="H316" s="191"/>
      <c r="I316" s="191"/>
      <c r="J316" s="191"/>
      <c r="K316" s="191"/>
      <c r="L316" s="191"/>
      <c r="M316" s="191"/>
      <c r="N316" s="191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191"/>
      <c r="H317" s="191"/>
      <c r="I317" s="191"/>
      <c r="J317" s="191"/>
      <c r="K317" s="191"/>
      <c r="L317" s="191"/>
      <c r="M317" s="191"/>
      <c r="N317" s="19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191"/>
      <c r="H318" s="191"/>
      <c r="I318" s="191"/>
      <c r="J318" s="191"/>
      <c r="K318" s="191"/>
      <c r="L318" s="191"/>
      <c r="M318" s="191"/>
      <c r="N318" s="19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191"/>
      <c r="H319" s="191"/>
      <c r="I319" s="191"/>
      <c r="J319" s="191"/>
      <c r="K319" s="191"/>
      <c r="L319" s="191"/>
      <c r="M319" s="191"/>
      <c r="N319" s="19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191"/>
      <c r="H320" s="191"/>
      <c r="I320" s="191"/>
      <c r="J320" s="191"/>
      <c r="K320" s="191"/>
      <c r="L320" s="191"/>
      <c r="M320" s="191"/>
      <c r="N320" s="191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191"/>
      <c r="H321" s="191"/>
      <c r="I321" s="191"/>
      <c r="J321" s="191"/>
      <c r="K321" s="191"/>
      <c r="L321" s="191"/>
      <c r="M321" s="191"/>
      <c r="N321" s="191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191"/>
      <c r="H322" s="191"/>
      <c r="I322" s="191"/>
      <c r="J322" s="191"/>
      <c r="K322" s="191"/>
      <c r="L322" s="191"/>
      <c r="M322" s="191"/>
      <c r="N322" s="191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191"/>
      <c r="H323" s="191"/>
      <c r="I323" s="191"/>
      <c r="J323" s="191"/>
      <c r="K323" s="191"/>
      <c r="L323" s="191"/>
      <c r="M323" s="191"/>
      <c r="N323" s="19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191"/>
      <c r="H324" s="191"/>
      <c r="I324" s="191"/>
      <c r="J324" s="191"/>
      <c r="K324" s="191"/>
      <c r="L324" s="191"/>
      <c r="M324" s="191"/>
      <c r="N324" s="19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191"/>
      <c r="H325" s="191"/>
      <c r="I325" s="191"/>
      <c r="J325" s="191"/>
      <c r="K325" s="191"/>
      <c r="L325" s="191"/>
      <c r="M325" s="191"/>
      <c r="N325" s="19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191"/>
      <c r="H326" s="191"/>
      <c r="I326" s="191"/>
      <c r="J326" s="191"/>
      <c r="K326" s="191"/>
      <c r="L326" s="191"/>
      <c r="M326" s="191"/>
      <c r="N326" s="19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191"/>
      <c r="H327" s="191"/>
      <c r="I327" s="191"/>
      <c r="J327" s="191"/>
      <c r="K327" s="191"/>
      <c r="L327" s="191"/>
      <c r="M327" s="191"/>
      <c r="N327" s="19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191"/>
      <c r="H328" s="191"/>
      <c r="I328" s="191"/>
      <c r="J328" s="191"/>
      <c r="K328" s="191"/>
      <c r="L328" s="191"/>
      <c r="M328" s="191"/>
      <c r="N328" s="19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191"/>
      <c r="H329" s="191"/>
      <c r="I329" s="191"/>
      <c r="J329" s="191"/>
      <c r="K329" s="191"/>
      <c r="L329" s="191"/>
      <c r="M329" s="191"/>
      <c r="N329" s="19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191"/>
      <c r="H330" s="191"/>
      <c r="I330" s="191"/>
      <c r="J330" s="191"/>
      <c r="K330" s="191"/>
      <c r="L330" s="191"/>
      <c r="M330" s="191"/>
      <c r="N330" s="19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191"/>
      <c r="H331" s="191"/>
      <c r="I331" s="191"/>
      <c r="J331" s="191"/>
      <c r="K331" s="191"/>
      <c r="L331" s="191"/>
      <c r="M331" s="191"/>
      <c r="N331" s="19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191"/>
      <c r="H332" s="191"/>
      <c r="I332" s="191"/>
      <c r="J332" s="191"/>
      <c r="K332" s="191"/>
      <c r="L332" s="191"/>
      <c r="M332" s="191"/>
      <c r="N332" s="19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191"/>
      <c r="H333" s="191"/>
      <c r="I333" s="191"/>
      <c r="J333" s="191"/>
      <c r="K333" s="191"/>
      <c r="L333" s="191"/>
      <c r="M333" s="191"/>
      <c r="N333" s="19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191"/>
      <c r="H334" s="191"/>
      <c r="I334" s="191"/>
      <c r="J334" s="191"/>
      <c r="K334" s="191"/>
      <c r="L334" s="191"/>
      <c r="M334" s="191"/>
      <c r="N334" s="19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191"/>
      <c r="H335" s="191"/>
      <c r="I335" s="191"/>
      <c r="J335" s="191"/>
      <c r="K335" s="191"/>
      <c r="L335" s="191"/>
      <c r="M335" s="191"/>
      <c r="N335" s="19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191"/>
      <c r="H336" s="191"/>
      <c r="I336" s="191"/>
      <c r="J336" s="191"/>
      <c r="K336" s="191"/>
      <c r="L336" s="191"/>
      <c r="M336" s="191"/>
      <c r="N336" s="19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191"/>
      <c r="H337" s="191"/>
      <c r="I337" s="191"/>
      <c r="J337" s="191"/>
      <c r="K337" s="191"/>
      <c r="L337" s="191"/>
      <c r="M337" s="191"/>
      <c r="N337" s="19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191"/>
      <c r="H338" s="191"/>
      <c r="I338" s="191"/>
      <c r="J338" s="191"/>
      <c r="K338" s="191"/>
      <c r="L338" s="191"/>
      <c r="M338" s="191"/>
      <c r="N338" s="19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191"/>
      <c r="H339" s="191"/>
      <c r="I339" s="191"/>
      <c r="J339" s="191"/>
      <c r="K339" s="191"/>
      <c r="L339" s="191"/>
      <c r="M339" s="191"/>
      <c r="N339" s="19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191"/>
      <c r="H340" s="191"/>
      <c r="I340" s="191"/>
      <c r="J340" s="191"/>
      <c r="K340" s="191"/>
      <c r="L340" s="191"/>
      <c r="M340" s="191"/>
      <c r="N340" s="19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191"/>
      <c r="H341" s="191"/>
      <c r="I341" s="191"/>
      <c r="J341" s="191"/>
      <c r="K341" s="191"/>
      <c r="L341" s="191"/>
      <c r="M341" s="191"/>
      <c r="N341" s="19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191"/>
      <c r="H342" s="191"/>
      <c r="I342" s="191"/>
      <c r="J342" s="191"/>
      <c r="K342" s="191"/>
      <c r="L342" s="191"/>
      <c r="M342" s="191"/>
      <c r="N342" s="19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191"/>
      <c r="H343" s="191"/>
      <c r="I343" s="191"/>
      <c r="J343" s="191"/>
      <c r="K343" s="191"/>
      <c r="L343" s="191"/>
      <c r="M343" s="191"/>
      <c r="N343" s="19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191"/>
      <c r="H344" s="191"/>
      <c r="I344" s="191"/>
      <c r="J344" s="191"/>
      <c r="K344" s="191"/>
      <c r="L344" s="191"/>
      <c r="M344" s="191"/>
      <c r="N344" s="19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191"/>
      <c r="H345" s="191"/>
      <c r="I345" s="191"/>
      <c r="J345" s="191"/>
      <c r="K345" s="191"/>
      <c r="L345" s="191"/>
      <c r="M345" s="191"/>
      <c r="N345" s="19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191"/>
      <c r="H346" s="191"/>
      <c r="I346" s="191"/>
      <c r="J346" s="191"/>
      <c r="K346" s="191"/>
      <c r="L346" s="191"/>
      <c r="M346" s="191"/>
      <c r="N346" s="19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191"/>
      <c r="H347" s="191"/>
      <c r="I347" s="191"/>
      <c r="J347" s="191"/>
      <c r="K347" s="191"/>
      <c r="L347" s="191"/>
      <c r="M347" s="191"/>
      <c r="N347" s="19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191"/>
      <c r="H348" s="191"/>
      <c r="I348" s="191"/>
      <c r="J348" s="191"/>
      <c r="K348" s="191"/>
      <c r="L348" s="191"/>
      <c r="M348" s="191"/>
      <c r="N348" s="19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191"/>
      <c r="H349" s="191"/>
      <c r="I349" s="191"/>
      <c r="J349" s="191"/>
      <c r="K349" s="191"/>
      <c r="L349" s="191"/>
      <c r="M349" s="191"/>
      <c r="N349" s="19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191"/>
      <c r="H350" s="191"/>
      <c r="I350" s="191"/>
      <c r="J350" s="191"/>
      <c r="K350" s="191"/>
      <c r="L350" s="191"/>
      <c r="M350" s="191"/>
      <c r="N350" s="19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191"/>
      <c r="H351" s="191"/>
      <c r="I351" s="191"/>
      <c r="J351" s="191"/>
      <c r="K351" s="191"/>
      <c r="L351" s="191"/>
      <c r="M351" s="191"/>
      <c r="N351" s="19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191"/>
      <c r="H352" s="191"/>
      <c r="I352" s="191"/>
      <c r="J352" s="191"/>
      <c r="K352" s="191"/>
      <c r="L352" s="191"/>
      <c r="M352" s="191"/>
      <c r="N352" s="19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191"/>
      <c r="H353" s="191"/>
      <c r="I353" s="191"/>
      <c r="J353" s="191"/>
      <c r="K353" s="191"/>
      <c r="L353" s="191"/>
      <c r="M353" s="191"/>
      <c r="N353" s="19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191"/>
      <c r="H354" s="191"/>
      <c r="I354" s="191"/>
      <c r="J354" s="191"/>
      <c r="K354" s="191"/>
      <c r="L354" s="191"/>
      <c r="M354" s="191"/>
      <c r="N354" s="19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191"/>
      <c r="H355" s="191"/>
      <c r="I355" s="191"/>
      <c r="J355" s="191"/>
      <c r="K355" s="191"/>
      <c r="L355" s="191"/>
      <c r="M355" s="191"/>
      <c r="N355" s="19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191"/>
      <c r="H356" s="191"/>
      <c r="I356" s="191"/>
      <c r="J356" s="191"/>
      <c r="K356" s="191"/>
      <c r="L356" s="191"/>
      <c r="M356" s="191"/>
      <c r="N356" s="19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191"/>
      <c r="H357" s="191"/>
      <c r="I357" s="191"/>
      <c r="J357" s="191"/>
      <c r="K357" s="191"/>
      <c r="L357" s="191"/>
      <c r="M357" s="191"/>
      <c r="N357" s="19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191"/>
      <c r="H358" s="191"/>
      <c r="I358" s="191"/>
      <c r="J358" s="191"/>
      <c r="K358" s="191"/>
      <c r="L358" s="191"/>
      <c r="M358" s="191"/>
      <c r="N358" s="19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191"/>
      <c r="H359" s="191"/>
      <c r="I359" s="191"/>
      <c r="J359" s="191"/>
      <c r="K359" s="191"/>
      <c r="L359" s="191"/>
      <c r="M359" s="191"/>
      <c r="N359" s="19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191"/>
      <c r="H360" s="191"/>
      <c r="I360" s="191"/>
      <c r="J360" s="191"/>
      <c r="K360" s="191"/>
      <c r="L360" s="191"/>
      <c r="M360" s="191"/>
      <c r="N360" s="19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191"/>
      <c r="H361" s="191"/>
      <c r="I361" s="191"/>
      <c r="J361" s="191"/>
      <c r="K361" s="191"/>
      <c r="L361" s="191"/>
      <c r="M361" s="191"/>
      <c r="N361" s="19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191"/>
      <c r="H362" s="191"/>
      <c r="I362" s="191"/>
      <c r="J362" s="191"/>
      <c r="K362" s="191"/>
      <c r="L362" s="191"/>
      <c r="M362" s="191"/>
      <c r="N362" s="19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191"/>
      <c r="H363" s="191"/>
      <c r="I363" s="191"/>
      <c r="J363" s="191"/>
      <c r="K363" s="191"/>
      <c r="L363" s="191"/>
      <c r="M363" s="191"/>
      <c r="N363" s="19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191"/>
      <c r="H364" s="191"/>
      <c r="I364" s="191"/>
      <c r="J364" s="191"/>
      <c r="K364" s="191"/>
      <c r="L364" s="191"/>
      <c r="M364" s="191"/>
      <c r="N364" s="19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191"/>
      <c r="H365" s="191"/>
      <c r="I365" s="191"/>
      <c r="J365" s="191"/>
      <c r="K365" s="191"/>
      <c r="L365" s="191"/>
      <c r="M365" s="191"/>
      <c r="N365" s="19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191"/>
      <c r="H366" s="191"/>
      <c r="I366" s="191"/>
      <c r="J366" s="191"/>
      <c r="K366" s="191"/>
      <c r="L366" s="191"/>
      <c r="M366" s="191"/>
      <c r="N366" s="19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191"/>
      <c r="H367" s="191"/>
      <c r="I367" s="191"/>
      <c r="J367" s="191"/>
      <c r="K367" s="191"/>
      <c r="L367" s="191"/>
      <c r="M367" s="191"/>
      <c r="N367" s="19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191"/>
      <c r="H368" s="191"/>
      <c r="I368" s="191"/>
      <c r="J368" s="191"/>
      <c r="K368" s="191"/>
      <c r="L368" s="191"/>
      <c r="M368" s="191"/>
      <c r="N368" s="19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191"/>
      <c r="H369" s="191"/>
      <c r="I369" s="191"/>
      <c r="J369" s="191"/>
      <c r="K369" s="191"/>
      <c r="L369" s="191"/>
      <c r="M369" s="191"/>
      <c r="N369" s="19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191"/>
      <c r="H370" s="191"/>
      <c r="I370" s="191"/>
      <c r="J370" s="191"/>
      <c r="K370" s="191"/>
      <c r="L370" s="191"/>
      <c r="M370" s="191"/>
      <c r="N370" s="19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191"/>
      <c r="H371" s="191"/>
      <c r="I371" s="191"/>
      <c r="J371" s="191"/>
      <c r="K371" s="191"/>
      <c r="L371" s="191"/>
      <c r="M371" s="191"/>
      <c r="N371" s="19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191"/>
      <c r="H372" s="191"/>
      <c r="I372" s="191"/>
      <c r="J372" s="191"/>
      <c r="K372" s="191"/>
      <c r="L372" s="191"/>
      <c r="M372" s="191"/>
      <c r="N372" s="19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191"/>
      <c r="H373" s="191"/>
      <c r="I373" s="191"/>
      <c r="J373" s="191"/>
      <c r="K373" s="191"/>
      <c r="L373" s="191"/>
      <c r="M373" s="191"/>
      <c r="N373" s="19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191"/>
      <c r="H374" s="191"/>
      <c r="I374" s="191"/>
      <c r="J374" s="191"/>
      <c r="K374" s="191"/>
      <c r="L374" s="191"/>
      <c r="M374" s="191"/>
      <c r="N374" s="19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191"/>
      <c r="H375" s="191"/>
      <c r="I375" s="191"/>
      <c r="J375" s="191"/>
      <c r="K375" s="191"/>
      <c r="L375" s="191"/>
      <c r="M375" s="191"/>
      <c r="N375" s="19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191"/>
      <c r="H376" s="191"/>
      <c r="I376" s="191"/>
      <c r="J376" s="191"/>
      <c r="K376" s="191"/>
      <c r="L376" s="191"/>
      <c r="M376" s="191"/>
      <c r="N376" s="19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191"/>
      <c r="H377" s="191"/>
      <c r="I377" s="191"/>
      <c r="J377" s="191"/>
      <c r="K377" s="191"/>
      <c r="L377" s="191"/>
      <c r="M377" s="191"/>
      <c r="N377" s="19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191"/>
      <c r="H378" s="191"/>
      <c r="I378" s="191"/>
      <c r="J378" s="191"/>
      <c r="K378" s="191"/>
      <c r="L378" s="191"/>
      <c r="M378" s="191"/>
      <c r="N378" s="19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191"/>
      <c r="H379" s="191"/>
      <c r="I379" s="191"/>
      <c r="J379" s="191"/>
      <c r="K379" s="191"/>
      <c r="L379" s="191"/>
      <c r="M379" s="191"/>
      <c r="N379" s="19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191"/>
      <c r="H380" s="191"/>
      <c r="I380" s="191"/>
      <c r="J380" s="191"/>
      <c r="K380" s="191"/>
      <c r="L380" s="191"/>
      <c r="M380" s="191"/>
      <c r="N380" s="19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191"/>
      <c r="H381" s="191"/>
      <c r="I381" s="191"/>
      <c r="J381" s="191"/>
      <c r="K381" s="191"/>
      <c r="L381" s="191"/>
      <c r="M381" s="191"/>
      <c r="N381" s="19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191"/>
      <c r="H382" s="191"/>
      <c r="I382" s="191"/>
      <c r="J382" s="191"/>
      <c r="K382" s="191"/>
      <c r="L382" s="191"/>
      <c r="M382" s="191"/>
      <c r="N382" s="19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191"/>
      <c r="H383" s="191"/>
      <c r="I383" s="191"/>
      <c r="J383" s="191"/>
      <c r="K383" s="191"/>
      <c r="L383" s="191"/>
      <c r="M383" s="191"/>
      <c r="N383" s="19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191"/>
      <c r="H384" s="191"/>
      <c r="I384" s="191"/>
      <c r="J384" s="191"/>
      <c r="K384" s="191"/>
      <c r="L384" s="191"/>
      <c r="M384" s="191"/>
      <c r="N384" s="19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191"/>
      <c r="H385" s="191"/>
      <c r="I385" s="191"/>
      <c r="J385" s="191"/>
      <c r="K385" s="191"/>
      <c r="L385" s="191"/>
      <c r="M385" s="191"/>
      <c r="N385" s="19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191"/>
      <c r="H386" s="191"/>
      <c r="I386" s="191"/>
      <c r="J386" s="191"/>
      <c r="K386" s="191"/>
      <c r="L386" s="191"/>
      <c r="M386" s="191"/>
      <c r="N386" s="19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191"/>
      <c r="H387" s="191"/>
      <c r="I387" s="191"/>
      <c r="J387" s="191"/>
      <c r="K387" s="191"/>
      <c r="L387" s="191"/>
      <c r="M387" s="191"/>
      <c r="N387" s="19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191"/>
      <c r="H388" s="191"/>
      <c r="I388" s="191"/>
      <c r="J388" s="191"/>
      <c r="K388" s="191"/>
      <c r="L388" s="191"/>
      <c r="M388" s="191"/>
      <c r="N388" s="19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191"/>
      <c r="H389" s="191"/>
      <c r="I389" s="191"/>
      <c r="J389" s="191"/>
      <c r="K389" s="191"/>
      <c r="L389" s="191"/>
      <c r="M389" s="191"/>
      <c r="N389" s="19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191"/>
      <c r="H390" s="191"/>
      <c r="I390" s="191"/>
      <c r="J390" s="191"/>
      <c r="K390" s="191"/>
      <c r="L390" s="191"/>
      <c r="M390" s="191"/>
      <c r="N390" s="19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191"/>
      <c r="H391" s="191"/>
      <c r="I391" s="191"/>
      <c r="J391" s="191"/>
      <c r="K391" s="191"/>
      <c r="L391" s="191"/>
      <c r="M391" s="191"/>
      <c r="N391" s="19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191"/>
      <c r="H392" s="191"/>
      <c r="I392" s="191"/>
      <c r="J392" s="191"/>
      <c r="K392" s="191"/>
      <c r="L392" s="191"/>
      <c r="M392" s="191"/>
      <c r="N392" s="19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191"/>
      <c r="H393" s="191"/>
      <c r="I393" s="191"/>
      <c r="J393" s="191"/>
      <c r="K393" s="191"/>
      <c r="L393" s="191"/>
      <c r="M393" s="191"/>
      <c r="N393" s="19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191"/>
      <c r="H394" s="191"/>
      <c r="I394" s="191"/>
      <c r="J394" s="191"/>
      <c r="K394" s="191"/>
      <c r="L394" s="191"/>
      <c r="M394" s="191"/>
      <c r="N394" s="19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191"/>
      <c r="H395" s="191"/>
      <c r="I395" s="191"/>
      <c r="J395" s="191"/>
      <c r="K395" s="191"/>
      <c r="L395" s="191"/>
      <c r="M395" s="191"/>
      <c r="N395" s="19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191"/>
      <c r="H396" s="191"/>
      <c r="I396" s="191"/>
      <c r="J396" s="191"/>
      <c r="K396" s="191"/>
      <c r="L396" s="191"/>
      <c r="M396" s="191"/>
      <c r="N396" s="19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191"/>
      <c r="H397" s="191"/>
      <c r="I397" s="191"/>
      <c r="J397" s="191"/>
      <c r="K397" s="191"/>
      <c r="L397" s="191"/>
      <c r="M397" s="191"/>
      <c r="N397" s="19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191"/>
      <c r="H398" s="191"/>
      <c r="I398" s="191"/>
      <c r="J398" s="191"/>
      <c r="K398" s="191"/>
      <c r="L398" s="191"/>
      <c r="M398" s="191"/>
      <c r="N398" s="19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191"/>
      <c r="H399" s="191"/>
      <c r="I399" s="191"/>
      <c r="J399" s="191"/>
      <c r="K399" s="191"/>
      <c r="L399" s="191"/>
      <c r="M399" s="191"/>
      <c r="N399" s="19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191"/>
      <c r="H400" s="191"/>
      <c r="I400" s="191"/>
      <c r="J400" s="191"/>
      <c r="K400" s="191"/>
      <c r="L400" s="191"/>
      <c r="M400" s="191"/>
      <c r="N400" s="19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191"/>
      <c r="H401" s="191"/>
      <c r="I401" s="191"/>
      <c r="J401" s="191"/>
      <c r="K401" s="191"/>
      <c r="L401" s="191"/>
      <c r="M401" s="191"/>
      <c r="N401" s="19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191"/>
      <c r="H402" s="191"/>
      <c r="I402" s="191"/>
      <c r="J402" s="191"/>
      <c r="K402" s="191"/>
      <c r="L402" s="191"/>
      <c r="M402" s="191"/>
      <c r="N402" s="19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191"/>
      <c r="H403" s="191"/>
      <c r="I403" s="191"/>
      <c r="J403" s="191"/>
      <c r="K403" s="191"/>
      <c r="L403" s="191"/>
      <c r="M403" s="191"/>
      <c r="N403" s="19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191"/>
      <c r="H404" s="191"/>
      <c r="I404" s="191"/>
      <c r="J404" s="191"/>
      <c r="K404" s="191"/>
      <c r="L404" s="191"/>
      <c r="M404" s="191"/>
      <c r="N404" s="19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191"/>
      <c r="H405" s="191"/>
      <c r="I405" s="191"/>
      <c r="J405" s="191"/>
      <c r="K405" s="191"/>
      <c r="L405" s="191"/>
      <c r="M405" s="191"/>
      <c r="N405" s="19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191"/>
      <c r="H406" s="191"/>
      <c r="I406" s="191"/>
      <c r="J406" s="191"/>
      <c r="K406" s="191"/>
      <c r="L406" s="191"/>
      <c r="M406" s="191"/>
      <c r="N406" s="19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191"/>
      <c r="H407" s="191"/>
      <c r="I407" s="191"/>
      <c r="J407" s="191"/>
      <c r="K407" s="191"/>
      <c r="L407" s="191"/>
      <c r="M407" s="191"/>
      <c r="N407" s="19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191"/>
      <c r="H408" s="191"/>
      <c r="I408" s="191"/>
      <c r="J408" s="191"/>
      <c r="K408" s="191"/>
      <c r="L408" s="191"/>
      <c r="M408" s="191"/>
      <c r="N408" s="19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191"/>
      <c r="H409" s="191"/>
      <c r="I409" s="191"/>
      <c r="J409" s="191"/>
      <c r="K409" s="191"/>
      <c r="L409" s="191"/>
      <c r="M409" s="191"/>
      <c r="N409" s="19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191"/>
      <c r="H410" s="191"/>
      <c r="I410" s="191"/>
      <c r="J410" s="191"/>
      <c r="K410" s="191"/>
      <c r="L410" s="191"/>
      <c r="M410" s="191"/>
      <c r="N410" s="19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191"/>
      <c r="H411" s="191"/>
      <c r="I411" s="191"/>
      <c r="J411" s="191"/>
      <c r="K411" s="191"/>
      <c r="L411" s="191"/>
      <c r="M411" s="191"/>
      <c r="N411" s="19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191"/>
      <c r="H412" s="191"/>
      <c r="I412" s="191"/>
      <c r="J412" s="191"/>
      <c r="K412" s="191"/>
      <c r="L412" s="191"/>
      <c r="M412" s="191"/>
      <c r="N412" s="19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191"/>
      <c r="H413" s="191"/>
      <c r="I413" s="191"/>
      <c r="J413" s="191"/>
      <c r="K413" s="191"/>
      <c r="L413" s="191"/>
      <c r="M413" s="191"/>
      <c r="N413" s="19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191"/>
      <c r="H414" s="191"/>
      <c r="I414" s="191"/>
      <c r="J414" s="191"/>
      <c r="K414" s="191"/>
      <c r="L414" s="191"/>
      <c r="M414" s="191"/>
      <c r="N414" s="19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191"/>
      <c r="H415" s="191"/>
      <c r="I415" s="191"/>
      <c r="J415" s="191"/>
      <c r="K415" s="191"/>
      <c r="L415" s="191"/>
      <c r="M415" s="191"/>
      <c r="N415" s="19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191"/>
      <c r="H416" s="191"/>
      <c r="I416" s="191"/>
      <c r="J416" s="191"/>
      <c r="K416" s="191"/>
      <c r="L416" s="191"/>
      <c r="M416" s="191"/>
      <c r="N416" s="19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191"/>
      <c r="H417" s="191"/>
      <c r="I417" s="191"/>
      <c r="J417" s="191"/>
      <c r="K417" s="191"/>
      <c r="L417" s="191"/>
      <c r="M417" s="191"/>
      <c r="N417" s="19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191"/>
      <c r="H418" s="191"/>
      <c r="I418" s="191"/>
      <c r="J418" s="191"/>
      <c r="K418" s="191"/>
      <c r="L418" s="191"/>
      <c r="M418" s="191"/>
      <c r="N418" s="19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191"/>
      <c r="H419" s="191"/>
      <c r="I419" s="191"/>
      <c r="J419" s="191"/>
      <c r="K419" s="191"/>
      <c r="L419" s="191"/>
      <c r="M419" s="191"/>
      <c r="N419" s="19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191"/>
      <c r="H420" s="191"/>
      <c r="I420" s="191"/>
      <c r="J420" s="191"/>
      <c r="K420" s="191"/>
      <c r="L420" s="191"/>
      <c r="M420" s="191"/>
      <c r="N420" s="19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191"/>
      <c r="H421" s="191"/>
      <c r="I421" s="191"/>
      <c r="J421" s="191"/>
      <c r="K421" s="191"/>
      <c r="L421" s="191"/>
      <c r="M421" s="191"/>
      <c r="N421" s="19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191"/>
      <c r="H422" s="191"/>
      <c r="I422" s="191"/>
      <c r="J422" s="191"/>
      <c r="K422" s="191"/>
      <c r="L422" s="191"/>
      <c r="M422" s="191"/>
      <c r="N422" s="19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191"/>
      <c r="H423" s="191"/>
      <c r="I423" s="191"/>
      <c r="J423" s="191"/>
      <c r="K423" s="191"/>
      <c r="L423" s="191"/>
      <c r="M423" s="191"/>
      <c r="N423" s="19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191"/>
      <c r="H424" s="191"/>
      <c r="I424" s="191"/>
      <c r="J424" s="191"/>
      <c r="K424" s="191"/>
      <c r="L424" s="191"/>
      <c r="M424" s="191"/>
      <c r="N424" s="19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191"/>
      <c r="H425" s="191"/>
      <c r="I425" s="191"/>
      <c r="J425" s="191"/>
      <c r="K425" s="191"/>
      <c r="L425" s="191"/>
      <c r="M425" s="191"/>
      <c r="N425" s="19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191"/>
      <c r="H426" s="191"/>
      <c r="I426" s="191"/>
      <c r="J426" s="191"/>
      <c r="K426" s="191"/>
      <c r="L426" s="191"/>
      <c r="M426" s="191"/>
      <c r="N426" s="19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191"/>
      <c r="H427" s="191"/>
      <c r="I427" s="191"/>
      <c r="J427" s="191"/>
      <c r="K427" s="191"/>
      <c r="L427" s="191"/>
      <c r="M427" s="191"/>
      <c r="N427" s="19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191"/>
      <c r="H428" s="191"/>
      <c r="I428" s="191"/>
      <c r="J428" s="191"/>
      <c r="K428" s="191"/>
      <c r="L428" s="191"/>
      <c r="M428" s="191"/>
      <c r="N428" s="19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191"/>
      <c r="H429" s="191"/>
      <c r="I429" s="191"/>
      <c r="J429" s="191"/>
      <c r="K429" s="191"/>
      <c r="L429" s="191"/>
      <c r="M429" s="191"/>
      <c r="N429" s="19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191"/>
      <c r="H430" s="191"/>
      <c r="I430" s="191"/>
      <c r="J430" s="191"/>
      <c r="K430" s="191"/>
      <c r="L430" s="191"/>
      <c r="M430" s="191"/>
      <c r="N430" s="19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191"/>
      <c r="H431" s="191"/>
      <c r="I431" s="191"/>
      <c r="J431" s="191"/>
      <c r="K431" s="191"/>
      <c r="L431" s="191"/>
      <c r="M431" s="191"/>
      <c r="N431" s="19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191"/>
      <c r="H432" s="191"/>
      <c r="I432" s="191"/>
      <c r="J432" s="191"/>
      <c r="K432" s="191"/>
      <c r="L432" s="191"/>
      <c r="M432" s="191"/>
      <c r="N432" s="19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191"/>
      <c r="H433" s="191"/>
      <c r="I433" s="191"/>
      <c r="J433" s="191"/>
      <c r="K433" s="191"/>
      <c r="L433" s="191"/>
      <c r="M433" s="191"/>
      <c r="N433" s="19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191"/>
      <c r="H434" s="191"/>
      <c r="I434" s="191"/>
      <c r="J434" s="191"/>
      <c r="K434" s="191"/>
      <c r="L434" s="191"/>
      <c r="M434" s="191"/>
      <c r="N434" s="19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191"/>
      <c r="H435" s="191"/>
      <c r="I435" s="191"/>
      <c r="J435" s="191"/>
      <c r="K435" s="191"/>
      <c r="L435" s="191"/>
      <c r="M435" s="191"/>
      <c r="N435" s="19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191"/>
      <c r="H436" s="191"/>
      <c r="I436" s="191"/>
      <c r="J436" s="191"/>
      <c r="K436" s="191"/>
      <c r="L436" s="191"/>
      <c r="M436" s="191"/>
      <c r="N436" s="19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191"/>
      <c r="H437" s="191"/>
      <c r="I437" s="191"/>
      <c r="J437" s="191"/>
      <c r="K437" s="191"/>
      <c r="L437" s="191"/>
      <c r="M437" s="191"/>
      <c r="N437" s="19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191"/>
      <c r="H438" s="191"/>
      <c r="I438" s="191"/>
      <c r="J438" s="191"/>
      <c r="K438" s="191"/>
      <c r="L438" s="191"/>
      <c r="M438" s="191"/>
      <c r="N438" s="19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191"/>
      <c r="H439" s="191"/>
      <c r="I439" s="191"/>
      <c r="J439" s="191"/>
      <c r="K439" s="191"/>
      <c r="L439" s="191"/>
      <c r="M439" s="191"/>
      <c r="N439" s="19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191"/>
      <c r="H440" s="191"/>
      <c r="I440" s="191"/>
      <c r="J440" s="191"/>
      <c r="K440" s="191"/>
      <c r="L440" s="191"/>
      <c r="M440" s="191"/>
      <c r="N440" s="19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191"/>
      <c r="H441" s="191"/>
      <c r="I441" s="191"/>
      <c r="J441" s="191"/>
      <c r="K441" s="191"/>
      <c r="L441" s="191"/>
      <c r="M441" s="191"/>
      <c r="N441" s="19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191"/>
      <c r="H442" s="191"/>
      <c r="I442" s="191"/>
      <c r="J442" s="191"/>
      <c r="K442" s="191"/>
      <c r="L442" s="191"/>
      <c r="M442" s="191"/>
      <c r="N442" s="19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191"/>
      <c r="H443" s="191"/>
      <c r="I443" s="191"/>
      <c r="J443" s="191"/>
      <c r="K443" s="191"/>
      <c r="L443" s="191"/>
      <c r="M443" s="191"/>
      <c r="N443" s="19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191"/>
      <c r="H444" s="191"/>
      <c r="I444" s="191"/>
      <c r="J444" s="191"/>
      <c r="K444" s="191"/>
      <c r="L444" s="191"/>
      <c r="M444" s="191"/>
      <c r="N444" s="19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191"/>
      <c r="H445" s="191"/>
      <c r="I445" s="191"/>
      <c r="J445" s="191"/>
      <c r="K445" s="191"/>
      <c r="L445" s="191"/>
      <c r="M445" s="191"/>
      <c r="N445" s="19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191"/>
      <c r="H446" s="191"/>
      <c r="I446" s="191"/>
      <c r="J446" s="191"/>
      <c r="K446" s="191"/>
      <c r="L446" s="191"/>
      <c r="M446" s="191"/>
      <c r="N446" s="19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191"/>
      <c r="H447" s="191"/>
      <c r="I447" s="191"/>
      <c r="J447" s="191"/>
      <c r="K447" s="191"/>
      <c r="L447" s="191"/>
      <c r="M447" s="191"/>
      <c r="N447" s="19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191"/>
      <c r="H448" s="191"/>
      <c r="I448" s="191"/>
      <c r="J448" s="191"/>
      <c r="K448" s="191"/>
      <c r="L448" s="191"/>
      <c r="M448" s="191"/>
      <c r="N448" s="19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191"/>
      <c r="H449" s="191"/>
      <c r="I449" s="191"/>
      <c r="J449" s="191"/>
      <c r="K449" s="191"/>
      <c r="L449" s="191"/>
      <c r="M449" s="191"/>
      <c r="N449" s="19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191"/>
      <c r="H450" s="191"/>
      <c r="I450" s="191"/>
      <c r="J450" s="191"/>
      <c r="K450" s="191"/>
      <c r="L450" s="191"/>
      <c r="M450" s="191"/>
      <c r="N450" s="19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191"/>
      <c r="H451" s="191"/>
      <c r="I451" s="191"/>
      <c r="J451" s="191"/>
      <c r="K451" s="191"/>
      <c r="L451" s="191"/>
      <c r="M451" s="191"/>
      <c r="N451" s="19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191"/>
      <c r="H452" s="191"/>
      <c r="I452" s="191"/>
      <c r="J452" s="191"/>
      <c r="K452" s="191"/>
      <c r="L452" s="191"/>
      <c r="M452" s="191"/>
      <c r="N452" s="19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191"/>
      <c r="H453" s="191"/>
      <c r="I453" s="191"/>
      <c r="J453" s="191"/>
      <c r="K453" s="191"/>
      <c r="L453" s="191"/>
      <c r="M453" s="191"/>
      <c r="N453" s="19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191"/>
      <c r="H454" s="191"/>
      <c r="I454" s="191"/>
      <c r="J454" s="191"/>
      <c r="K454" s="191"/>
      <c r="L454" s="191"/>
      <c r="M454" s="191"/>
      <c r="N454" s="19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191"/>
      <c r="H455" s="191"/>
      <c r="I455" s="191"/>
      <c r="J455" s="191"/>
      <c r="K455" s="191"/>
      <c r="L455" s="191"/>
      <c r="M455" s="191"/>
      <c r="N455" s="19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191"/>
      <c r="H456" s="191"/>
      <c r="I456" s="191"/>
      <c r="J456" s="191"/>
      <c r="K456" s="191"/>
      <c r="L456" s="191"/>
      <c r="M456" s="191"/>
      <c r="N456" s="19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191"/>
      <c r="H457" s="191"/>
      <c r="I457" s="191"/>
      <c r="J457" s="191"/>
      <c r="K457" s="191"/>
      <c r="L457" s="191"/>
      <c r="M457" s="191"/>
      <c r="N457" s="19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191"/>
      <c r="H458" s="191"/>
      <c r="I458" s="191"/>
      <c r="J458" s="191"/>
      <c r="K458" s="191"/>
      <c r="L458" s="191"/>
      <c r="M458" s="191"/>
      <c r="N458" s="19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191"/>
      <c r="H459" s="191"/>
      <c r="I459" s="191"/>
      <c r="J459" s="191"/>
      <c r="K459" s="191"/>
      <c r="L459" s="191"/>
      <c r="M459" s="191"/>
      <c r="N459" s="19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191"/>
      <c r="H460" s="191"/>
      <c r="I460" s="191"/>
      <c r="J460" s="191"/>
      <c r="K460" s="191"/>
      <c r="L460" s="191"/>
      <c r="M460" s="191"/>
      <c r="N460" s="19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191"/>
      <c r="H461" s="191"/>
      <c r="I461" s="191"/>
      <c r="J461" s="191"/>
      <c r="K461" s="191"/>
      <c r="L461" s="191"/>
      <c r="M461" s="191"/>
      <c r="N461" s="19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191"/>
      <c r="H462" s="191"/>
      <c r="I462" s="191"/>
      <c r="J462" s="191"/>
      <c r="K462" s="191"/>
      <c r="L462" s="191"/>
      <c r="M462" s="191"/>
      <c r="N462" s="19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191"/>
      <c r="H463" s="191"/>
      <c r="I463" s="191"/>
      <c r="J463" s="191"/>
      <c r="K463" s="191"/>
      <c r="L463" s="191"/>
      <c r="M463" s="191"/>
      <c r="N463" s="19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191"/>
      <c r="H464" s="191"/>
      <c r="I464" s="191"/>
      <c r="J464" s="191"/>
      <c r="K464" s="191"/>
      <c r="L464" s="191"/>
      <c r="M464" s="191"/>
      <c r="N464" s="19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191"/>
      <c r="H465" s="191"/>
      <c r="I465" s="191"/>
      <c r="J465" s="191"/>
      <c r="K465" s="191"/>
      <c r="L465" s="191"/>
      <c r="M465" s="191"/>
      <c r="N465" s="19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191"/>
      <c r="H466" s="191"/>
      <c r="I466" s="191"/>
      <c r="J466" s="191"/>
      <c r="K466" s="191"/>
      <c r="L466" s="191"/>
      <c r="M466" s="191"/>
      <c r="N466" s="19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191"/>
      <c r="H467" s="191"/>
      <c r="I467" s="191"/>
      <c r="J467" s="191"/>
      <c r="K467" s="191"/>
      <c r="L467" s="191"/>
      <c r="M467" s="191"/>
      <c r="N467" s="19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191"/>
      <c r="H468" s="191"/>
      <c r="I468" s="191"/>
      <c r="J468" s="191"/>
      <c r="K468" s="191"/>
      <c r="L468" s="191"/>
      <c r="M468" s="191"/>
      <c r="N468" s="19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191"/>
      <c r="H469" s="191"/>
      <c r="I469" s="191"/>
      <c r="J469" s="191"/>
      <c r="K469" s="191"/>
      <c r="L469" s="191"/>
      <c r="M469" s="191"/>
      <c r="N469" s="19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191"/>
      <c r="H470" s="191"/>
      <c r="I470" s="191"/>
      <c r="J470" s="191"/>
      <c r="K470" s="191"/>
      <c r="L470" s="191"/>
      <c r="M470" s="191"/>
      <c r="N470" s="19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191"/>
      <c r="H471" s="191"/>
      <c r="I471" s="191"/>
      <c r="J471" s="191"/>
      <c r="K471" s="191"/>
      <c r="L471" s="191"/>
      <c r="M471" s="191"/>
      <c r="N471" s="19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191"/>
      <c r="H472" s="191"/>
      <c r="I472" s="191"/>
      <c r="J472" s="191"/>
      <c r="K472" s="191"/>
      <c r="L472" s="191"/>
      <c r="M472" s="191"/>
      <c r="N472" s="19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191"/>
      <c r="H473" s="191"/>
      <c r="I473" s="191"/>
      <c r="J473" s="191"/>
      <c r="K473" s="191"/>
      <c r="L473" s="191"/>
      <c r="M473" s="191"/>
      <c r="N473" s="19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191"/>
      <c r="H474" s="191"/>
      <c r="I474" s="191"/>
      <c r="J474" s="191"/>
      <c r="K474" s="191"/>
      <c r="L474" s="191"/>
      <c r="M474" s="191"/>
      <c r="N474" s="19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191"/>
      <c r="H475" s="191"/>
      <c r="I475" s="191"/>
      <c r="J475" s="191"/>
      <c r="K475" s="191"/>
      <c r="L475" s="191"/>
      <c r="M475" s="191"/>
      <c r="N475" s="19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191"/>
      <c r="H476" s="191"/>
      <c r="I476" s="191"/>
      <c r="J476" s="191"/>
      <c r="K476" s="191"/>
      <c r="L476" s="191"/>
      <c r="M476" s="191"/>
      <c r="N476" s="19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191"/>
      <c r="H477" s="191"/>
      <c r="I477" s="191"/>
      <c r="J477" s="191"/>
      <c r="K477" s="191"/>
      <c r="L477" s="191"/>
      <c r="M477" s="191"/>
      <c r="N477" s="19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191"/>
      <c r="H478" s="191"/>
      <c r="I478" s="191"/>
      <c r="J478" s="191"/>
      <c r="K478" s="191"/>
      <c r="L478" s="191"/>
      <c r="M478" s="191"/>
      <c r="N478" s="19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191"/>
      <c r="H479" s="191"/>
      <c r="I479" s="191"/>
      <c r="J479" s="191"/>
      <c r="K479" s="191"/>
      <c r="L479" s="191"/>
      <c r="M479" s="191"/>
      <c r="N479" s="19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191"/>
      <c r="H480" s="191"/>
      <c r="I480" s="191"/>
      <c r="J480" s="191"/>
      <c r="K480" s="191"/>
      <c r="L480" s="191"/>
      <c r="M480" s="191"/>
      <c r="N480" s="19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191"/>
      <c r="H481" s="191"/>
      <c r="I481" s="191"/>
      <c r="J481" s="191"/>
      <c r="K481" s="191"/>
      <c r="L481" s="191"/>
      <c r="M481" s="191"/>
      <c r="N481" s="19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191"/>
      <c r="H482" s="191"/>
      <c r="I482" s="191"/>
      <c r="J482" s="191"/>
      <c r="K482" s="191"/>
      <c r="L482" s="191"/>
      <c r="M482" s="191"/>
      <c r="N482" s="19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191"/>
      <c r="H483" s="191"/>
      <c r="I483" s="191"/>
      <c r="J483" s="191"/>
      <c r="K483" s="191"/>
      <c r="L483" s="191"/>
      <c r="M483" s="191"/>
      <c r="N483" s="19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191"/>
      <c r="H484" s="191"/>
      <c r="I484" s="191"/>
      <c r="J484" s="191"/>
      <c r="K484" s="191"/>
      <c r="L484" s="191"/>
      <c r="M484" s="191"/>
      <c r="N484" s="19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191"/>
      <c r="H485" s="191"/>
      <c r="I485" s="191"/>
      <c r="J485" s="191"/>
      <c r="K485" s="191"/>
      <c r="L485" s="191"/>
      <c r="M485" s="191"/>
      <c r="N485" s="19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191"/>
      <c r="H486" s="191"/>
      <c r="I486" s="191"/>
      <c r="J486" s="191"/>
      <c r="K486" s="191"/>
      <c r="L486" s="191"/>
      <c r="M486" s="191"/>
      <c r="N486" s="19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191"/>
      <c r="H487" s="191"/>
      <c r="I487" s="191"/>
      <c r="J487" s="191"/>
      <c r="K487" s="191"/>
      <c r="L487" s="191"/>
      <c r="M487" s="191"/>
      <c r="N487" s="19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191"/>
      <c r="H488" s="191"/>
      <c r="I488" s="191"/>
      <c r="J488" s="191"/>
      <c r="K488" s="191"/>
      <c r="L488" s="191"/>
      <c r="M488" s="191"/>
      <c r="N488" s="19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191"/>
      <c r="H489" s="191"/>
      <c r="I489" s="191"/>
      <c r="J489" s="191"/>
      <c r="K489" s="191"/>
      <c r="L489" s="191"/>
      <c r="M489" s="191"/>
      <c r="N489" s="19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191"/>
      <c r="H490" s="191"/>
      <c r="I490" s="191"/>
      <c r="J490" s="191"/>
      <c r="K490" s="191"/>
      <c r="L490" s="191"/>
      <c r="M490" s="191"/>
      <c r="N490" s="19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191"/>
      <c r="H491" s="191"/>
      <c r="I491" s="191"/>
      <c r="J491" s="191"/>
      <c r="K491" s="191"/>
      <c r="L491" s="191"/>
      <c r="M491" s="191"/>
      <c r="N491" s="19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191"/>
      <c r="H492" s="191"/>
      <c r="I492" s="191"/>
      <c r="J492" s="191"/>
      <c r="K492" s="191"/>
      <c r="L492" s="191"/>
      <c r="M492" s="191"/>
      <c r="N492" s="19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191"/>
      <c r="H493" s="191"/>
      <c r="I493" s="191"/>
      <c r="J493" s="191"/>
      <c r="K493" s="191"/>
      <c r="L493" s="191"/>
      <c r="M493" s="191"/>
      <c r="N493" s="19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191"/>
      <c r="H494" s="191"/>
      <c r="I494" s="191"/>
      <c r="J494" s="191"/>
      <c r="K494" s="191"/>
      <c r="L494" s="191"/>
      <c r="M494" s="191"/>
      <c r="N494" s="19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191"/>
      <c r="H495" s="191"/>
      <c r="I495" s="191"/>
      <c r="J495" s="191"/>
      <c r="K495" s="191"/>
      <c r="L495" s="191"/>
      <c r="M495" s="191"/>
      <c r="N495" s="19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191"/>
      <c r="H496" s="191"/>
      <c r="I496" s="191"/>
      <c r="J496" s="191"/>
      <c r="K496" s="191"/>
      <c r="L496" s="191"/>
      <c r="M496" s="191"/>
      <c r="N496" s="19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191"/>
      <c r="H497" s="191"/>
      <c r="I497" s="191"/>
      <c r="J497" s="191"/>
      <c r="K497" s="191"/>
      <c r="L497" s="191"/>
      <c r="M497" s="191"/>
      <c r="N497" s="19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191"/>
      <c r="H498" s="191"/>
      <c r="I498" s="191"/>
      <c r="J498" s="191"/>
      <c r="K498" s="191"/>
      <c r="L498" s="191"/>
      <c r="M498" s="191"/>
      <c r="N498" s="19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191"/>
      <c r="H499" s="191"/>
      <c r="I499" s="191"/>
      <c r="J499" s="191"/>
      <c r="K499" s="191"/>
      <c r="L499" s="191"/>
      <c r="M499" s="191"/>
      <c r="N499" s="19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191"/>
      <c r="H500" s="191"/>
      <c r="I500" s="191"/>
      <c r="J500" s="191"/>
      <c r="K500" s="191"/>
      <c r="L500" s="191"/>
      <c r="M500" s="191"/>
      <c r="N500" s="19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191"/>
      <c r="H501" s="191"/>
      <c r="I501" s="191"/>
      <c r="J501" s="191"/>
      <c r="K501" s="191"/>
      <c r="L501" s="191"/>
      <c r="M501" s="191"/>
      <c r="N501" s="19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191"/>
      <c r="H502" s="191"/>
      <c r="I502" s="191"/>
      <c r="J502" s="191"/>
      <c r="K502" s="191"/>
      <c r="L502" s="191"/>
      <c r="M502" s="191"/>
      <c r="N502" s="19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191"/>
      <c r="H503" s="191"/>
      <c r="I503" s="191"/>
      <c r="J503" s="191"/>
      <c r="K503" s="191"/>
      <c r="L503" s="191"/>
      <c r="M503" s="191"/>
      <c r="N503" s="19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191"/>
      <c r="H504" s="191"/>
      <c r="I504" s="191"/>
      <c r="J504" s="191"/>
      <c r="K504" s="191"/>
      <c r="L504" s="191"/>
      <c r="M504" s="191"/>
      <c r="N504" s="19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191"/>
      <c r="H505" s="191"/>
      <c r="I505" s="191"/>
      <c r="J505" s="191"/>
      <c r="K505" s="191"/>
      <c r="L505" s="191"/>
      <c r="M505" s="191"/>
      <c r="N505" s="19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191"/>
      <c r="H506" s="191"/>
      <c r="I506" s="191"/>
      <c r="J506" s="191"/>
      <c r="K506" s="191"/>
      <c r="L506" s="191"/>
      <c r="M506" s="191"/>
      <c r="N506" s="19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191"/>
      <c r="H507" s="191"/>
      <c r="I507" s="191"/>
      <c r="J507" s="191"/>
      <c r="K507" s="191"/>
      <c r="L507" s="191"/>
      <c r="M507" s="191"/>
      <c r="N507" s="19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191"/>
      <c r="H508" s="191"/>
      <c r="I508" s="191"/>
      <c r="J508" s="191"/>
      <c r="K508" s="191"/>
      <c r="L508" s="191"/>
      <c r="M508" s="191"/>
      <c r="N508" s="19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191"/>
      <c r="H509" s="191"/>
      <c r="I509" s="191"/>
      <c r="J509" s="191"/>
      <c r="K509" s="191"/>
      <c r="L509" s="191"/>
      <c r="M509" s="191"/>
      <c r="N509" s="19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191"/>
      <c r="H510" s="191"/>
      <c r="I510" s="191"/>
      <c r="J510" s="191"/>
      <c r="K510" s="191"/>
      <c r="L510" s="191"/>
      <c r="M510" s="191"/>
      <c r="N510" s="19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191"/>
      <c r="H511" s="191"/>
      <c r="I511" s="191"/>
      <c r="J511" s="191"/>
      <c r="K511" s="191"/>
      <c r="L511" s="191"/>
      <c r="M511" s="191"/>
      <c r="N511" s="19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191"/>
      <c r="H512" s="191"/>
      <c r="I512" s="191"/>
      <c r="J512" s="191"/>
      <c r="K512" s="191"/>
      <c r="L512" s="191"/>
      <c r="M512" s="191"/>
      <c r="N512" s="19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191"/>
      <c r="H513" s="191"/>
      <c r="I513" s="191"/>
      <c r="J513" s="191"/>
      <c r="K513" s="191"/>
      <c r="L513" s="191"/>
      <c r="M513" s="191"/>
      <c r="N513" s="19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191"/>
      <c r="H514" s="191"/>
      <c r="I514" s="191"/>
      <c r="J514" s="191"/>
      <c r="K514" s="191"/>
      <c r="L514" s="191"/>
      <c r="M514" s="191"/>
      <c r="N514" s="19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191"/>
      <c r="H515" s="191"/>
      <c r="I515" s="191"/>
      <c r="J515" s="191"/>
      <c r="K515" s="191"/>
      <c r="L515" s="191"/>
      <c r="M515" s="191"/>
      <c r="N515" s="19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191"/>
      <c r="H516" s="191"/>
      <c r="I516" s="191"/>
      <c r="J516" s="191"/>
      <c r="K516" s="191"/>
      <c r="L516" s="191"/>
      <c r="M516" s="191"/>
      <c r="N516" s="19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191"/>
      <c r="H517" s="191"/>
      <c r="I517" s="191"/>
      <c r="J517" s="191"/>
      <c r="K517" s="191"/>
      <c r="L517" s="191"/>
      <c r="M517" s="191"/>
      <c r="N517" s="19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191"/>
      <c r="H518" s="191"/>
      <c r="I518" s="191"/>
      <c r="J518" s="191"/>
      <c r="K518" s="191"/>
      <c r="L518" s="191"/>
      <c r="M518" s="191"/>
      <c r="N518" s="19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191"/>
      <c r="H519" s="191"/>
      <c r="I519" s="191"/>
      <c r="J519" s="191"/>
      <c r="K519" s="191"/>
      <c r="L519" s="191"/>
      <c r="M519" s="191"/>
      <c r="N519" s="19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191"/>
      <c r="H520" s="191"/>
      <c r="I520" s="191"/>
      <c r="J520" s="191"/>
      <c r="K520" s="191"/>
      <c r="L520" s="191"/>
      <c r="M520" s="191"/>
      <c r="N520" s="19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191"/>
      <c r="H521" s="191"/>
      <c r="I521" s="191"/>
      <c r="J521" s="191"/>
      <c r="K521" s="191"/>
      <c r="L521" s="191"/>
      <c r="M521" s="191"/>
      <c r="N521" s="19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191"/>
      <c r="H522" s="191"/>
      <c r="I522" s="191"/>
      <c r="J522" s="191"/>
      <c r="K522" s="191"/>
      <c r="L522" s="191"/>
      <c r="M522" s="191"/>
      <c r="N522" s="19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191"/>
      <c r="H523" s="191"/>
      <c r="I523" s="191"/>
      <c r="J523" s="191"/>
      <c r="K523" s="191"/>
      <c r="L523" s="191"/>
      <c r="M523" s="191"/>
      <c r="N523" s="19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191"/>
      <c r="H524" s="191"/>
      <c r="I524" s="191"/>
      <c r="J524" s="191"/>
      <c r="K524" s="191"/>
      <c r="L524" s="191"/>
      <c r="M524" s="191"/>
      <c r="N524" s="19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191"/>
      <c r="H525" s="191"/>
      <c r="I525" s="191"/>
      <c r="J525" s="191"/>
      <c r="K525" s="191"/>
      <c r="L525" s="191"/>
      <c r="M525" s="191"/>
      <c r="N525" s="19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191"/>
      <c r="H526" s="191"/>
      <c r="I526" s="191"/>
      <c r="J526" s="191"/>
      <c r="K526" s="191"/>
      <c r="L526" s="191"/>
      <c r="M526" s="191"/>
      <c r="N526" s="19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191"/>
      <c r="H527" s="191"/>
      <c r="I527" s="191"/>
      <c r="J527" s="191"/>
      <c r="K527" s="191"/>
      <c r="L527" s="191"/>
      <c r="M527" s="191"/>
      <c r="N527" s="19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191"/>
      <c r="H528" s="191"/>
      <c r="I528" s="191"/>
      <c r="J528" s="191"/>
      <c r="K528" s="191"/>
      <c r="L528" s="191"/>
      <c r="M528" s="191"/>
      <c r="N528" s="19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191"/>
      <c r="H529" s="191"/>
      <c r="I529" s="191"/>
      <c r="J529" s="191"/>
      <c r="K529" s="191"/>
      <c r="L529" s="191"/>
      <c r="M529" s="191"/>
      <c r="N529" s="19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191"/>
      <c r="H530" s="191"/>
      <c r="I530" s="191"/>
      <c r="J530" s="191"/>
      <c r="K530" s="191"/>
      <c r="L530" s="191"/>
      <c r="M530" s="191"/>
      <c r="N530" s="19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191"/>
      <c r="H531" s="191"/>
      <c r="I531" s="191"/>
      <c r="J531" s="191"/>
      <c r="K531" s="191"/>
      <c r="L531" s="191"/>
      <c r="M531" s="191"/>
      <c r="N531" s="19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191"/>
      <c r="H532" s="191"/>
      <c r="I532" s="191"/>
      <c r="J532" s="191"/>
      <c r="K532" s="191"/>
      <c r="L532" s="191"/>
      <c r="M532" s="191"/>
      <c r="N532" s="19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191"/>
      <c r="H533" s="191"/>
      <c r="I533" s="191"/>
      <c r="J533" s="191"/>
      <c r="K533" s="191"/>
      <c r="L533" s="191"/>
      <c r="M533" s="191"/>
      <c r="N533" s="19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191"/>
      <c r="H534" s="191"/>
      <c r="I534" s="191"/>
      <c r="J534" s="191"/>
      <c r="K534" s="191"/>
      <c r="L534" s="191"/>
      <c r="M534" s="191"/>
      <c r="N534" s="19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191"/>
      <c r="H535" s="191"/>
      <c r="I535" s="191"/>
      <c r="J535" s="191"/>
      <c r="K535" s="191"/>
      <c r="L535" s="191"/>
      <c r="M535" s="191"/>
      <c r="N535" s="19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191"/>
      <c r="H536" s="191"/>
      <c r="I536" s="191"/>
      <c r="J536" s="191"/>
      <c r="K536" s="191"/>
      <c r="L536" s="191"/>
      <c r="M536" s="191"/>
      <c r="N536" s="19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191"/>
      <c r="H537" s="191"/>
      <c r="I537" s="191"/>
      <c r="J537" s="191"/>
      <c r="K537" s="191"/>
      <c r="L537" s="191"/>
      <c r="M537" s="191"/>
      <c r="N537" s="19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191"/>
      <c r="H538" s="191"/>
      <c r="I538" s="191"/>
      <c r="J538" s="191"/>
      <c r="K538" s="191"/>
      <c r="L538" s="191"/>
      <c r="M538" s="191"/>
      <c r="N538" s="19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191"/>
      <c r="H539" s="191"/>
      <c r="I539" s="191"/>
      <c r="J539" s="191"/>
      <c r="K539" s="191"/>
      <c r="L539" s="191"/>
      <c r="M539" s="191"/>
      <c r="N539" s="19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191"/>
      <c r="H540" s="191"/>
      <c r="I540" s="191"/>
      <c r="J540" s="191"/>
      <c r="K540" s="191"/>
      <c r="L540" s="191"/>
      <c r="M540" s="191"/>
      <c r="N540" s="19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191"/>
      <c r="H541" s="191"/>
      <c r="I541" s="191"/>
      <c r="J541" s="191"/>
      <c r="K541" s="191"/>
      <c r="L541" s="191"/>
      <c r="M541" s="191"/>
      <c r="N541" s="19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191"/>
      <c r="H542" s="191"/>
      <c r="I542" s="191"/>
      <c r="J542" s="191"/>
      <c r="K542" s="191"/>
      <c r="L542" s="191"/>
      <c r="M542" s="191"/>
      <c r="N542" s="19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191"/>
      <c r="H543" s="191"/>
      <c r="I543" s="191"/>
      <c r="J543" s="191"/>
      <c r="K543" s="191"/>
      <c r="L543" s="191"/>
      <c r="M543" s="191"/>
      <c r="N543" s="19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191"/>
      <c r="H544" s="191"/>
      <c r="I544" s="191"/>
      <c r="J544" s="191"/>
      <c r="K544" s="191"/>
      <c r="L544" s="191"/>
      <c r="M544" s="191"/>
      <c r="N544" s="19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191"/>
      <c r="H545" s="191"/>
      <c r="I545" s="191"/>
      <c r="J545" s="191"/>
      <c r="K545" s="191"/>
      <c r="L545" s="191"/>
      <c r="M545" s="191"/>
      <c r="N545" s="19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191"/>
      <c r="H546" s="191"/>
      <c r="I546" s="191"/>
      <c r="J546" s="191"/>
      <c r="K546" s="191"/>
      <c r="L546" s="191"/>
      <c r="M546" s="191"/>
      <c r="N546" s="19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191"/>
      <c r="H547" s="191"/>
      <c r="I547" s="191"/>
      <c r="J547" s="191"/>
      <c r="K547" s="191"/>
      <c r="L547" s="191"/>
      <c r="M547" s="191"/>
      <c r="N547" s="19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191"/>
      <c r="H548" s="191"/>
      <c r="I548" s="191"/>
      <c r="J548" s="191"/>
      <c r="K548" s="191"/>
      <c r="L548" s="191"/>
      <c r="M548" s="191"/>
      <c r="N548" s="19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191"/>
      <c r="H549" s="191"/>
      <c r="I549" s="191"/>
      <c r="J549" s="191"/>
      <c r="K549" s="191"/>
      <c r="L549" s="191"/>
      <c r="M549" s="191"/>
      <c r="N549" s="19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191"/>
      <c r="H550" s="191"/>
      <c r="I550" s="191"/>
      <c r="J550" s="191"/>
      <c r="K550" s="191"/>
      <c r="L550" s="191"/>
      <c r="M550" s="191"/>
      <c r="N550" s="19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191"/>
      <c r="H551" s="191"/>
      <c r="I551" s="191"/>
      <c r="J551" s="191"/>
      <c r="K551" s="191"/>
      <c r="L551" s="191"/>
      <c r="M551" s="191"/>
      <c r="N551" s="19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191"/>
      <c r="H552" s="191"/>
      <c r="I552" s="191"/>
      <c r="J552" s="191"/>
      <c r="K552" s="191"/>
      <c r="L552" s="191"/>
      <c r="M552" s="191"/>
      <c r="N552" s="19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191"/>
      <c r="H553" s="191"/>
      <c r="I553" s="191"/>
      <c r="J553" s="191"/>
      <c r="K553" s="191"/>
      <c r="L553" s="191"/>
      <c r="M553" s="191"/>
      <c r="N553" s="19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191"/>
      <c r="H554" s="191"/>
      <c r="I554" s="191"/>
      <c r="J554" s="191"/>
      <c r="K554" s="191"/>
      <c r="L554" s="191"/>
      <c r="M554" s="191"/>
      <c r="N554" s="19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191"/>
      <c r="H555" s="191"/>
      <c r="I555" s="191"/>
      <c r="J555" s="191"/>
      <c r="K555" s="191"/>
      <c r="L555" s="191"/>
      <c r="M555" s="191"/>
      <c r="N555" s="19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191"/>
      <c r="H556" s="191"/>
      <c r="I556" s="191"/>
      <c r="J556" s="191"/>
      <c r="K556" s="191"/>
      <c r="L556" s="191"/>
      <c r="M556" s="191"/>
      <c r="N556" s="19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191"/>
      <c r="H557" s="191"/>
      <c r="I557" s="191"/>
      <c r="J557" s="191"/>
      <c r="K557" s="191"/>
      <c r="L557" s="191"/>
      <c r="M557" s="191"/>
      <c r="N557" s="19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191"/>
      <c r="H558" s="191"/>
      <c r="I558" s="191"/>
      <c r="J558" s="191"/>
      <c r="K558" s="191"/>
      <c r="L558" s="191"/>
      <c r="M558" s="191"/>
      <c r="N558" s="19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191"/>
      <c r="H559" s="191"/>
      <c r="I559" s="191"/>
      <c r="J559" s="191"/>
      <c r="K559" s="191"/>
      <c r="L559" s="191"/>
      <c r="M559" s="191"/>
      <c r="N559" s="19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191"/>
      <c r="H560" s="191"/>
      <c r="I560" s="191"/>
      <c r="J560" s="191"/>
      <c r="K560" s="191"/>
      <c r="L560" s="191"/>
      <c r="M560" s="191"/>
      <c r="N560" s="19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191"/>
      <c r="H561" s="191"/>
      <c r="I561" s="191"/>
      <c r="J561" s="191"/>
      <c r="K561" s="191"/>
      <c r="L561" s="191"/>
      <c r="M561" s="191"/>
      <c r="N561" s="19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191"/>
      <c r="H562" s="191"/>
      <c r="I562" s="191"/>
      <c r="J562" s="191"/>
      <c r="K562" s="191"/>
      <c r="L562" s="191"/>
      <c r="M562" s="191"/>
      <c r="N562" s="19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191"/>
      <c r="H563" s="191"/>
      <c r="I563" s="191"/>
      <c r="J563" s="191"/>
      <c r="K563" s="191"/>
      <c r="L563" s="191"/>
      <c r="M563" s="191"/>
      <c r="N563" s="19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191"/>
      <c r="H564" s="191"/>
      <c r="I564" s="191"/>
      <c r="J564" s="191"/>
      <c r="K564" s="191"/>
      <c r="L564" s="191"/>
      <c r="M564" s="191"/>
      <c r="N564" s="19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191"/>
      <c r="H565" s="191"/>
      <c r="I565" s="191"/>
      <c r="J565" s="191"/>
      <c r="K565" s="191"/>
      <c r="L565" s="191"/>
      <c r="M565" s="191"/>
      <c r="N565" s="19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191"/>
      <c r="H566" s="191"/>
      <c r="I566" s="191"/>
      <c r="J566" s="191"/>
      <c r="K566" s="191"/>
      <c r="L566" s="191"/>
      <c r="M566" s="191"/>
      <c r="N566" s="19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6.5"/>
    <col customWidth="1" min="3" max="3" width="4.63"/>
    <col customWidth="1" min="4" max="4" width="15.38"/>
    <col customWidth="1" min="5" max="5" width="6.5"/>
    <col customWidth="1" min="6" max="6" width="13.88"/>
    <col customWidth="1" min="7" max="7" width="9.75"/>
    <col customWidth="1" min="8" max="11" width="19.25"/>
    <col customWidth="1" min="12" max="12" width="16.25"/>
    <col customWidth="1" min="13" max="13" width="8.13"/>
    <col customWidth="1" min="14" max="14" width="17.88"/>
    <col customWidth="1" min="15" max="15" width="8.88"/>
    <col customWidth="1" min="16" max="18" width="6.13"/>
    <col customWidth="1" min="19" max="19" width="11.75"/>
    <col customWidth="1" min="20" max="20" width="7.75"/>
    <col customWidth="1" min="21" max="21" width="6.88"/>
    <col customWidth="1" min="22" max="22" width="9.75"/>
    <col customWidth="1" min="23" max="23" width="13.63"/>
    <col customWidth="1" min="26" max="26" width="10.88"/>
  </cols>
  <sheetData>
    <row r="1">
      <c r="A1" s="285" t="s">
        <v>0</v>
      </c>
      <c r="B1" s="287">
        <f>AVERAGE(B20:B40)</f>
        <v>182.9857143</v>
      </c>
      <c r="C1" s="288"/>
      <c r="D1" s="285" t="s">
        <v>0</v>
      </c>
      <c r="E1" s="287">
        <f>AVERAGE(E20:E40)</f>
        <v>6029.619048</v>
      </c>
      <c r="F1" s="288"/>
      <c r="G1" s="289"/>
      <c r="H1" s="288"/>
      <c r="I1" s="288"/>
      <c r="J1" s="288"/>
      <c r="K1" s="288"/>
      <c r="L1" s="290"/>
      <c r="M1" s="288"/>
      <c r="N1" s="288"/>
      <c r="O1" s="288" t="s">
        <v>1</v>
      </c>
      <c r="P1" s="288" t="s">
        <v>2</v>
      </c>
      <c r="Q1" s="288" t="s">
        <v>3</v>
      </c>
      <c r="R1" s="288"/>
      <c r="S1" s="291" t="s">
        <v>5</v>
      </c>
      <c r="T1" s="291" t="s">
        <v>215</v>
      </c>
      <c r="U1" s="291" t="s">
        <v>216</v>
      </c>
      <c r="V1" s="291" t="s">
        <v>11</v>
      </c>
      <c r="W1" s="292" t="s">
        <v>12</v>
      </c>
      <c r="X1" s="293"/>
      <c r="Y1" s="288"/>
      <c r="Z1" s="294"/>
      <c r="AA1" s="294"/>
      <c r="AB1" s="294"/>
    </row>
    <row r="2">
      <c r="A2" s="295" t="s">
        <v>20</v>
      </c>
      <c r="B2" s="296">
        <f>AVERAGE(B20:B50)</f>
        <v>180.9548387</v>
      </c>
      <c r="C2" s="288"/>
      <c r="D2" s="295" t="s">
        <v>20</v>
      </c>
      <c r="E2" s="296">
        <f>AVERAGE(E20:E50)</f>
        <v>6144.032258</v>
      </c>
      <c r="F2" s="297" t="s">
        <v>23</v>
      </c>
      <c r="G2" s="298">
        <f>CORREL(B20:B50,E20:E50)</f>
        <v>-0.5141507193</v>
      </c>
      <c r="H2" s="297"/>
      <c r="I2" s="297"/>
      <c r="J2" s="297"/>
      <c r="K2" s="297" t="s">
        <v>25</v>
      </c>
      <c r="L2" s="288" t="s">
        <v>23</v>
      </c>
      <c r="M2" s="299">
        <f>CORREL(B19:B49,E19:E49)</f>
        <v>-0.5401310207</v>
      </c>
      <c r="N2" s="288" t="s">
        <v>25</v>
      </c>
      <c r="O2" s="300">
        <f>AVERAGE(G19:G49)</f>
        <v>0.02979983092</v>
      </c>
      <c r="P2" s="300">
        <f>MAX(G19:G49)</f>
        <v>0.0347020097</v>
      </c>
      <c r="Q2" s="300">
        <f>MIN(G19:G49)</f>
        <v>0.0251905972</v>
      </c>
      <c r="R2" s="300">
        <f t="shared" ref="R2:R5" si="1">P2-Q2</f>
        <v>0.009511412497</v>
      </c>
      <c r="S2" s="301" t="str">
        <f>MATCH(MAX(G11:G118), G11:G118, 0)</f>
        <v>#VALUE!</v>
      </c>
      <c r="T2" s="302">
        <f t="array" ref="T2">INDEX(B19:B1129, MATCH(MAX(G19:G129), G19:G129, 0))</f>
        <v>256.5</v>
      </c>
      <c r="U2" s="303">
        <f t="array" ref="U2">INDEX(E19:E129, MATCH(MAX(G19:G129), G19:G129, 0))</f>
        <v>6524</v>
      </c>
      <c r="V2" s="304">
        <f t="shared" ref="V2:V3" si="2">T2/U2</f>
        <v>0.03931637032</v>
      </c>
      <c r="W2" s="291" t="s">
        <v>2</v>
      </c>
      <c r="X2" s="293"/>
      <c r="Y2" s="288"/>
      <c r="Z2" s="294" t="str">
        <f>IFERROR(__xludf.DUMMYFUNCTION("INDEX(IMPORTHTML(""https://in.investing.com/commodities/real-time-futures"", ""table"", 1), 5, 6)"),"#N/A")</f>
        <v>#N/A</v>
      </c>
      <c r="AA2" s="294"/>
      <c r="AB2" s="294"/>
    </row>
    <row r="3">
      <c r="A3" s="305" t="s">
        <v>61</v>
      </c>
      <c r="B3" s="306">
        <f>max(B20:B40)</f>
        <v>200.3</v>
      </c>
      <c r="C3" s="288"/>
      <c r="D3" s="305" t="s">
        <v>61</v>
      </c>
      <c r="E3" s="307">
        <f>max(E20:E40)</f>
        <v>6483</v>
      </c>
      <c r="F3" s="297" t="s">
        <v>64</v>
      </c>
      <c r="G3" s="298">
        <f>CORREL(B20:B80,E20:E80)</f>
        <v>0.3277255807</v>
      </c>
      <c r="H3" s="297"/>
      <c r="I3" s="297"/>
      <c r="J3" s="297"/>
      <c r="K3" s="297" t="s">
        <v>67</v>
      </c>
      <c r="L3" s="288" t="s">
        <v>64</v>
      </c>
      <c r="M3" s="299">
        <f>CORREL(B19:B79,E19:E79)</f>
        <v>0.2979584577</v>
      </c>
      <c r="N3" s="288" t="s">
        <v>67</v>
      </c>
      <c r="O3" s="300">
        <f>AVERAGE((G19:G79))</f>
        <v>0.02923819324</v>
      </c>
      <c r="P3" s="300">
        <f>MAX(G19:G79)</f>
        <v>0.0347020097</v>
      </c>
      <c r="Q3" s="300">
        <f>MIN(G19:G79)</f>
        <v>0.02444444444</v>
      </c>
      <c r="R3" s="300">
        <f t="shared" si="1"/>
        <v>0.01025756526</v>
      </c>
      <c r="S3" s="301" t="str">
        <f>MATCH(Min(G11:G118), G11:G118, 0)</f>
        <v>#VALUE!</v>
      </c>
      <c r="T3" s="302">
        <f t="array" ref="T3">INDEX(B19:B129, MATCH(Min(G19:G129), G19:G129, 0))</f>
        <v>134.9</v>
      </c>
      <c r="U3" s="303">
        <f t="array" ref="U3">INDEX(E19:E129, MATCH(MIN(G19:G129), G19:G1129, 0))</f>
        <v>6911</v>
      </c>
      <c r="V3" s="304">
        <f t="shared" si="2"/>
        <v>0.01951960642</v>
      </c>
      <c r="W3" s="291" t="s">
        <v>3</v>
      </c>
      <c r="X3" s="288"/>
      <c r="Y3" s="288"/>
      <c r="Z3" s="294"/>
      <c r="AA3" s="294"/>
      <c r="AB3" s="294"/>
    </row>
    <row r="4">
      <c r="A4" s="305" t="s">
        <v>73</v>
      </c>
      <c r="B4" s="306">
        <f>MIN(B20:B40)</f>
        <v>158.6</v>
      </c>
      <c r="C4" s="288"/>
      <c r="D4" s="305" t="s">
        <v>73</v>
      </c>
      <c r="E4" s="307">
        <f>MIN(E20:E40)</f>
        <v>5537</v>
      </c>
      <c r="F4" s="297" t="s">
        <v>77</v>
      </c>
      <c r="G4" s="298">
        <f>CORREL(B20:B110,E20:E110)</f>
        <v>0.2620632342</v>
      </c>
      <c r="H4" s="297"/>
      <c r="I4" s="297"/>
      <c r="J4" s="297"/>
      <c r="K4" s="297" t="s">
        <v>79</v>
      </c>
      <c r="L4" s="288" t="s">
        <v>77</v>
      </c>
      <c r="M4" s="299">
        <f>CORREL(B19:B109,E19:E109)</f>
        <v>0.2628271306</v>
      </c>
      <c r="N4" s="288" t="s">
        <v>79</v>
      </c>
      <c r="O4" s="300">
        <f>AVERAGE(G19:G109)</f>
        <v>0.03101550626</v>
      </c>
      <c r="P4" s="300">
        <f>MAX(G19:G109)</f>
        <v>0.03902327704</v>
      </c>
      <c r="Q4" s="300">
        <f>MIN(G19:G109)</f>
        <v>0.02444444444</v>
      </c>
      <c r="R4" s="300">
        <f t="shared" si="1"/>
        <v>0.0145788326</v>
      </c>
      <c r="S4" s="301"/>
      <c r="T4" s="301"/>
      <c r="U4" s="301"/>
      <c r="V4" s="304"/>
      <c r="W4" s="301"/>
      <c r="X4" s="288"/>
      <c r="Y4" s="288"/>
      <c r="Z4" s="294" t="str">
        <f>IFERROR(__xludf.DUMMYFUNCTION("INDEX(IMPORTHTML(""https://in.investing.com/commodities/real-time-futures"", ""table"", 6), 2, 2)"),"#N/A")</f>
        <v>#N/A</v>
      </c>
      <c r="AA4" s="294"/>
      <c r="AB4" s="294"/>
    </row>
    <row r="5">
      <c r="A5" s="305" t="s">
        <v>81</v>
      </c>
      <c r="B5" s="306">
        <f>max(B20:B30)</f>
        <v>200.3</v>
      </c>
      <c r="C5" s="288"/>
      <c r="D5" s="305" t="s">
        <v>81</v>
      </c>
      <c r="E5" s="307">
        <f>max(E20:E30)</f>
        <v>6224</v>
      </c>
      <c r="F5" s="288"/>
      <c r="G5" s="289"/>
      <c r="H5" s="297"/>
      <c r="I5" s="297"/>
      <c r="J5" s="297"/>
      <c r="K5" s="297" t="s">
        <v>218</v>
      </c>
      <c r="L5" s="288" t="s">
        <v>82</v>
      </c>
      <c r="M5" s="299">
        <f>CORREL(B19:B129,E19:E129)</f>
        <v>-0.07376810719</v>
      </c>
      <c r="N5" s="288" t="s">
        <v>83</v>
      </c>
      <c r="O5" s="300">
        <f>AVERAGE(G19:G129)</f>
        <v>0.02972413462</v>
      </c>
      <c r="P5" s="300" t="str">
        <f>MAX(G11:G129)</f>
        <v>#VALUE!</v>
      </c>
      <c r="Q5" s="300" t="str">
        <f>MIN(G11:G129)</f>
        <v>#VALUE!</v>
      </c>
      <c r="R5" s="288" t="str">
        <f t="shared" si="1"/>
        <v>#VALUE!</v>
      </c>
      <c r="S5" s="308" t="s">
        <v>215</v>
      </c>
      <c r="T5" s="308">
        <v>3.0</v>
      </c>
      <c r="U5" s="309">
        <f>T2*T7*T5</f>
        <v>961875</v>
      </c>
      <c r="V5" s="310">
        <f>U2*T6*T8</f>
        <v>652400</v>
      </c>
      <c r="W5" s="309"/>
      <c r="X5" s="288"/>
      <c r="Y5" s="288"/>
      <c r="Z5" s="294"/>
      <c r="AA5" s="294"/>
      <c r="AB5" s="294"/>
    </row>
    <row r="6">
      <c r="A6" s="305" t="s">
        <v>87</v>
      </c>
      <c r="B6" s="306">
        <f>MIN(B20:B30)</f>
        <v>180.6</v>
      </c>
      <c r="C6" s="288"/>
      <c r="D6" s="305" t="s">
        <v>87</v>
      </c>
      <c r="E6" s="307">
        <f>MIN(E20:E30)</f>
        <v>5537</v>
      </c>
      <c r="F6" s="288"/>
      <c r="G6" s="289"/>
      <c r="H6" s="297"/>
      <c r="I6" s="297"/>
      <c r="J6" s="297"/>
      <c r="K6" s="297" t="s">
        <v>219</v>
      </c>
      <c r="L6" s="288"/>
      <c r="M6" s="288"/>
      <c r="N6" s="288"/>
      <c r="O6" s="288"/>
      <c r="P6" s="288"/>
      <c r="Q6" s="288"/>
      <c r="R6" s="288"/>
      <c r="S6" s="308" t="s">
        <v>216</v>
      </c>
      <c r="T6" s="308">
        <v>1.0</v>
      </c>
      <c r="U6" s="309">
        <f>T3*T5*T7</f>
        <v>505875</v>
      </c>
      <c r="V6" s="309">
        <f>U3*T6*T8</f>
        <v>691100</v>
      </c>
      <c r="W6" s="310">
        <f>(U5-U6)+(V5-V6)</f>
        <v>417300</v>
      </c>
      <c r="X6" s="288"/>
      <c r="Y6" s="288"/>
      <c r="Z6" s="294"/>
      <c r="AA6" s="294"/>
      <c r="AB6" s="294"/>
    </row>
    <row r="7">
      <c r="A7" s="297" t="s">
        <v>88</v>
      </c>
      <c r="B7" s="311">
        <f>max(B20:B50)</f>
        <v>200.3</v>
      </c>
      <c r="C7" s="288"/>
      <c r="D7" s="297" t="s">
        <v>88</v>
      </c>
      <c r="E7" s="312">
        <f>max(E20:E50)</f>
        <v>6660</v>
      </c>
      <c r="F7" s="288"/>
      <c r="G7" s="289"/>
      <c r="H7" s="297"/>
      <c r="I7" s="297"/>
      <c r="J7" s="297"/>
      <c r="K7" s="297" t="s">
        <v>220</v>
      </c>
      <c r="L7" s="288"/>
      <c r="M7" s="288"/>
      <c r="N7" s="288"/>
      <c r="O7" s="288"/>
      <c r="P7" s="288"/>
      <c r="Q7" s="288"/>
      <c r="R7" s="288"/>
      <c r="S7" s="291" t="s">
        <v>215</v>
      </c>
      <c r="T7" s="291">
        <v>1250.0</v>
      </c>
      <c r="U7" s="301"/>
      <c r="V7" s="301"/>
      <c r="W7" s="301"/>
      <c r="X7" s="288"/>
      <c r="Y7" s="288"/>
      <c r="Z7" s="294"/>
      <c r="AA7" s="294"/>
      <c r="AB7" s="294"/>
    </row>
    <row r="8">
      <c r="A8" s="305" t="s">
        <v>90</v>
      </c>
      <c r="B8" s="313">
        <f>AVERAGE(B20:B40)</f>
        <v>182.9857143</v>
      </c>
      <c r="C8" s="288"/>
      <c r="D8" s="305" t="s">
        <v>90</v>
      </c>
      <c r="E8" s="313">
        <f>AVERAGE(E20:E40)</f>
        <v>6029.619048</v>
      </c>
      <c r="F8" s="288"/>
      <c r="G8" s="289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91" t="s">
        <v>216</v>
      </c>
      <c r="T8" s="291">
        <v>100.0</v>
      </c>
      <c r="U8" s="301"/>
      <c r="V8" s="301"/>
      <c r="W8" s="301"/>
      <c r="X8" s="288"/>
      <c r="Y8" s="288"/>
      <c r="Z8" s="294"/>
      <c r="AA8" s="294"/>
      <c r="AB8" s="294"/>
    </row>
    <row r="9">
      <c r="A9" s="314" t="s">
        <v>221</v>
      </c>
      <c r="B9" s="288"/>
      <c r="C9" s="288"/>
      <c r="D9" s="314" t="s">
        <v>216</v>
      </c>
      <c r="E9" s="288"/>
      <c r="F9" s="288"/>
      <c r="G9" s="289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8"/>
      <c r="S9" s="301"/>
      <c r="T9" s="301"/>
      <c r="U9" s="301"/>
      <c r="V9" s="301"/>
      <c r="W9" s="301"/>
      <c r="X9" s="288"/>
      <c r="Y9" s="288"/>
      <c r="Z9" s="294"/>
      <c r="AA9" s="294"/>
      <c r="AB9" s="294"/>
    </row>
    <row r="10">
      <c r="A10" s="288" t="str">
        <f>IFERROR(__xludf.DUMMYFUNCTION("GOOGLEFINANCE(""NSE:TATASTEEL"",""price"",TODAY()-120,TODAY())"),"#REF!")</f>
        <v>#REF!</v>
      </c>
      <c r="B10" s="288"/>
      <c r="C10" s="288"/>
      <c r="D10" s="288" t="str">
        <f>IFERROR(__xludf.DUMMYFUNCTION("GOOGLEFINANCE(""NSE:JSWSTEEL"",""price"",TODAY()-120,TODAY())"),"#REF!")</f>
        <v>#REF!</v>
      </c>
      <c r="E10" s="288"/>
      <c r="F10" s="288"/>
      <c r="G10" s="298" t="s">
        <v>92</v>
      </c>
      <c r="H10" s="297"/>
      <c r="I10" s="297"/>
      <c r="J10" s="297"/>
      <c r="K10" s="297"/>
      <c r="L10" s="297"/>
      <c r="M10" s="297"/>
      <c r="N10" s="297"/>
      <c r="O10" s="297"/>
      <c r="P10" s="315"/>
      <c r="Q10" s="316"/>
      <c r="R10" s="288"/>
      <c r="S10" s="301"/>
      <c r="T10" s="301"/>
      <c r="U10" s="301"/>
      <c r="V10" s="301"/>
      <c r="W10" s="301"/>
      <c r="X10" s="293" t="s">
        <v>1</v>
      </c>
      <c r="Y10" s="317" t="s">
        <v>222</v>
      </c>
      <c r="Z10" s="317" t="s">
        <v>223</v>
      </c>
      <c r="AA10" s="294"/>
      <c r="AB10" s="294"/>
    </row>
    <row r="11">
      <c r="A11" s="318"/>
      <c r="B11" s="318"/>
      <c r="C11" s="288"/>
      <c r="D11" s="318"/>
      <c r="E11" s="318"/>
      <c r="F11" s="288"/>
      <c r="G11" s="298"/>
      <c r="H11" s="288"/>
      <c r="I11" s="288"/>
      <c r="J11" s="288"/>
      <c r="K11" s="288"/>
      <c r="L11" s="288"/>
      <c r="M11" s="288"/>
      <c r="N11" s="288"/>
      <c r="O11" s="288"/>
      <c r="P11" s="294"/>
      <c r="Q11" s="319"/>
      <c r="R11" s="288"/>
      <c r="S11" s="301"/>
      <c r="T11" s="301"/>
      <c r="U11" s="301">
        <f>U5-U6</f>
        <v>456000</v>
      </c>
      <c r="V11" s="320">
        <f>V6-V5</f>
        <v>38700</v>
      </c>
      <c r="W11" s="310">
        <f>U11-V11</f>
        <v>417300</v>
      </c>
      <c r="X11" s="293" t="s">
        <v>101</v>
      </c>
      <c r="Y11" s="321">
        <f>AVERAGE(B19,B49)</f>
        <v>180.55</v>
      </c>
      <c r="Z11" s="322">
        <f>AVERAGE(E19,E49)</f>
        <v>6067.5</v>
      </c>
      <c r="AA11" s="294"/>
      <c r="AB11" s="294"/>
    </row>
    <row r="12">
      <c r="A12" s="318"/>
      <c r="B12" s="318"/>
      <c r="C12" s="288"/>
      <c r="D12" s="318"/>
      <c r="E12" s="318"/>
      <c r="F12" s="288"/>
      <c r="G12" s="298"/>
      <c r="H12" s="288"/>
      <c r="I12" s="288"/>
      <c r="J12" s="293" t="s">
        <v>224</v>
      </c>
      <c r="K12" s="288"/>
      <c r="L12" s="230" t="str">
        <f>IFERROR(__xludf.DUMMYFUNCTION("GOOGLEFINANCE(J12,""PRICE"")"),"#N/A")</f>
        <v>#N/A</v>
      </c>
      <c r="M12" s="288"/>
      <c r="N12" s="288"/>
      <c r="O12" s="288"/>
      <c r="P12" s="294"/>
      <c r="Q12" s="319"/>
      <c r="R12" s="288"/>
      <c r="S12" s="291" t="s">
        <v>103</v>
      </c>
      <c r="T12" s="323">
        <f>R2/3</f>
        <v>0.003170470832</v>
      </c>
      <c r="U12" s="301"/>
      <c r="V12" s="301"/>
      <c r="W12" s="301"/>
      <c r="X12" s="293" t="s">
        <v>104</v>
      </c>
      <c r="Y12" s="321">
        <f>AVERAGE(B19,B79)</f>
        <v>213.65</v>
      </c>
      <c r="Z12" s="322">
        <f>AVERAGE(E19,E79)</f>
        <v>6402.5</v>
      </c>
      <c r="AA12" s="294"/>
      <c r="AB12" s="294"/>
    </row>
    <row r="13">
      <c r="A13" s="318"/>
      <c r="B13" s="318"/>
      <c r="C13" s="288"/>
      <c r="D13" s="318"/>
      <c r="E13" s="318"/>
      <c r="F13" s="288"/>
      <c r="G13" s="298"/>
      <c r="H13" s="288"/>
      <c r="I13" s="288"/>
      <c r="J13" s="288"/>
      <c r="K13" s="288"/>
      <c r="L13" s="288"/>
      <c r="M13" s="288"/>
      <c r="N13" s="288"/>
      <c r="O13" s="288"/>
      <c r="P13" s="294"/>
      <c r="Q13" s="319"/>
      <c r="R13" s="288"/>
      <c r="S13" s="324"/>
      <c r="T13" s="325">
        <f>(W11*T12)/R2</f>
        <v>139100</v>
      </c>
      <c r="U13" s="324"/>
      <c r="V13" s="324"/>
      <c r="W13" s="326"/>
      <c r="X13" s="293" t="s">
        <v>105</v>
      </c>
      <c r="Y13" s="321">
        <f>AVERAGE(B19,B109)</f>
        <v>196.65</v>
      </c>
      <c r="Z13" s="322">
        <f>AVERAGE(E19,E109)</f>
        <v>6290</v>
      </c>
      <c r="AA13" s="294"/>
      <c r="AB13" s="294"/>
    </row>
    <row r="14">
      <c r="A14" s="318"/>
      <c r="B14" s="318"/>
      <c r="C14" s="288"/>
      <c r="D14" s="318"/>
      <c r="E14" s="318"/>
      <c r="F14" s="288"/>
      <c r="G14" s="298"/>
      <c r="H14" s="288"/>
      <c r="I14" s="288"/>
      <c r="J14" s="288"/>
      <c r="K14" s="288"/>
      <c r="L14" s="288"/>
      <c r="M14" s="288"/>
      <c r="N14" s="288"/>
      <c r="O14" s="288"/>
      <c r="P14" s="294"/>
      <c r="Q14" s="319"/>
      <c r="R14" s="288"/>
      <c r="S14" s="324"/>
      <c r="T14" s="324"/>
      <c r="U14" s="324"/>
      <c r="V14" s="324"/>
      <c r="W14" s="326"/>
      <c r="X14" s="294"/>
      <c r="Y14" s="294"/>
      <c r="Z14" s="294"/>
      <c r="AA14" s="294"/>
      <c r="AB14" s="294"/>
    </row>
    <row r="15">
      <c r="A15" s="318"/>
      <c r="B15" s="318"/>
      <c r="C15" s="288"/>
      <c r="D15" s="318"/>
      <c r="E15" s="318"/>
      <c r="F15" s="288"/>
      <c r="G15" s="298"/>
      <c r="H15" s="288"/>
      <c r="I15" s="288"/>
      <c r="J15" s="288"/>
      <c r="K15" s="288"/>
      <c r="L15" s="288"/>
      <c r="M15" s="288"/>
      <c r="N15" s="288"/>
      <c r="O15" s="288"/>
      <c r="P15" s="294"/>
      <c r="Q15" s="319"/>
      <c r="R15" s="319"/>
      <c r="S15" s="319"/>
      <c r="T15" s="319"/>
      <c r="U15" s="317"/>
      <c r="V15" s="294"/>
      <c r="W15" s="294"/>
      <c r="X15" s="294"/>
      <c r="Y15" s="294"/>
      <c r="Z15" s="294"/>
      <c r="AA15" s="294"/>
      <c r="AB15" s="294"/>
    </row>
    <row r="16">
      <c r="A16" s="318" t="s">
        <v>225</v>
      </c>
      <c r="B16" s="318" t="s">
        <v>226</v>
      </c>
      <c r="C16" s="288"/>
      <c r="D16" s="318" t="s">
        <v>225</v>
      </c>
      <c r="E16" s="318" t="s">
        <v>226</v>
      </c>
      <c r="F16" s="288"/>
      <c r="G16" s="298"/>
      <c r="H16" s="291" t="s">
        <v>92</v>
      </c>
      <c r="I16" s="291" t="s">
        <v>93</v>
      </c>
      <c r="J16" s="291" t="s">
        <v>94</v>
      </c>
      <c r="K16" s="288"/>
      <c r="L16" s="288"/>
      <c r="M16" s="288"/>
      <c r="N16" s="288"/>
      <c r="O16" s="288"/>
      <c r="P16" s="294"/>
      <c r="Q16" s="319">
        <f>B20*3750</f>
        <v>747750</v>
      </c>
      <c r="R16" s="319"/>
      <c r="S16" s="319">
        <f>E20*100</f>
        <v>588200</v>
      </c>
      <c r="T16" s="319">
        <f>Q16-S16</f>
        <v>159550</v>
      </c>
      <c r="U16" s="317" t="s">
        <v>227</v>
      </c>
      <c r="V16" s="294">
        <f>MAX(Q16:Q129)</f>
        <v>961875</v>
      </c>
      <c r="W16" s="294">
        <f>MAX(S16:S129)</f>
        <v>718900</v>
      </c>
      <c r="X16" s="294"/>
      <c r="Y16" s="294"/>
      <c r="Z16" s="294"/>
      <c r="AA16" s="294"/>
      <c r="AB16" s="294"/>
    </row>
    <row r="17">
      <c r="A17" s="318" t="s">
        <v>225</v>
      </c>
      <c r="B17" s="327" t="s">
        <v>226</v>
      </c>
      <c r="C17" s="328" t="str">
        <f t="shared" ref="C17:C136" si="3">if(B17&lt;B16,"DOWN","UP")</f>
        <v>UP</v>
      </c>
      <c r="D17" s="318" t="s">
        <v>225</v>
      </c>
      <c r="E17" s="329" t="s">
        <v>226</v>
      </c>
      <c r="F17" s="330" t="s">
        <v>228</v>
      </c>
      <c r="G17" s="331" t="str">
        <f t="shared" ref="G17:G20" si="4">B17/E17</f>
        <v>#VALUE!</v>
      </c>
      <c r="H17" s="332" t="str">
        <f t="shared" ref="H17:H129" si="5">B17/E17</f>
        <v>#VALUE!</v>
      </c>
      <c r="I17" s="301" t="str">
        <f t="shared" ref="I17:I129" si="6">B17-E17</f>
        <v>#VALUE!</v>
      </c>
      <c r="J17" s="333" t="str">
        <f t="shared" ref="J17:J129" si="7">((I17-($I$130))/$I$31)</f>
        <v>#VALUE!</v>
      </c>
      <c r="K17" s="334"/>
      <c r="L17" s="335"/>
      <c r="M17" s="336"/>
      <c r="N17" s="335"/>
      <c r="O17" s="299"/>
      <c r="P17" s="294"/>
      <c r="Q17" s="319"/>
      <c r="R17" s="301"/>
      <c r="S17" s="319"/>
      <c r="T17" s="319"/>
      <c r="U17" s="294"/>
      <c r="V17" s="294"/>
      <c r="W17" s="294"/>
      <c r="X17" s="294"/>
      <c r="Y17" s="294"/>
      <c r="Z17" s="294"/>
      <c r="AA17" s="294"/>
      <c r="AB17" s="294"/>
    </row>
    <row r="18">
      <c r="A18" s="69" t="s">
        <v>229</v>
      </c>
      <c r="B18" s="337">
        <v>194.5</v>
      </c>
      <c r="C18" s="328" t="str">
        <f t="shared" si="3"/>
        <v>DOWN</v>
      </c>
      <c r="D18" s="69" t="s">
        <v>229</v>
      </c>
      <c r="E18" s="338">
        <v>5885.0</v>
      </c>
      <c r="F18" s="328" t="str">
        <f t="shared" ref="F18:F136" si="8">if(E18&lt;E17,"DOWN","UP")</f>
        <v>DOWN</v>
      </c>
      <c r="G18" s="331">
        <f t="shared" si="4"/>
        <v>0.03305012744</v>
      </c>
      <c r="H18" s="332">
        <f t="shared" si="5"/>
        <v>0.03305012744</v>
      </c>
      <c r="I18" s="302">
        <f t="shared" si="6"/>
        <v>-5690.5</v>
      </c>
      <c r="J18" s="333">
        <f t="shared" si="7"/>
        <v>-0.1048190236</v>
      </c>
      <c r="K18" s="288"/>
      <c r="L18" s="288"/>
      <c r="M18" s="288"/>
      <c r="N18" s="288"/>
      <c r="O18" s="288"/>
      <c r="P18" s="294"/>
      <c r="Q18" s="319"/>
      <c r="R18" s="301"/>
      <c r="S18" s="319"/>
      <c r="T18" s="319"/>
      <c r="U18" s="294"/>
      <c r="V18" s="294"/>
      <c r="W18" s="294"/>
      <c r="X18" s="294"/>
      <c r="Y18" s="294"/>
      <c r="Z18" s="294"/>
      <c r="AA18" s="294"/>
      <c r="AB18" s="294"/>
    </row>
    <row r="19">
      <c r="A19" s="69" t="s">
        <v>230</v>
      </c>
      <c r="B19" s="337">
        <v>196.7</v>
      </c>
      <c r="C19" s="328" t="str">
        <f t="shared" si="3"/>
        <v>UP</v>
      </c>
      <c r="D19" s="69" t="s">
        <v>230</v>
      </c>
      <c r="E19" s="338">
        <v>5986.0</v>
      </c>
      <c r="F19" s="328" t="str">
        <f t="shared" si="8"/>
        <v>UP</v>
      </c>
      <c r="G19" s="331">
        <f t="shared" si="4"/>
        <v>0.03286000668</v>
      </c>
      <c r="H19" s="332">
        <f t="shared" si="5"/>
        <v>0.03286000668</v>
      </c>
      <c r="I19" s="302">
        <f t="shared" si="6"/>
        <v>-5789.3</v>
      </c>
      <c r="J19" s="333">
        <f t="shared" si="7"/>
        <v>-0.08842884441</v>
      </c>
      <c r="K19" s="288"/>
      <c r="L19" s="288"/>
      <c r="M19" s="288"/>
      <c r="N19" s="288"/>
      <c r="O19" s="288"/>
      <c r="P19" s="294"/>
      <c r="Q19" s="319">
        <f t="shared" ref="Q19:Q129" si="9">B20*3750</f>
        <v>747750</v>
      </c>
      <c r="R19" s="301"/>
      <c r="S19" s="319">
        <f t="shared" ref="S19:S129" si="10">E20*100</f>
        <v>588200</v>
      </c>
      <c r="T19" s="319">
        <f t="shared" ref="T19:T129" si="11">Q19-S19</f>
        <v>159550</v>
      </c>
      <c r="U19" s="294"/>
      <c r="V19" s="294"/>
      <c r="W19" s="294"/>
      <c r="X19" s="294"/>
      <c r="Y19" s="294"/>
      <c r="Z19" s="294"/>
      <c r="AA19" s="294"/>
      <c r="AB19" s="294"/>
    </row>
    <row r="20">
      <c r="A20" s="69" t="s">
        <v>231</v>
      </c>
      <c r="B20" s="337">
        <v>199.4</v>
      </c>
      <c r="C20" s="328" t="str">
        <f t="shared" si="3"/>
        <v>UP</v>
      </c>
      <c r="D20" s="69" t="s">
        <v>231</v>
      </c>
      <c r="E20" s="338">
        <v>5882.0</v>
      </c>
      <c r="F20" s="328" t="str">
        <f t="shared" si="8"/>
        <v>DOWN</v>
      </c>
      <c r="G20" s="298">
        <f t="shared" si="4"/>
        <v>0.033900034</v>
      </c>
      <c r="H20" s="332">
        <f t="shared" si="5"/>
        <v>0.033900034</v>
      </c>
      <c r="I20" s="302">
        <f t="shared" si="6"/>
        <v>-5682.6</v>
      </c>
      <c r="J20" s="333">
        <f t="shared" si="7"/>
        <v>-0.1061295743</v>
      </c>
      <c r="K20" s="288"/>
      <c r="L20" s="288"/>
      <c r="M20" s="288"/>
      <c r="N20" s="288"/>
      <c r="O20" s="288"/>
      <c r="P20" s="294"/>
      <c r="Q20" s="319">
        <f t="shared" si="9"/>
        <v>727125</v>
      </c>
      <c r="R20" s="301"/>
      <c r="S20" s="319">
        <f t="shared" si="10"/>
        <v>577200</v>
      </c>
      <c r="T20" s="319">
        <f t="shared" si="11"/>
        <v>149925</v>
      </c>
      <c r="U20" s="294"/>
      <c r="V20" s="294"/>
      <c r="W20" s="294"/>
      <c r="X20" s="294"/>
      <c r="Y20" s="294"/>
      <c r="Z20" s="294"/>
      <c r="AA20" s="294"/>
      <c r="AB20" s="294"/>
    </row>
    <row r="21">
      <c r="A21" s="69" t="s">
        <v>232</v>
      </c>
      <c r="B21" s="337">
        <v>193.9</v>
      </c>
      <c r="C21" s="328" t="str">
        <f t="shared" si="3"/>
        <v>DOWN</v>
      </c>
      <c r="D21" s="69" t="s">
        <v>232</v>
      </c>
      <c r="E21" s="338">
        <v>5772.0</v>
      </c>
      <c r="F21" s="328" t="str">
        <f t="shared" si="8"/>
        <v>DOWN</v>
      </c>
      <c r="G21" s="298">
        <f t="shared" ref="G21:G88" si="12">B21/E20</f>
        <v>0.0329649779</v>
      </c>
      <c r="H21" s="332">
        <f t="shared" si="5"/>
        <v>0.03359320859</v>
      </c>
      <c r="I21" s="302">
        <f t="shared" si="6"/>
        <v>-5578.1</v>
      </c>
      <c r="J21" s="333">
        <f t="shared" si="7"/>
        <v>-0.1234653408</v>
      </c>
      <c r="K21" s="288"/>
      <c r="L21" s="288"/>
      <c r="M21" s="288"/>
      <c r="N21" s="335"/>
      <c r="O21" s="288"/>
      <c r="P21" s="294"/>
      <c r="Q21" s="319">
        <f t="shared" si="9"/>
        <v>751125</v>
      </c>
      <c r="R21" s="294"/>
      <c r="S21" s="319">
        <f t="shared" si="10"/>
        <v>580800</v>
      </c>
      <c r="T21" s="319">
        <f t="shared" si="11"/>
        <v>170325</v>
      </c>
      <c r="U21" s="294"/>
      <c r="V21" s="294"/>
      <c r="W21" s="294"/>
      <c r="X21" s="294"/>
      <c r="Y21" s="294"/>
      <c r="Z21" s="294"/>
      <c r="AA21" s="294"/>
      <c r="AB21" s="294"/>
    </row>
    <row r="22">
      <c r="A22" s="339">
        <v>45635.0</v>
      </c>
      <c r="B22" s="337">
        <v>200.3</v>
      </c>
      <c r="C22" s="328" t="str">
        <f t="shared" si="3"/>
        <v>UP</v>
      </c>
      <c r="D22" s="339">
        <v>45635.0</v>
      </c>
      <c r="E22" s="338">
        <v>5808.0</v>
      </c>
      <c r="F22" s="328" t="str">
        <f t="shared" si="8"/>
        <v>UP</v>
      </c>
      <c r="G22" s="298">
        <f t="shared" si="12"/>
        <v>0.0347020097</v>
      </c>
      <c r="H22" s="332">
        <f t="shared" si="5"/>
        <v>0.0344869146</v>
      </c>
      <c r="I22" s="302">
        <f t="shared" si="6"/>
        <v>-5607.7</v>
      </c>
      <c r="J22" s="333">
        <f t="shared" si="7"/>
        <v>-0.1185549227</v>
      </c>
      <c r="K22" s="288"/>
      <c r="L22" s="288"/>
      <c r="M22" s="288"/>
      <c r="N22" s="288"/>
      <c r="O22" s="288"/>
      <c r="P22" s="301"/>
      <c r="Q22" s="319">
        <f t="shared" si="9"/>
        <v>719250</v>
      </c>
      <c r="R22" s="301"/>
      <c r="S22" s="319">
        <f t="shared" si="10"/>
        <v>569200</v>
      </c>
      <c r="T22" s="319">
        <f t="shared" si="11"/>
        <v>150050</v>
      </c>
      <c r="U22" s="294"/>
      <c r="V22" s="294"/>
      <c r="W22" s="294"/>
      <c r="X22" s="294"/>
      <c r="Y22" s="294"/>
      <c r="Z22" s="294"/>
      <c r="AA22" s="294"/>
      <c r="AB22" s="294"/>
    </row>
    <row r="23">
      <c r="A23" s="339">
        <v>45605.0</v>
      </c>
      <c r="B23" s="337">
        <v>191.8</v>
      </c>
      <c r="C23" s="328" t="str">
        <f t="shared" si="3"/>
        <v>DOWN</v>
      </c>
      <c r="D23" s="339">
        <v>45605.0</v>
      </c>
      <c r="E23" s="338">
        <v>5692.0</v>
      </c>
      <c r="F23" s="328" t="str">
        <f t="shared" si="8"/>
        <v>DOWN</v>
      </c>
      <c r="G23" s="298">
        <f t="shared" si="12"/>
        <v>0.03302341598</v>
      </c>
      <c r="H23" s="332">
        <f t="shared" si="5"/>
        <v>0.03369641602</v>
      </c>
      <c r="I23" s="302">
        <f t="shared" si="6"/>
        <v>-5500.2</v>
      </c>
      <c r="J23" s="333">
        <f t="shared" si="7"/>
        <v>-0.1363883666</v>
      </c>
      <c r="K23" s="288"/>
      <c r="L23" s="288"/>
      <c r="M23" s="288"/>
      <c r="N23" s="288"/>
      <c r="O23" s="288"/>
      <c r="P23" s="294"/>
      <c r="Q23" s="319">
        <f t="shared" si="9"/>
        <v>707625</v>
      </c>
      <c r="R23" s="294"/>
      <c r="S23" s="319">
        <f t="shared" si="10"/>
        <v>553700</v>
      </c>
      <c r="T23" s="319">
        <f t="shared" si="11"/>
        <v>153925</v>
      </c>
      <c r="U23" s="294"/>
      <c r="V23" s="294"/>
      <c r="W23" s="294"/>
      <c r="X23" s="294"/>
      <c r="Y23" s="294"/>
      <c r="Z23" s="294"/>
      <c r="AA23" s="294"/>
      <c r="AB23" s="294"/>
    </row>
    <row r="24">
      <c r="A24" s="339">
        <v>45574.0</v>
      </c>
      <c r="B24" s="337">
        <v>188.7</v>
      </c>
      <c r="C24" s="328" t="str">
        <f t="shared" si="3"/>
        <v>DOWN</v>
      </c>
      <c r="D24" s="339">
        <v>45574.0</v>
      </c>
      <c r="E24" s="338">
        <v>5537.0</v>
      </c>
      <c r="F24" s="328" t="str">
        <f t="shared" si="8"/>
        <v>DOWN</v>
      </c>
      <c r="G24" s="298">
        <f t="shared" si="12"/>
        <v>0.03315179199</v>
      </c>
      <c r="H24" s="332">
        <f t="shared" si="5"/>
        <v>0.03407982662</v>
      </c>
      <c r="I24" s="302">
        <f t="shared" si="6"/>
        <v>-5348.3</v>
      </c>
      <c r="J24" s="333">
        <f t="shared" si="7"/>
        <v>-0.1615874376</v>
      </c>
      <c r="K24" s="288"/>
      <c r="L24" s="288"/>
      <c r="M24" s="288"/>
      <c r="N24" s="288"/>
      <c r="O24" s="288"/>
      <c r="P24" s="294"/>
      <c r="Q24" s="319">
        <f t="shared" si="9"/>
        <v>684000</v>
      </c>
      <c r="R24" s="294"/>
      <c r="S24" s="319">
        <f t="shared" si="10"/>
        <v>577700</v>
      </c>
      <c r="T24" s="319">
        <f t="shared" si="11"/>
        <v>106300</v>
      </c>
      <c r="U24" s="294"/>
      <c r="V24" s="294"/>
      <c r="W24" s="294"/>
      <c r="X24" s="294"/>
      <c r="Y24" s="294"/>
      <c r="Z24" s="294"/>
      <c r="AA24" s="294"/>
      <c r="AB24" s="294"/>
    </row>
    <row r="25">
      <c r="A25" s="339">
        <v>45544.0</v>
      </c>
      <c r="B25" s="337">
        <v>182.4</v>
      </c>
      <c r="C25" s="328" t="str">
        <f t="shared" si="3"/>
        <v>DOWN</v>
      </c>
      <c r="D25" s="339">
        <v>45544.0</v>
      </c>
      <c r="E25" s="338">
        <v>5777.0</v>
      </c>
      <c r="F25" s="328" t="str">
        <f t="shared" si="8"/>
        <v>UP</v>
      </c>
      <c r="G25" s="298">
        <f t="shared" si="12"/>
        <v>0.03294202637</v>
      </c>
      <c r="H25" s="332">
        <f t="shared" si="5"/>
        <v>0.03157348105</v>
      </c>
      <c r="I25" s="302">
        <f t="shared" si="6"/>
        <v>-5594.6</v>
      </c>
      <c r="J25" s="333">
        <f t="shared" si="7"/>
        <v>-0.1207281145</v>
      </c>
      <c r="K25" s="288"/>
      <c r="L25" s="288"/>
      <c r="M25" s="288"/>
      <c r="N25" s="288"/>
      <c r="O25" s="288"/>
      <c r="P25" s="294"/>
      <c r="Q25" s="319">
        <f t="shared" si="9"/>
        <v>716250</v>
      </c>
      <c r="R25" s="294"/>
      <c r="S25" s="319">
        <f t="shared" si="10"/>
        <v>571000</v>
      </c>
      <c r="T25" s="319">
        <f t="shared" si="11"/>
        <v>145250</v>
      </c>
      <c r="U25" s="294"/>
      <c r="V25" s="294"/>
      <c r="W25" s="294"/>
      <c r="X25" s="294"/>
      <c r="Y25" s="294"/>
      <c r="Z25" s="294"/>
      <c r="AA25" s="294"/>
      <c r="AB25" s="294"/>
    </row>
    <row r="26">
      <c r="A26" s="339">
        <v>45452.0</v>
      </c>
      <c r="B26" s="337">
        <v>191.0</v>
      </c>
      <c r="C26" s="328" t="str">
        <f t="shared" si="3"/>
        <v>UP</v>
      </c>
      <c r="D26" s="339">
        <v>45452.0</v>
      </c>
      <c r="E26" s="338">
        <v>5710.0</v>
      </c>
      <c r="F26" s="328" t="str">
        <f t="shared" si="8"/>
        <v>DOWN</v>
      </c>
      <c r="G26" s="298">
        <f t="shared" si="12"/>
        <v>0.03306214298</v>
      </c>
      <c r="H26" s="332">
        <f t="shared" si="5"/>
        <v>0.03345008757</v>
      </c>
      <c r="I26" s="302">
        <f t="shared" si="6"/>
        <v>-5519</v>
      </c>
      <c r="J26" s="333">
        <f t="shared" si="7"/>
        <v>-0.1332695876</v>
      </c>
      <c r="K26" s="288"/>
      <c r="L26" s="288"/>
      <c r="M26" s="288"/>
      <c r="N26" s="288"/>
      <c r="O26" s="288"/>
      <c r="P26" s="294"/>
      <c r="Q26" s="319">
        <f t="shared" si="9"/>
        <v>715875</v>
      </c>
      <c r="R26" s="294"/>
      <c r="S26" s="319">
        <f t="shared" si="10"/>
        <v>581700</v>
      </c>
      <c r="T26" s="319">
        <f t="shared" si="11"/>
        <v>134175</v>
      </c>
      <c r="U26" s="294"/>
      <c r="V26" s="294"/>
      <c r="W26" s="294"/>
      <c r="X26" s="294"/>
      <c r="Y26" s="294"/>
      <c r="Z26" s="294"/>
      <c r="AA26" s="294"/>
      <c r="AB26" s="294"/>
    </row>
    <row r="27">
      <c r="A27" s="339">
        <v>45421.0</v>
      </c>
      <c r="B27" s="337">
        <v>190.9</v>
      </c>
      <c r="C27" s="328" t="str">
        <f t="shared" si="3"/>
        <v>DOWN</v>
      </c>
      <c r="D27" s="339">
        <v>45421.0</v>
      </c>
      <c r="E27" s="338">
        <v>5817.0</v>
      </c>
      <c r="F27" s="328" t="str">
        <f t="shared" si="8"/>
        <v>UP</v>
      </c>
      <c r="G27" s="298">
        <f t="shared" si="12"/>
        <v>0.03343257443</v>
      </c>
      <c r="H27" s="332">
        <f t="shared" si="5"/>
        <v>0.03281760358</v>
      </c>
      <c r="I27" s="302">
        <f t="shared" si="6"/>
        <v>-5626.1</v>
      </c>
      <c r="J27" s="333">
        <f t="shared" si="7"/>
        <v>-0.1155025007</v>
      </c>
      <c r="K27" s="288"/>
      <c r="L27" s="288"/>
      <c r="M27" s="288"/>
      <c r="N27" s="288"/>
      <c r="O27" s="288"/>
      <c r="P27" s="294"/>
      <c r="Q27" s="319">
        <f t="shared" si="9"/>
        <v>677250</v>
      </c>
      <c r="R27" s="294"/>
      <c r="S27" s="319">
        <f t="shared" si="10"/>
        <v>586000</v>
      </c>
      <c r="T27" s="319">
        <f t="shared" si="11"/>
        <v>91250</v>
      </c>
      <c r="U27" s="294"/>
      <c r="V27" s="294"/>
      <c r="W27" s="294"/>
      <c r="X27" s="294"/>
      <c r="Y27" s="294"/>
      <c r="Z27" s="294"/>
      <c r="AA27" s="294"/>
      <c r="AB27" s="294"/>
    </row>
    <row r="28">
      <c r="A28" s="339">
        <v>45391.0</v>
      </c>
      <c r="B28" s="337">
        <v>180.6</v>
      </c>
      <c r="C28" s="328" t="str">
        <f t="shared" si="3"/>
        <v>DOWN</v>
      </c>
      <c r="D28" s="339">
        <v>45391.0</v>
      </c>
      <c r="E28" s="338">
        <v>5860.0</v>
      </c>
      <c r="F28" s="328" t="str">
        <f t="shared" si="8"/>
        <v>UP</v>
      </c>
      <c r="G28" s="298">
        <f t="shared" si="12"/>
        <v>0.03104693141</v>
      </c>
      <c r="H28" s="332">
        <f t="shared" si="5"/>
        <v>0.03081911263</v>
      </c>
      <c r="I28" s="302">
        <f t="shared" si="6"/>
        <v>-5679.4</v>
      </c>
      <c r="J28" s="333">
        <f t="shared" si="7"/>
        <v>-0.1066604303</v>
      </c>
      <c r="K28" s="288"/>
      <c r="L28" s="288"/>
      <c r="M28" s="288"/>
      <c r="N28" s="288"/>
      <c r="O28" s="288"/>
      <c r="P28" s="294"/>
      <c r="Q28" s="319">
        <f t="shared" si="9"/>
        <v>693000</v>
      </c>
      <c r="R28" s="294"/>
      <c r="S28" s="319">
        <f t="shared" si="10"/>
        <v>592800</v>
      </c>
      <c r="T28" s="319">
        <f t="shared" si="11"/>
        <v>100200</v>
      </c>
      <c r="U28" s="294"/>
      <c r="V28" s="294"/>
      <c r="W28" s="294"/>
      <c r="X28" s="294"/>
      <c r="Y28" s="294"/>
      <c r="Z28" s="294"/>
      <c r="AA28" s="294"/>
      <c r="AB28" s="294"/>
    </row>
    <row r="29">
      <c r="A29" s="339">
        <v>45360.0</v>
      </c>
      <c r="B29" s="337">
        <v>184.8</v>
      </c>
      <c r="C29" s="328" t="str">
        <f t="shared" si="3"/>
        <v>UP</v>
      </c>
      <c r="D29" s="339">
        <v>45360.0</v>
      </c>
      <c r="E29" s="338">
        <v>5928.0</v>
      </c>
      <c r="F29" s="328" t="str">
        <f t="shared" si="8"/>
        <v>UP</v>
      </c>
      <c r="G29" s="298">
        <f t="shared" si="12"/>
        <v>0.03153583618</v>
      </c>
      <c r="H29" s="332">
        <f t="shared" si="5"/>
        <v>0.03117408907</v>
      </c>
      <c r="I29" s="302">
        <f t="shared" si="6"/>
        <v>-5743.2</v>
      </c>
      <c r="J29" s="333">
        <f t="shared" si="7"/>
        <v>-0.09607648873</v>
      </c>
      <c r="K29" s="288"/>
      <c r="L29" s="288"/>
      <c r="M29" s="288"/>
      <c r="N29" s="288"/>
      <c r="O29" s="288"/>
      <c r="P29" s="294"/>
      <c r="Q29" s="319">
        <f t="shared" si="9"/>
        <v>692250</v>
      </c>
      <c r="R29" s="294"/>
      <c r="S29" s="319">
        <f t="shared" si="10"/>
        <v>622400</v>
      </c>
      <c r="T29" s="319">
        <f t="shared" si="11"/>
        <v>69850</v>
      </c>
      <c r="U29" s="294"/>
      <c r="V29" s="294"/>
      <c r="W29" s="294"/>
      <c r="X29" s="294"/>
      <c r="Y29" s="294"/>
      <c r="Z29" s="294"/>
      <c r="AA29" s="294"/>
      <c r="AB29" s="294"/>
    </row>
    <row r="30">
      <c r="A30" s="339">
        <v>45331.0</v>
      </c>
      <c r="B30" s="337">
        <v>184.6</v>
      </c>
      <c r="C30" s="328" t="str">
        <f t="shared" si="3"/>
        <v>DOWN</v>
      </c>
      <c r="D30" s="339">
        <v>45331.0</v>
      </c>
      <c r="E30" s="338">
        <v>6224.0</v>
      </c>
      <c r="F30" s="328" t="str">
        <f t="shared" si="8"/>
        <v>UP</v>
      </c>
      <c r="G30" s="298">
        <f t="shared" si="12"/>
        <v>0.03114035088</v>
      </c>
      <c r="H30" s="332">
        <f t="shared" si="5"/>
        <v>0.02965938303</v>
      </c>
      <c r="I30" s="302">
        <f t="shared" si="6"/>
        <v>-6039.4</v>
      </c>
      <c r="J30" s="333">
        <f t="shared" si="7"/>
        <v>-0.04693912974</v>
      </c>
      <c r="K30" s="288"/>
      <c r="L30" s="288"/>
      <c r="M30" s="288"/>
      <c r="N30" s="288"/>
      <c r="O30" s="288"/>
      <c r="P30" s="294"/>
      <c r="Q30" s="319">
        <f t="shared" si="9"/>
        <v>671250</v>
      </c>
      <c r="R30" s="294"/>
      <c r="S30" s="319">
        <f t="shared" si="10"/>
        <v>620700</v>
      </c>
      <c r="T30" s="319">
        <f t="shared" si="11"/>
        <v>50550</v>
      </c>
      <c r="U30" s="294"/>
      <c r="V30" s="294"/>
      <c r="W30" s="294"/>
      <c r="X30" s="294"/>
      <c r="Y30" s="294"/>
      <c r="Z30" s="294"/>
      <c r="AA30" s="294"/>
      <c r="AB30" s="294"/>
    </row>
    <row r="31">
      <c r="A31" s="69" t="s">
        <v>233</v>
      </c>
      <c r="B31" s="337">
        <v>179.0</v>
      </c>
      <c r="C31" s="328" t="str">
        <f t="shared" si="3"/>
        <v>DOWN</v>
      </c>
      <c r="D31" s="69" t="s">
        <v>233</v>
      </c>
      <c r="E31" s="338">
        <v>6207.0</v>
      </c>
      <c r="F31" s="328" t="str">
        <f t="shared" si="8"/>
        <v>DOWN</v>
      </c>
      <c r="G31" s="298">
        <f t="shared" si="12"/>
        <v>0.0287596401</v>
      </c>
      <c r="H31" s="332">
        <f t="shared" si="5"/>
        <v>0.02883840825</v>
      </c>
      <c r="I31" s="302">
        <f t="shared" si="6"/>
        <v>-6028</v>
      </c>
      <c r="J31" s="333">
        <f t="shared" si="7"/>
        <v>-0.04883030426</v>
      </c>
      <c r="K31" s="288"/>
      <c r="L31" s="288"/>
      <c r="M31" s="288"/>
      <c r="N31" s="288"/>
      <c r="O31" s="288"/>
      <c r="P31" s="294"/>
      <c r="Q31" s="319">
        <f t="shared" si="9"/>
        <v>673875</v>
      </c>
      <c r="R31" s="294"/>
      <c r="S31" s="319">
        <f t="shared" si="10"/>
        <v>636700</v>
      </c>
      <c r="T31" s="319">
        <f t="shared" si="11"/>
        <v>37175</v>
      </c>
      <c r="U31" s="294"/>
      <c r="V31" s="294"/>
      <c r="W31" s="294"/>
      <c r="X31" s="294"/>
      <c r="Y31" s="294"/>
      <c r="Z31" s="294"/>
      <c r="AA31" s="294"/>
      <c r="AB31" s="294"/>
    </row>
    <row r="32">
      <c r="A32" s="69" t="s">
        <v>234</v>
      </c>
      <c r="B32" s="337">
        <v>179.7</v>
      </c>
      <c r="C32" s="328" t="str">
        <f t="shared" si="3"/>
        <v>UP</v>
      </c>
      <c r="D32" s="69" t="s">
        <v>234</v>
      </c>
      <c r="E32" s="338">
        <v>6367.0</v>
      </c>
      <c r="F32" s="328" t="str">
        <f t="shared" si="8"/>
        <v>UP</v>
      </c>
      <c r="G32" s="298">
        <f t="shared" si="12"/>
        <v>0.02895118415</v>
      </c>
      <c r="H32" s="332">
        <f t="shared" si="5"/>
        <v>0.02822365321</v>
      </c>
      <c r="I32" s="302">
        <f t="shared" si="6"/>
        <v>-6187.3</v>
      </c>
      <c r="J32" s="333">
        <f t="shared" si="7"/>
        <v>-0.02240362874</v>
      </c>
      <c r="K32" s="288"/>
      <c r="L32" s="288"/>
      <c r="M32" s="288"/>
      <c r="N32" s="288"/>
      <c r="O32" s="288"/>
      <c r="P32" s="294"/>
      <c r="Q32" s="319">
        <f t="shared" si="9"/>
        <v>670500</v>
      </c>
      <c r="R32" s="294"/>
      <c r="S32" s="319">
        <f t="shared" si="10"/>
        <v>629600</v>
      </c>
      <c r="T32" s="319">
        <f t="shared" si="11"/>
        <v>40900</v>
      </c>
      <c r="U32" s="294"/>
      <c r="V32" s="294"/>
      <c r="W32" s="294"/>
      <c r="X32" s="294"/>
      <c r="Y32" s="294"/>
      <c r="Z32" s="294"/>
      <c r="AA32" s="294"/>
      <c r="AB32" s="294"/>
    </row>
    <row r="33">
      <c r="A33" s="69" t="s">
        <v>235</v>
      </c>
      <c r="B33" s="337">
        <v>178.8</v>
      </c>
      <c r="C33" s="328" t="str">
        <f t="shared" si="3"/>
        <v>DOWN</v>
      </c>
      <c r="D33" s="69" t="s">
        <v>235</v>
      </c>
      <c r="E33" s="338">
        <v>6296.0</v>
      </c>
      <c r="F33" s="328" t="str">
        <f t="shared" si="8"/>
        <v>DOWN</v>
      </c>
      <c r="G33" s="298">
        <f t="shared" si="12"/>
        <v>0.02808229936</v>
      </c>
      <c r="H33" s="332">
        <f t="shared" si="5"/>
        <v>0.02839898348</v>
      </c>
      <c r="I33" s="302">
        <f t="shared" si="6"/>
        <v>-6117.2</v>
      </c>
      <c r="J33" s="333">
        <f t="shared" si="7"/>
        <v>-0.03403269311</v>
      </c>
      <c r="K33" s="288"/>
      <c r="L33" s="288"/>
      <c r="M33" s="288"/>
      <c r="N33" s="288"/>
      <c r="O33" s="288"/>
      <c r="P33" s="294"/>
      <c r="Q33" s="319">
        <f t="shared" si="9"/>
        <v>594750</v>
      </c>
      <c r="R33" s="294"/>
      <c r="S33" s="319">
        <f t="shared" si="10"/>
        <v>635500</v>
      </c>
      <c r="T33" s="319">
        <f t="shared" si="11"/>
        <v>-40750</v>
      </c>
      <c r="U33" s="294"/>
      <c r="V33" s="294"/>
      <c r="W33" s="294"/>
      <c r="X33" s="294"/>
      <c r="Y33" s="294"/>
      <c r="Z33" s="294"/>
      <c r="AA33" s="294"/>
      <c r="AB33" s="294"/>
    </row>
    <row r="34">
      <c r="A34" s="69" t="s">
        <v>236</v>
      </c>
      <c r="B34" s="337">
        <v>158.6</v>
      </c>
      <c r="C34" s="328" t="str">
        <f t="shared" si="3"/>
        <v>DOWN</v>
      </c>
      <c r="D34" s="69" t="s">
        <v>236</v>
      </c>
      <c r="E34" s="338">
        <v>6355.0</v>
      </c>
      <c r="F34" s="328" t="str">
        <f t="shared" si="8"/>
        <v>UP</v>
      </c>
      <c r="G34" s="298">
        <f t="shared" si="12"/>
        <v>0.0251905972</v>
      </c>
      <c r="H34" s="332">
        <f t="shared" si="5"/>
        <v>0.02495672699</v>
      </c>
      <c r="I34" s="302">
        <f t="shared" si="6"/>
        <v>-6196.4</v>
      </c>
      <c r="J34" s="333">
        <f t="shared" si="7"/>
        <v>-0.02089400698</v>
      </c>
      <c r="K34" s="288"/>
      <c r="L34" s="288"/>
      <c r="M34" s="288"/>
      <c r="N34" s="288"/>
      <c r="O34" s="288"/>
      <c r="P34" s="294"/>
      <c r="Q34" s="319">
        <f t="shared" si="9"/>
        <v>617625</v>
      </c>
      <c r="R34" s="294"/>
      <c r="S34" s="319">
        <f t="shared" si="10"/>
        <v>648300</v>
      </c>
      <c r="T34" s="319">
        <f t="shared" si="11"/>
        <v>-30675</v>
      </c>
      <c r="U34" s="294"/>
      <c r="V34" s="294"/>
      <c r="W34" s="294"/>
      <c r="X34" s="294"/>
      <c r="Y34" s="294"/>
      <c r="Z34" s="294"/>
      <c r="AA34" s="294"/>
      <c r="AB34" s="294"/>
    </row>
    <row r="35">
      <c r="A35" s="69" t="s">
        <v>237</v>
      </c>
      <c r="B35" s="337">
        <v>164.7</v>
      </c>
      <c r="C35" s="328" t="str">
        <f t="shared" si="3"/>
        <v>UP</v>
      </c>
      <c r="D35" s="69" t="s">
        <v>237</v>
      </c>
      <c r="E35" s="338">
        <v>6483.0</v>
      </c>
      <c r="F35" s="328" t="str">
        <f t="shared" si="8"/>
        <v>UP</v>
      </c>
      <c r="G35" s="298">
        <f t="shared" si="12"/>
        <v>0.0259166011</v>
      </c>
      <c r="H35" s="332">
        <f t="shared" si="5"/>
        <v>0.02540490514</v>
      </c>
      <c r="I35" s="302">
        <f t="shared" si="6"/>
        <v>-6318.3</v>
      </c>
      <c r="J35" s="333">
        <f t="shared" si="7"/>
        <v>-0.0006717110276</v>
      </c>
      <c r="K35" s="288"/>
      <c r="L35" s="288"/>
      <c r="M35" s="288"/>
      <c r="N35" s="288"/>
      <c r="O35" s="288"/>
      <c r="P35" s="294"/>
      <c r="Q35" s="319">
        <f t="shared" si="9"/>
        <v>633375</v>
      </c>
      <c r="R35" s="340"/>
      <c r="S35" s="319">
        <f t="shared" si="10"/>
        <v>629500</v>
      </c>
      <c r="T35" s="319">
        <f t="shared" si="11"/>
        <v>3875</v>
      </c>
      <c r="U35" s="294"/>
      <c r="V35" s="294"/>
      <c r="W35" s="294"/>
      <c r="X35" s="294"/>
      <c r="Y35" s="294"/>
      <c r="Z35" s="294"/>
      <c r="AA35" s="294"/>
      <c r="AB35" s="294"/>
    </row>
    <row r="36">
      <c r="A36" s="69" t="s">
        <v>238</v>
      </c>
      <c r="B36" s="337">
        <v>168.9</v>
      </c>
      <c r="C36" s="328" t="str">
        <f t="shared" si="3"/>
        <v>UP</v>
      </c>
      <c r="D36" s="69" t="s">
        <v>238</v>
      </c>
      <c r="E36" s="338">
        <v>6295.0</v>
      </c>
      <c r="F36" s="328" t="str">
        <f t="shared" si="8"/>
        <v>DOWN</v>
      </c>
      <c r="G36" s="298">
        <f t="shared" si="12"/>
        <v>0.02605275335</v>
      </c>
      <c r="H36" s="332">
        <f t="shared" si="5"/>
        <v>0.02683081811</v>
      </c>
      <c r="I36" s="302">
        <f t="shared" si="6"/>
        <v>-6126.1</v>
      </c>
      <c r="J36" s="333">
        <f t="shared" si="7"/>
        <v>-0.03255624985</v>
      </c>
      <c r="K36" s="288"/>
      <c r="L36" s="288"/>
      <c r="M36" s="288"/>
      <c r="N36" s="288"/>
      <c r="O36" s="288"/>
      <c r="P36" s="294"/>
      <c r="Q36" s="319">
        <f t="shared" si="9"/>
        <v>648000</v>
      </c>
      <c r="R36" s="301"/>
      <c r="S36" s="319">
        <f t="shared" si="10"/>
        <v>616200</v>
      </c>
      <c r="T36" s="319">
        <f t="shared" si="11"/>
        <v>31800</v>
      </c>
      <c r="U36" s="301"/>
      <c r="V36" s="294"/>
      <c r="W36" s="294"/>
      <c r="X36" s="294"/>
      <c r="Y36" s="294"/>
      <c r="Z36" s="294"/>
      <c r="AA36" s="294"/>
      <c r="AB36" s="294"/>
    </row>
    <row r="37">
      <c r="A37" s="69" t="s">
        <v>239</v>
      </c>
      <c r="B37" s="337">
        <v>172.8</v>
      </c>
      <c r="C37" s="328" t="str">
        <f t="shared" si="3"/>
        <v>UP</v>
      </c>
      <c r="D37" s="69" t="s">
        <v>239</v>
      </c>
      <c r="E37" s="338">
        <v>6162.0</v>
      </c>
      <c r="F37" s="328" t="str">
        <f t="shared" si="8"/>
        <v>DOWN</v>
      </c>
      <c r="G37" s="298">
        <f t="shared" si="12"/>
        <v>0.02745035743</v>
      </c>
      <c r="H37" s="332">
        <f t="shared" si="5"/>
        <v>0.02804284323</v>
      </c>
      <c r="I37" s="302">
        <f t="shared" si="6"/>
        <v>-5989.2</v>
      </c>
      <c r="J37" s="333">
        <f t="shared" si="7"/>
        <v>-0.05526693332</v>
      </c>
      <c r="K37" s="288"/>
      <c r="L37" s="288"/>
      <c r="M37" s="288"/>
      <c r="N37" s="288"/>
      <c r="O37" s="288"/>
      <c r="P37" s="315"/>
      <c r="Q37" s="319">
        <f t="shared" si="9"/>
        <v>679500</v>
      </c>
      <c r="R37" s="301"/>
      <c r="S37" s="319">
        <f t="shared" si="10"/>
        <v>604000</v>
      </c>
      <c r="T37" s="319">
        <f t="shared" si="11"/>
        <v>75500</v>
      </c>
      <c r="U37" s="301"/>
      <c r="V37" s="315"/>
      <c r="W37" s="315"/>
      <c r="X37" s="315"/>
      <c r="Y37" s="315"/>
      <c r="Z37" s="315"/>
      <c r="AA37" s="315"/>
      <c r="AB37" s="315"/>
    </row>
    <row r="38">
      <c r="A38" s="69" t="s">
        <v>240</v>
      </c>
      <c r="B38" s="337">
        <v>181.2</v>
      </c>
      <c r="C38" s="328" t="str">
        <f t="shared" si="3"/>
        <v>UP</v>
      </c>
      <c r="D38" s="69" t="s">
        <v>240</v>
      </c>
      <c r="E38" s="338">
        <v>6040.0</v>
      </c>
      <c r="F38" s="328" t="str">
        <f t="shared" si="8"/>
        <v>DOWN</v>
      </c>
      <c r="G38" s="298">
        <f t="shared" si="12"/>
        <v>0.029406037</v>
      </c>
      <c r="H38" s="332">
        <f t="shared" si="5"/>
        <v>0.03</v>
      </c>
      <c r="I38" s="302">
        <f t="shared" si="6"/>
        <v>-5858.8</v>
      </c>
      <c r="J38" s="333">
        <f t="shared" si="7"/>
        <v>-0.07689931554</v>
      </c>
      <c r="K38" s="334">
        <f t="shared" ref="K38:K129" si="13">AVERAGE(B20:B40)</f>
        <v>182.9857143</v>
      </c>
      <c r="L38" s="335">
        <f t="shared" ref="L38:L129" si="14">(B38-K38)/B38</f>
        <v>-0.009854935352</v>
      </c>
      <c r="M38" s="336">
        <f t="shared" ref="M38:M129" si="15">AVERAGE(E40:E129)</f>
        <v>6640.511111</v>
      </c>
      <c r="N38" s="335">
        <f t="shared" ref="N38:N88" si="16">(E37-M38)/E37</f>
        <v>-0.07765516247</v>
      </c>
      <c r="O38" s="299">
        <f t="shared" ref="O38:O129" si="17">L38-N38</f>
        <v>0.06780022711</v>
      </c>
      <c r="P38" s="294"/>
      <c r="Q38" s="319">
        <f t="shared" si="9"/>
        <v>690375</v>
      </c>
      <c r="R38" s="294"/>
      <c r="S38" s="319">
        <f t="shared" si="10"/>
        <v>616000</v>
      </c>
      <c r="T38" s="319">
        <f t="shared" si="11"/>
        <v>74375</v>
      </c>
      <c r="U38" s="294"/>
      <c r="V38" s="294"/>
      <c r="W38" s="294"/>
      <c r="X38" s="294"/>
      <c r="Y38" s="294"/>
      <c r="Z38" s="294"/>
      <c r="AA38" s="294"/>
      <c r="AB38" s="294"/>
    </row>
    <row r="39">
      <c r="A39" s="69" t="s">
        <v>241</v>
      </c>
      <c r="B39" s="337">
        <v>184.1</v>
      </c>
      <c r="C39" s="328" t="str">
        <f t="shared" si="3"/>
        <v>UP</v>
      </c>
      <c r="D39" s="69" t="s">
        <v>241</v>
      </c>
      <c r="E39" s="338">
        <v>6160.0</v>
      </c>
      <c r="F39" s="328" t="str">
        <f t="shared" si="8"/>
        <v>UP</v>
      </c>
      <c r="G39" s="298">
        <f t="shared" si="12"/>
        <v>0.03048013245</v>
      </c>
      <c r="H39" s="332">
        <f t="shared" si="5"/>
        <v>0.02988636364</v>
      </c>
      <c r="I39" s="302">
        <f t="shared" si="6"/>
        <v>-5975.9</v>
      </c>
      <c r="J39" s="333">
        <f t="shared" si="7"/>
        <v>-0.0574733036</v>
      </c>
      <c r="K39" s="334">
        <f t="shared" si="13"/>
        <v>182.0238095</v>
      </c>
      <c r="L39" s="335">
        <f t="shared" si="14"/>
        <v>0.01127751481</v>
      </c>
      <c r="M39" s="336">
        <f t="shared" si="15"/>
        <v>6650.944444</v>
      </c>
      <c r="N39" s="335">
        <f t="shared" si="16"/>
        <v>-0.1011497425</v>
      </c>
      <c r="O39" s="299">
        <f t="shared" si="17"/>
        <v>0.1124272573</v>
      </c>
      <c r="P39" s="315"/>
      <c r="Q39" s="319">
        <f t="shared" si="9"/>
        <v>699375</v>
      </c>
      <c r="R39" s="294"/>
      <c r="S39" s="319">
        <f t="shared" si="10"/>
        <v>625000</v>
      </c>
      <c r="T39" s="319">
        <f t="shared" si="11"/>
        <v>74375</v>
      </c>
      <c r="U39" s="294"/>
      <c r="V39" s="294"/>
      <c r="W39" s="294"/>
      <c r="X39" s="294"/>
      <c r="Y39" s="294"/>
      <c r="Z39" s="294"/>
      <c r="AA39" s="294"/>
      <c r="AB39" s="294"/>
    </row>
    <row r="40">
      <c r="A40" s="69" t="s">
        <v>242</v>
      </c>
      <c r="B40" s="337">
        <v>186.5</v>
      </c>
      <c r="C40" s="328" t="str">
        <f t="shared" si="3"/>
        <v>UP</v>
      </c>
      <c r="D40" s="69" t="s">
        <v>242</v>
      </c>
      <c r="E40" s="338">
        <v>6250.0</v>
      </c>
      <c r="F40" s="328" t="str">
        <f t="shared" si="8"/>
        <v>UP</v>
      </c>
      <c r="G40" s="298">
        <f t="shared" si="12"/>
        <v>0.03027597403</v>
      </c>
      <c r="H40" s="332">
        <f t="shared" si="5"/>
        <v>0.02984</v>
      </c>
      <c r="I40" s="302">
        <f t="shared" si="6"/>
        <v>-6063.5</v>
      </c>
      <c r="J40" s="333">
        <f t="shared" si="7"/>
        <v>-0.04294112045</v>
      </c>
      <c r="K40" s="334">
        <f t="shared" si="13"/>
        <v>181.6952381</v>
      </c>
      <c r="L40" s="335">
        <f t="shared" si="14"/>
        <v>0.02576279842</v>
      </c>
      <c r="M40" s="336">
        <f t="shared" si="15"/>
        <v>6658.466667</v>
      </c>
      <c r="N40" s="335">
        <f t="shared" si="16"/>
        <v>-0.08091991342</v>
      </c>
      <c r="O40" s="299">
        <f t="shared" si="17"/>
        <v>0.1066827118</v>
      </c>
      <c r="P40" s="315"/>
      <c r="Q40" s="319">
        <f t="shared" si="9"/>
        <v>672000</v>
      </c>
      <c r="R40" s="294"/>
      <c r="S40" s="319">
        <f t="shared" si="10"/>
        <v>643200</v>
      </c>
      <c r="T40" s="319">
        <f t="shared" si="11"/>
        <v>28800</v>
      </c>
      <c r="U40" s="294"/>
      <c r="V40" s="294"/>
      <c r="W40" s="294"/>
      <c r="X40" s="294"/>
      <c r="Y40" s="294"/>
      <c r="Z40" s="294"/>
      <c r="AA40" s="294"/>
      <c r="AB40" s="294"/>
    </row>
    <row r="41">
      <c r="A41" s="69" t="s">
        <v>243</v>
      </c>
      <c r="B41" s="337">
        <v>179.2</v>
      </c>
      <c r="C41" s="328" t="str">
        <f t="shared" si="3"/>
        <v>DOWN</v>
      </c>
      <c r="D41" s="69" t="s">
        <v>243</v>
      </c>
      <c r="E41" s="338">
        <v>6432.0</v>
      </c>
      <c r="F41" s="328" t="str">
        <f t="shared" si="8"/>
        <v>UP</v>
      </c>
      <c r="G41" s="298">
        <f t="shared" si="12"/>
        <v>0.028672</v>
      </c>
      <c r="H41" s="332">
        <f t="shared" si="5"/>
        <v>0.02786069652</v>
      </c>
      <c r="I41" s="302">
        <f t="shared" si="6"/>
        <v>-6252.8</v>
      </c>
      <c r="J41" s="333">
        <f t="shared" si="7"/>
        <v>-0.01153766989</v>
      </c>
      <c r="K41" s="334">
        <f t="shared" si="13"/>
        <v>180.7761905</v>
      </c>
      <c r="L41" s="335">
        <f t="shared" si="14"/>
        <v>-0.008795705782</v>
      </c>
      <c r="M41" s="336">
        <f t="shared" si="15"/>
        <v>6665.911111</v>
      </c>
      <c r="N41" s="335">
        <f t="shared" si="16"/>
        <v>-0.06654577778</v>
      </c>
      <c r="O41" s="299">
        <f t="shared" si="17"/>
        <v>0.057750072</v>
      </c>
      <c r="P41" s="315"/>
      <c r="Q41" s="319">
        <f t="shared" si="9"/>
        <v>701250</v>
      </c>
      <c r="R41" s="315"/>
      <c r="S41" s="319">
        <f t="shared" si="10"/>
        <v>648700</v>
      </c>
      <c r="T41" s="319">
        <f t="shared" si="11"/>
        <v>52550</v>
      </c>
      <c r="U41" s="294"/>
      <c r="V41" s="294"/>
      <c r="W41" s="294"/>
      <c r="X41" s="294"/>
      <c r="Y41" s="294"/>
      <c r="Z41" s="294"/>
      <c r="AA41" s="294"/>
      <c r="AB41" s="294"/>
    </row>
    <row r="42">
      <c r="A42" s="69" t="s">
        <v>244</v>
      </c>
      <c r="B42" s="337">
        <v>187.0</v>
      </c>
      <c r="C42" s="328" t="str">
        <f t="shared" si="3"/>
        <v>UP</v>
      </c>
      <c r="D42" s="69" t="s">
        <v>244</v>
      </c>
      <c r="E42" s="338">
        <v>6487.0</v>
      </c>
      <c r="F42" s="328" t="str">
        <f t="shared" si="8"/>
        <v>UP</v>
      </c>
      <c r="G42" s="298">
        <f t="shared" si="12"/>
        <v>0.02907338308</v>
      </c>
      <c r="H42" s="332">
        <f t="shared" si="5"/>
        <v>0.02882688454</v>
      </c>
      <c r="I42" s="302">
        <f t="shared" si="6"/>
        <v>-6300</v>
      </c>
      <c r="J42" s="333">
        <f t="shared" si="7"/>
        <v>-0.003707543808</v>
      </c>
      <c r="K42" s="334">
        <f t="shared" si="13"/>
        <v>180.3904762</v>
      </c>
      <c r="L42" s="335">
        <f t="shared" si="14"/>
        <v>0.03534504711</v>
      </c>
      <c r="M42" s="336">
        <f t="shared" si="15"/>
        <v>6671.577778</v>
      </c>
      <c r="N42" s="335">
        <f t="shared" si="16"/>
        <v>-0.03724778883</v>
      </c>
      <c r="O42" s="299">
        <f t="shared" si="17"/>
        <v>0.07259283594</v>
      </c>
      <c r="P42" s="315"/>
      <c r="Q42" s="319">
        <f t="shared" si="9"/>
        <v>678750</v>
      </c>
      <c r="R42" s="315"/>
      <c r="S42" s="319">
        <f t="shared" si="10"/>
        <v>659300</v>
      </c>
      <c r="T42" s="319">
        <f t="shared" si="11"/>
        <v>19450</v>
      </c>
      <c r="U42" s="294"/>
      <c r="V42" s="294"/>
      <c r="W42" s="294"/>
      <c r="X42" s="294"/>
      <c r="Y42" s="294"/>
      <c r="Z42" s="294"/>
      <c r="AA42" s="294"/>
      <c r="AB42" s="294"/>
    </row>
    <row r="43">
      <c r="A43" s="69" t="s">
        <v>245</v>
      </c>
      <c r="B43" s="337">
        <v>181.0</v>
      </c>
      <c r="C43" s="328" t="str">
        <f t="shared" si="3"/>
        <v>DOWN</v>
      </c>
      <c r="D43" s="69" t="s">
        <v>245</v>
      </c>
      <c r="E43" s="338">
        <v>6593.0</v>
      </c>
      <c r="F43" s="328" t="str">
        <f t="shared" si="8"/>
        <v>UP</v>
      </c>
      <c r="G43" s="298">
        <f t="shared" si="12"/>
        <v>0.02790195776</v>
      </c>
      <c r="H43" s="332">
        <f t="shared" si="5"/>
        <v>0.02745335962</v>
      </c>
      <c r="I43" s="302">
        <f t="shared" si="6"/>
        <v>-6412</v>
      </c>
      <c r="J43" s="333">
        <f t="shared" si="7"/>
        <v>0.01487241638</v>
      </c>
      <c r="K43" s="334">
        <f t="shared" si="13"/>
        <v>180</v>
      </c>
      <c r="L43" s="335">
        <f t="shared" si="14"/>
        <v>0.005524861878</v>
      </c>
      <c r="M43" s="336">
        <f t="shared" si="15"/>
        <v>6677.333333</v>
      </c>
      <c r="N43" s="335">
        <f t="shared" si="16"/>
        <v>-0.02934073275</v>
      </c>
      <c r="O43" s="299">
        <f t="shared" si="17"/>
        <v>0.03486559463</v>
      </c>
      <c r="P43" s="315"/>
      <c r="Q43" s="319">
        <f t="shared" si="9"/>
        <v>688875</v>
      </c>
      <c r="R43" s="315"/>
      <c r="S43" s="319">
        <f t="shared" si="10"/>
        <v>666000</v>
      </c>
      <c r="T43" s="319">
        <f t="shared" si="11"/>
        <v>22875</v>
      </c>
      <c r="U43" s="294"/>
      <c r="V43" s="294"/>
      <c r="W43" s="294"/>
      <c r="X43" s="294"/>
      <c r="Y43" s="294"/>
      <c r="Z43" s="294"/>
      <c r="AA43" s="294"/>
      <c r="AB43" s="294"/>
    </row>
    <row r="44">
      <c r="A44" s="339">
        <v>45634.0</v>
      </c>
      <c r="B44" s="337">
        <v>183.7</v>
      </c>
      <c r="C44" s="328" t="str">
        <f t="shared" si="3"/>
        <v>UP</v>
      </c>
      <c r="D44" s="339">
        <v>45634.0</v>
      </c>
      <c r="E44" s="338">
        <v>6660.0</v>
      </c>
      <c r="F44" s="328" t="str">
        <f t="shared" si="8"/>
        <v>UP</v>
      </c>
      <c r="G44" s="298">
        <f t="shared" si="12"/>
        <v>0.02786288488</v>
      </c>
      <c r="H44" s="332">
        <f t="shared" si="5"/>
        <v>0.02758258258</v>
      </c>
      <c r="I44" s="302">
        <f t="shared" si="6"/>
        <v>-6476.3</v>
      </c>
      <c r="J44" s="333">
        <f t="shared" si="7"/>
        <v>0.02553930423</v>
      </c>
      <c r="K44" s="334">
        <f t="shared" si="13"/>
        <v>179.8666667</v>
      </c>
      <c r="L44" s="335">
        <f t="shared" si="14"/>
        <v>0.0208673562</v>
      </c>
      <c r="M44" s="336">
        <f t="shared" si="15"/>
        <v>6686.688889</v>
      </c>
      <c r="N44" s="335">
        <f t="shared" si="16"/>
        <v>-0.01421035779</v>
      </c>
      <c r="O44" s="299">
        <f t="shared" si="17"/>
        <v>0.03507771398</v>
      </c>
      <c r="P44" s="315"/>
      <c r="Q44" s="319">
        <f t="shared" si="9"/>
        <v>676875</v>
      </c>
      <c r="R44" s="294"/>
      <c r="S44" s="319">
        <f t="shared" si="10"/>
        <v>644000</v>
      </c>
      <c r="T44" s="319">
        <f t="shared" si="11"/>
        <v>32875</v>
      </c>
      <c r="U44" s="294"/>
      <c r="V44" s="294"/>
      <c r="W44" s="294"/>
      <c r="X44" s="294"/>
      <c r="Y44" s="294"/>
      <c r="Z44" s="294"/>
      <c r="AA44" s="294"/>
      <c r="AB44" s="294"/>
    </row>
    <row r="45">
      <c r="A45" s="339">
        <v>45543.0</v>
      </c>
      <c r="B45" s="337">
        <v>180.5</v>
      </c>
      <c r="C45" s="328" t="str">
        <f t="shared" si="3"/>
        <v>DOWN</v>
      </c>
      <c r="D45" s="339">
        <v>45543.0</v>
      </c>
      <c r="E45" s="338">
        <v>6440.0</v>
      </c>
      <c r="F45" s="328" t="str">
        <f t="shared" si="8"/>
        <v>DOWN</v>
      </c>
      <c r="G45" s="298">
        <f t="shared" si="12"/>
        <v>0.0271021021</v>
      </c>
      <c r="H45" s="332">
        <f t="shared" si="5"/>
        <v>0.02802795031</v>
      </c>
      <c r="I45" s="302">
        <f t="shared" si="6"/>
        <v>-6259.5</v>
      </c>
      <c r="J45" s="333">
        <f t="shared" si="7"/>
        <v>-0.01042619013</v>
      </c>
      <c r="K45" s="334">
        <f t="shared" si="13"/>
        <v>179.1619048</v>
      </c>
      <c r="L45" s="335">
        <f t="shared" si="14"/>
        <v>0.007413270017</v>
      </c>
      <c r="M45" s="336">
        <f t="shared" si="15"/>
        <v>6694.488889</v>
      </c>
      <c r="N45" s="335">
        <f t="shared" si="16"/>
        <v>-0.005178511845</v>
      </c>
      <c r="O45" s="299">
        <f t="shared" si="17"/>
        <v>0.01259178186</v>
      </c>
      <c r="P45" s="315"/>
      <c r="Q45" s="319">
        <f t="shared" si="9"/>
        <v>673500</v>
      </c>
      <c r="R45" s="315"/>
      <c r="S45" s="319">
        <f t="shared" si="10"/>
        <v>641800</v>
      </c>
      <c r="T45" s="319">
        <f t="shared" si="11"/>
        <v>31700</v>
      </c>
      <c r="U45" s="315"/>
      <c r="V45" s="315"/>
      <c r="W45" s="294"/>
      <c r="X45" s="294"/>
      <c r="Y45" s="294"/>
      <c r="Z45" s="294"/>
      <c r="AA45" s="294"/>
      <c r="AB45" s="294"/>
    </row>
    <row r="46">
      <c r="A46" s="339">
        <v>45512.0</v>
      </c>
      <c r="B46" s="337">
        <v>179.6</v>
      </c>
      <c r="C46" s="328" t="str">
        <f t="shared" si="3"/>
        <v>DOWN</v>
      </c>
      <c r="D46" s="339">
        <v>45512.0</v>
      </c>
      <c r="E46" s="338">
        <v>6418.0</v>
      </c>
      <c r="F46" s="328" t="str">
        <f t="shared" si="8"/>
        <v>DOWN</v>
      </c>
      <c r="G46" s="298">
        <f t="shared" si="12"/>
        <v>0.02788819876</v>
      </c>
      <c r="H46" s="332">
        <f t="shared" si="5"/>
        <v>0.02798379557</v>
      </c>
      <c r="I46" s="302">
        <f t="shared" si="6"/>
        <v>-6238.4</v>
      </c>
      <c r="J46" s="333">
        <f t="shared" si="7"/>
        <v>-0.01392652191</v>
      </c>
      <c r="K46" s="334">
        <f t="shared" si="13"/>
        <v>178.1857143</v>
      </c>
      <c r="L46" s="335">
        <f t="shared" si="14"/>
        <v>0.007874642062</v>
      </c>
      <c r="M46" s="336">
        <f t="shared" si="15"/>
        <v>6698.651685</v>
      </c>
      <c r="N46" s="335">
        <f t="shared" si="16"/>
        <v>-0.04016330519</v>
      </c>
      <c r="O46" s="299">
        <f t="shared" si="17"/>
        <v>0.04803794725</v>
      </c>
      <c r="P46" s="315"/>
      <c r="Q46" s="319">
        <f t="shared" si="9"/>
        <v>660750</v>
      </c>
      <c r="R46" s="315"/>
      <c r="S46" s="319">
        <f t="shared" si="10"/>
        <v>632400</v>
      </c>
      <c r="T46" s="319">
        <f t="shared" si="11"/>
        <v>28350</v>
      </c>
      <c r="U46" s="315"/>
      <c r="V46" s="315"/>
      <c r="W46" s="294"/>
      <c r="X46" s="294"/>
      <c r="Y46" s="294"/>
      <c r="Z46" s="294"/>
      <c r="AA46" s="294"/>
      <c r="AB46" s="294"/>
    </row>
    <row r="47">
      <c r="A47" s="339">
        <v>45481.0</v>
      </c>
      <c r="B47" s="337">
        <v>176.2</v>
      </c>
      <c r="C47" s="328" t="str">
        <f t="shared" si="3"/>
        <v>DOWN</v>
      </c>
      <c r="D47" s="339">
        <v>45481.0</v>
      </c>
      <c r="E47" s="338">
        <v>6324.0</v>
      </c>
      <c r="F47" s="328" t="str">
        <f t="shared" si="8"/>
        <v>DOWN</v>
      </c>
      <c r="G47" s="298">
        <f t="shared" si="12"/>
        <v>0.02745403553</v>
      </c>
      <c r="H47" s="332">
        <f t="shared" si="5"/>
        <v>0.02786211259</v>
      </c>
      <c r="I47" s="302">
        <f t="shared" si="6"/>
        <v>-6147.8</v>
      </c>
      <c r="J47" s="333">
        <f t="shared" si="7"/>
        <v>-0.02895638256</v>
      </c>
      <c r="K47" s="334">
        <f t="shared" si="13"/>
        <v>177.4142857</v>
      </c>
      <c r="L47" s="335">
        <f t="shared" si="14"/>
        <v>-0.006891519377</v>
      </c>
      <c r="M47" s="336">
        <f t="shared" si="15"/>
        <v>6704.454545</v>
      </c>
      <c r="N47" s="335">
        <f t="shared" si="16"/>
        <v>-0.04463299244</v>
      </c>
      <c r="O47" s="299">
        <f t="shared" si="17"/>
        <v>0.03774147306</v>
      </c>
      <c r="P47" s="294"/>
      <c r="Q47" s="319">
        <f t="shared" si="9"/>
        <v>639000</v>
      </c>
      <c r="R47" s="294"/>
      <c r="S47" s="319">
        <f t="shared" si="10"/>
        <v>618800</v>
      </c>
      <c r="T47" s="319">
        <f t="shared" si="11"/>
        <v>20200</v>
      </c>
      <c r="U47" s="294"/>
      <c r="V47" s="294"/>
      <c r="W47" s="294"/>
      <c r="X47" s="294"/>
      <c r="Y47" s="294"/>
      <c r="Z47" s="294"/>
      <c r="AA47" s="294"/>
      <c r="AB47" s="294"/>
    </row>
    <row r="48">
      <c r="A48" s="339">
        <v>45451.0</v>
      </c>
      <c r="B48" s="337">
        <v>170.4</v>
      </c>
      <c r="C48" s="328" t="str">
        <f t="shared" si="3"/>
        <v>DOWN</v>
      </c>
      <c r="D48" s="339">
        <v>45451.0</v>
      </c>
      <c r="E48" s="338">
        <v>6188.0</v>
      </c>
      <c r="F48" s="328" t="str">
        <f t="shared" si="8"/>
        <v>DOWN</v>
      </c>
      <c r="G48" s="298">
        <f t="shared" si="12"/>
        <v>0.02694497154</v>
      </c>
      <c r="H48" s="332">
        <f t="shared" si="5"/>
        <v>0.02753716871</v>
      </c>
      <c r="I48" s="302">
        <f t="shared" si="6"/>
        <v>-6017.6</v>
      </c>
      <c r="J48" s="333">
        <f t="shared" si="7"/>
        <v>-0.05055558628</v>
      </c>
      <c r="K48" s="334">
        <f t="shared" si="13"/>
        <v>176.4666667</v>
      </c>
      <c r="L48" s="335">
        <f t="shared" si="14"/>
        <v>-0.03560250391</v>
      </c>
      <c r="M48" s="336">
        <f t="shared" si="15"/>
        <v>6710.83908</v>
      </c>
      <c r="N48" s="335">
        <f t="shared" si="16"/>
        <v>-0.06117000007</v>
      </c>
      <c r="O48" s="299">
        <f t="shared" si="17"/>
        <v>0.02556749616</v>
      </c>
      <c r="P48" s="315"/>
      <c r="Q48" s="319">
        <f t="shared" si="9"/>
        <v>616500</v>
      </c>
      <c r="R48" s="294"/>
      <c r="S48" s="319">
        <f t="shared" si="10"/>
        <v>614900</v>
      </c>
      <c r="T48" s="319">
        <f t="shared" si="11"/>
        <v>1600</v>
      </c>
      <c r="U48" s="294"/>
      <c r="V48" s="294"/>
      <c r="W48" s="294"/>
      <c r="X48" s="294"/>
      <c r="Y48" s="315"/>
      <c r="Z48" s="294"/>
      <c r="AA48" s="294"/>
      <c r="AB48" s="294"/>
    </row>
    <row r="49">
      <c r="A49" s="339">
        <v>45420.0</v>
      </c>
      <c r="B49" s="337">
        <v>164.4</v>
      </c>
      <c r="C49" s="328" t="str">
        <f t="shared" si="3"/>
        <v>DOWN</v>
      </c>
      <c r="D49" s="339">
        <v>45420.0</v>
      </c>
      <c r="E49" s="338">
        <v>6149.0</v>
      </c>
      <c r="F49" s="328" t="str">
        <f t="shared" si="8"/>
        <v>DOWN</v>
      </c>
      <c r="G49" s="298">
        <f t="shared" si="12"/>
        <v>0.0265675501</v>
      </c>
      <c r="H49" s="332">
        <f t="shared" si="5"/>
        <v>0.02673605464</v>
      </c>
      <c r="I49" s="302">
        <f t="shared" si="6"/>
        <v>-5984.6</v>
      </c>
      <c r="J49" s="333">
        <f t="shared" si="7"/>
        <v>-0.05603003883</v>
      </c>
      <c r="K49" s="334">
        <f t="shared" si="13"/>
        <v>175.7142857</v>
      </c>
      <c r="L49" s="335">
        <f t="shared" si="14"/>
        <v>-0.06882168926</v>
      </c>
      <c r="M49" s="336">
        <f t="shared" si="15"/>
        <v>6717.337209</v>
      </c>
      <c r="N49" s="335">
        <f t="shared" si="16"/>
        <v>-0.08554253544</v>
      </c>
      <c r="O49" s="299">
        <f t="shared" si="17"/>
        <v>0.01672084618</v>
      </c>
      <c r="P49" s="294"/>
      <c r="Q49" s="319">
        <f t="shared" si="9"/>
        <v>618375</v>
      </c>
      <c r="R49" s="294"/>
      <c r="S49" s="319">
        <f t="shared" si="10"/>
        <v>615200</v>
      </c>
      <c r="T49" s="319">
        <f t="shared" si="11"/>
        <v>3175</v>
      </c>
      <c r="U49" s="294"/>
      <c r="V49" s="294"/>
      <c r="W49" s="294"/>
      <c r="X49" s="294"/>
      <c r="Y49" s="294"/>
      <c r="Z49" s="294"/>
      <c r="AA49" s="294"/>
      <c r="AB49" s="294"/>
    </row>
    <row r="50">
      <c r="A50" s="339">
        <v>45330.0</v>
      </c>
      <c r="B50" s="337">
        <v>164.9</v>
      </c>
      <c r="C50" s="328" t="str">
        <f t="shared" si="3"/>
        <v>UP</v>
      </c>
      <c r="D50" s="339">
        <v>45330.0</v>
      </c>
      <c r="E50" s="338">
        <v>6152.0</v>
      </c>
      <c r="F50" s="328" t="str">
        <f t="shared" si="8"/>
        <v>UP</v>
      </c>
      <c r="G50" s="298">
        <f t="shared" si="12"/>
        <v>0.02681736868</v>
      </c>
      <c r="H50" s="332">
        <f t="shared" si="5"/>
        <v>0.02680429129</v>
      </c>
      <c r="I50" s="302">
        <f t="shared" si="6"/>
        <v>-5987.1</v>
      </c>
      <c r="J50" s="333">
        <f t="shared" si="7"/>
        <v>-0.05561530758</v>
      </c>
      <c r="K50" s="334">
        <f t="shared" si="13"/>
        <v>175.4047619</v>
      </c>
      <c r="L50" s="335">
        <f t="shared" si="14"/>
        <v>-0.06370383205</v>
      </c>
      <c r="M50" s="336">
        <f t="shared" si="15"/>
        <v>6720.576471</v>
      </c>
      <c r="N50" s="335">
        <f t="shared" si="16"/>
        <v>-0.09295437804</v>
      </c>
      <c r="O50" s="299">
        <f t="shared" si="17"/>
        <v>0.029250546</v>
      </c>
      <c r="P50" s="315"/>
      <c r="Q50" s="319">
        <f t="shared" si="9"/>
        <v>633000</v>
      </c>
      <c r="R50" s="294"/>
      <c r="S50" s="319">
        <f t="shared" si="10"/>
        <v>644200</v>
      </c>
      <c r="T50" s="319">
        <f t="shared" si="11"/>
        <v>-11200</v>
      </c>
      <c r="U50" s="294"/>
      <c r="V50" s="315"/>
      <c r="W50" s="294"/>
      <c r="X50" s="294"/>
      <c r="Y50" s="315"/>
      <c r="Z50" s="315"/>
      <c r="AA50" s="315"/>
      <c r="AB50" s="294"/>
    </row>
    <row r="51">
      <c r="A51" s="341">
        <v>45299.0</v>
      </c>
      <c r="B51" s="337">
        <v>168.8</v>
      </c>
      <c r="C51" s="328" t="str">
        <f t="shared" si="3"/>
        <v>UP</v>
      </c>
      <c r="D51" s="339">
        <v>45299.0</v>
      </c>
      <c r="E51" s="338">
        <v>6442.0</v>
      </c>
      <c r="F51" s="328" t="str">
        <f t="shared" si="8"/>
        <v>UP</v>
      </c>
      <c r="G51" s="298">
        <f t="shared" si="12"/>
        <v>0.02743823147</v>
      </c>
      <c r="H51" s="332">
        <f t="shared" si="5"/>
        <v>0.02620304253</v>
      </c>
      <c r="I51" s="302">
        <f t="shared" si="6"/>
        <v>-6273.2</v>
      </c>
      <c r="J51" s="333">
        <f t="shared" si="7"/>
        <v>-0.008153462852</v>
      </c>
      <c r="K51" s="334">
        <f t="shared" si="13"/>
        <v>175.3619048</v>
      </c>
      <c r="L51" s="335">
        <f t="shared" si="14"/>
        <v>-0.03887384338</v>
      </c>
      <c r="M51" s="336">
        <f t="shared" si="15"/>
        <v>6722.952381</v>
      </c>
      <c r="N51" s="335">
        <f t="shared" si="16"/>
        <v>-0.09280760419</v>
      </c>
      <c r="O51" s="299">
        <f t="shared" si="17"/>
        <v>0.05393376081</v>
      </c>
      <c r="P51" s="315"/>
      <c r="Q51" s="319">
        <f t="shared" si="9"/>
        <v>646875</v>
      </c>
      <c r="R51" s="315"/>
      <c r="S51" s="319">
        <f t="shared" si="10"/>
        <v>652100</v>
      </c>
      <c r="T51" s="319">
        <f t="shared" si="11"/>
        <v>-5225</v>
      </c>
      <c r="U51" s="315"/>
      <c r="V51" s="315"/>
      <c r="W51" s="294"/>
      <c r="X51" s="315"/>
      <c r="Y51" s="315"/>
      <c r="Z51" s="315"/>
      <c r="AA51" s="315"/>
      <c r="AB51" s="315"/>
    </row>
    <row r="52">
      <c r="A52" s="69" t="s">
        <v>246</v>
      </c>
      <c r="B52" s="337">
        <v>172.5</v>
      </c>
      <c r="C52" s="328" t="str">
        <f t="shared" si="3"/>
        <v>UP</v>
      </c>
      <c r="D52" s="69" t="s">
        <v>246</v>
      </c>
      <c r="E52" s="338">
        <v>6521.0</v>
      </c>
      <c r="F52" s="328" t="str">
        <f t="shared" si="8"/>
        <v>UP</v>
      </c>
      <c r="G52" s="298">
        <f t="shared" si="12"/>
        <v>0.02677739832</v>
      </c>
      <c r="H52" s="332">
        <f t="shared" si="5"/>
        <v>0.02645299801</v>
      </c>
      <c r="I52" s="302">
        <f t="shared" si="6"/>
        <v>-6348.5</v>
      </c>
      <c r="J52" s="333">
        <f t="shared" si="7"/>
        <v>0.004338242523</v>
      </c>
      <c r="K52" s="334">
        <f t="shared" si="13"/>
        <v>175.0809524</v>
      </c>
      <c r="L52" s="335">
        <f t="shared" si="14"/>
        <v>-0.01496204279</v>
      </c>
      <c r="M52" s="336">
        <f t="shared" si="15"/>
        <v>6728.096386</v>
      </c>
      <c r="N52" s="335">
        <f t="shared" si="16"/>
        <v>-0.04441111232</v>
      </c>
      <c r="O52" s="299">
        <f t="shared" si="17"/>
        <v>0.02944906953</v>
      </c>
      <c r="P52" s="315"/>
      <c r="Q52" s="319">
        <f t="shared" si="9"/>
        <v>670500</v>
      </c>
      <c r="R52" s="315"/>
      <c r="S52" s="319">
        <f t="shared" si="10"/>
        <v>629600</v>
      </c>
      <c r="T52" s="319">
        <f t="shared" si="11"/>
        <v>40900</v>
      </c>
      <c r="U52" s="315"/>
      <c r="V52" s="315"/>
      <c r="W52" s="315"/>
      <c r="X52" s="315"/>
      <c r="Y52" s="315"/>
      <c r="Z52" s="315"/>
      <c r="AA52" s="315"/>
      <c r="AB52" s="315"/>
    </row>
    <row r="53">
      <c r="A53" s="69" t="s">
        <v>247</v>
      </c>
      <c r="B53" s="337">
        <v>178.8</v>
      </c>
      <c r="C53" s="328" t="str">
        <f t="shared" si="3"/>
        <v>UP</v>
      </c>
      <c r="D53" s="69" t="s">
        <v>247</v>
      </c>
      <c r="E53" s="338">
        <v>6296.0</v>
      </c>
      <c r="F53" s="328" t="str">
        <f t="shared" si="8"/>
        <v>DOWN</v>
      </c>
      <c r="G53" s="298">
        <f t="shared" si="12"/>
        <v>0.0274191075</v>
      </c>
      <c r="H53" s="332">
        <f t="shared" si="5"/>
        <v>0.02839898348</v>
      </c>
      <c r="I53" s="302">
        <f t="shared" si="6"/>
        <v>-6117.2</v>
      </c>
      <c r="J53" s="333">
        <f t="shared" si="7"/>
        <v>-0.03403269311</v>
      </c>
      <c r="K53" s="334">
        <f t="shared" si="13"/>
        <v>175.6285714</v>
      </c>
      <c r="L53" s="335">
        <f t="shared" si="14"/>
        <v>0.01773729626</v>
      </c>
      <c r="M53" s="336">
        <f t="shared" si="15"/>
        <v>6732.646341</v>
      </c>
      <c r="N53" s="335">
        <f t="shared" si="16"/>
        <v>-0.03245611738</v>
      </c>
      <c r="O53" s="299">
        <f t="shared" si="17"/>
        <v>0.05019341365</v>
      </c>
      <c r="P53" s="315"/>
      <c r="Q53" s="319">
        <f t="shared" si="9"/>
        <v>648375</v>
      </c>
      <c r="R53" s="315"/>
      <c r="S53" s="319">
        <f t="shared" si="10"/>
        <v>635500</v>
      </c>
      <c r="T53" s="319">
        <f t="shared" si="11"/>
        <v>12875</v>
      </c>
      <c r="U53" s="315"/>
      <c r="V53" s="315"/>
      <c r="W53" s="315"/>
      <c r="X53" s="315"/>
      <c r="Y53" s="315"/>
      <c r="Z53" s="315"/>
      <c r="AA53" s="315"/>
      <c r="AB53" s="315"/>
    </row>
    <row r="54">
      <c r="A54" s="69" t="s">
        <v>248</v>
      </c>
      <c r="B54" s="337">
        <v>172.9</v>
      </c>
      <c r="C54" s="328" t="str">
        <f t="shared" si="3"/>
        <v>DOWN</v>
      </c>
      <c r="D54" s="69" t="s">
        <v>248</v>
      </c>
      <c r="E54" s="338">
        <v>6355.0</v>
      </c>
      <c r="F54" s="328" t="str">
        <f t="shared" si="8"/>
        <v>UP</v>
      </c>
      <c r="G54" s="298">
        <f t="shared" si="12"/>
        <v>0.02746188056</v>
      </c>
      <c r="H54" s="332">
        <f t="shared" si="5"/>
        <v>0.02720692368</v>
      </c>
      <c r="I54" s="302">
        <f t="shared" si="6"/>
        <v>-6182.1</v>
      </c>
      <c r="J54" s="333">
        <f t="shared" si="7"/>
        <v>-0.02326626975</v>
      </c>
      <c r="K54" s="334">
        <f t="shared" si="13"/>
        <v>176</v>
      </c>
      <c r="L54" s="335">
        <f t="shared" si="14"/>
        <v>-0.01792943898</v>
      </c>
      <c r="M54" s="336">
        <f t="shared" si="15"/>
        <v>6735.777778</v>
      </c>
      <c r="N54" s="335">
        <f t="shared" si="16"/>
        <v>-0.0698503459</v>
      </c>
      <c r="O54" s="299">
        <f t="shared" si="17"/>
        <v>0.05192090692</v>
      </c>
      <c r="P54" s="315"/>
      <c r="Q54" s="319">
        <f t="shared" si="9"/>
        <v>637875</v>
      </c>
      <c r="R54" s="315"/>
      <c r="S54" s="319">
        <f t="shared" si="10"/>
        <v>647900</v>
      </c>
      <c r="T54" s="319">
        <f t="shared" si="11"/>
        <v>-10025</v>
      </c>
      <c r="U54" s="315"/>
      <c r="V54" s="315"/>
      <c r="W54" s="315"/>
      <c r="X54" s="315"/>
      <c r="Y54" s="315"/>
      <c r="Z54" s="315"/>
      <c r="AA54" s="315"/>
      <c r="AB54" s="315"/>
    </row>
    <row r="55">
      <c r="A55" s="69" t="s">
        <v>249</v>
      </c>
      <c r="B55" s="337">
        <v>170.1</v>
      </c>
      <c r="C55" s="328" t="str">
        <f t="shared" si="3"/>
        <v>DOWN</v>
      </c>
      <c r="D55" s="69" t="s">
        <v>249</v>
      </c>
      <c r="E55" s="338">
        <v>6479.0</v>
      </c>
      <c r="F55" s="328" t="str">
        <f t="shared" si="8"/>
        <v>UP</v>
      </c>
      <c r="G55" s="298">
        <f t="shared" si="12"/>
        <v>0.02676632573</v>
      </c>
      <c r="H55" s="332">
        <f t="shared" si="5"/>
        <v>0.02625405155</v>
      </c>
      <c r="I55" s="302">
        <f t="shared" si="6"/>
        <v>-6308.9</v>
      </c>
      <c r="J55" s="333">
        <f t="shared" si="7"/>
        <v>-0.002231100543</v>
      </c>
      <c r="K55" s="334">
        <f t="shared" si="13"/>
        <v>176.4190476</v>
      </c>
      <c r="L55" s="335">
        <f t="shared" si="14"/>
        <v>-0.03714901598</v>
      </c>
      <c r="M55" s="336">
        <f t="shared" si="15"/>
        <v>6737.8625</v>
      </c>
      <c r="N55" s="335">
        <f t="shared" si="16"/>
        <v>-0.06024586939</v>
      </c>
      <c r="O55" s="299">
        <f t="shared" si="17"/>
        <v>0.02309685341</v>
      </c>
      <c r="P55" s="315"/>
      <c r="Q55" s="319">
        <f t="shared" si="9"/>
        <v>646875</v>
      </c>
      <c r="R55" s="315"/>
      <c r="S55" s="319">
        <f t="shared" si="10"/>
        <v>656900</v>
      </c>
      <c r="T55" s="319">
        <f t="shared" si="11"/>
        <v>-10025</v>
      </c>
      <c r="U55" s="315"/>
      <c r="V55" s="315"/>
      <c r="W55" s="315"/>
      <c r="X55" s="315"/>
      <c r="Y55" s="315"/>
      <c r="Z55" s="315"/>
      <c r="AA55" s="315"/>
      <c r="AB55" s="315"/>
    </row>
    <row r="56">
      <c r="A56" s="69" t="s">
        <v>250</v>
      </c>
      <c r="B56" s="337">
        <v>172.5</v>
      </c>
      <c r="C56" s="328" t="str">
        <f t="shared" si="3"/>
        <v>UP</v>
      </c>
      <c r="D56" s="69" t="s">
        <v>250</v>
      </c>
      <c r="E56" s="338">
        <v>6569.0</v>
      </c>
      <c r="F56" s="328" t="str">
        <f t="shared" si="8"/>
        <v>UP</v>
      </c>
      <c r="G56" s="298">
        <f t="shared" si="12"/>
        <v>0.02662447909</v>
      </c>
      <c r="H56" s="332">
        <f t="shared" si="5"/>
        <v>0.02625970467</v>
      </c>
      <c r="I56" s="302">
        <f t="shared" si="6"/>
        <v>-6396.5</v>
      </c>
      <c r="J56" s="333">
        <f t="shared" si="7"/>
        <v>0.0123010826</v>
      </c>
      <c r="K56" s="334">
        <f t="shared" si="13"/>
        <v>176.9333333</v>
      </c>
      <c r="L56" s="335">
        <f t="shared" si="14"/>
        <v>-0.02570048309</v>
      </c>
      <c r="M56" s="336">
        <f t="shared" si="15"/>
        <v>6740.56962</v>
      </c>
      <c r="N56" s="335">
        <f t="shared" si="16"/>
        <v>-0.04037191237</v>
      </c>
      <c r="O56" s="299">
        <f t="shared" si="17"/>
        <v>0.01467142928</v>
      </c>
      <c r="P56" s="315"/>
      <c r="Q56" s="319">
        <f t="shared" si="9"/>
        <v>666375</v>
      </c>
      <c r="R56" s="315"/>
      <c r="S56" s="319">
        <f t="shared" si="10"/>
        <v>652400</v>
      </c>
      <c r="T56" s="319">
        <f t="shared" si="11"/>
        <v>13975</v>
      </c>
      <c r="U56" s="315"/>
      <c r="V56" s="315"/>
      <c r="W56" s="315"/>
      <c r="X56" s="315"/>
      <c r="Y56" s="315"/>
      <c r="Z56" s="315"/>
      <c r="AA56" s="315"/>
      <c r="AB56" s="315"/>
    </row>
    <row r="57">
      <c r="A57" s="69" t="s">
        <v>251</v>
      </c>
      <c r="B57" s="337">
        <v>177.7</v>
      </c>
      <c r="C57" s="328" t="str">
        <f t="shared" si="3"/>
        <v>UP</v>
      </c>
      <c r="D57" s="69" t="s">
        <v>251</v>
      </c>
      <c r="E57" s="338">
        <v>6524.0</v>
      </c>
      <c r="F57" s="328" t="str">
        <f t="shared" si="8"/>
        <v>DOWN</v>
      </c>
      <c r="G57" s="298">
        <f t="shared" si="12"/>
        <v>0.02705130157</v>
      </c>
      <c r="H57" s="332">
        <f t="shared" si="5"/>
        <v>0.02723789086</v>
      </c>
      <c r="I57" s="302">
        <f t="shared" si="6"/>
        <v>-6346.3</v>
      </c>
      <c r="J57" s="333">
        <f t="shared" si="7"/>
        <v>0.003973279019</v>
      </c>
      <c r="K57" s="334">
        <f t="shared" si="13"/>
        <v>177.2666667</v>
      </c>
      <c r="L57" s="335">
        <f t="shared" si="14"/>
        <v>0.002438566873</v>
      </c>
      <c r="M57" s="336">
        <f t="shared" si="15"/>
        <v>6744.166667</v>
      </c>
      <c r="N57" s="335">
        <f t="shared" si="16"/>
        <v>-0.0266656518</v>
      </c>
      <c r="O57" s="299">
        <f t="shared" si="17"/>
        <v>0.02910421867</v>
      </c>
      <c r="P57" s="315"/>
      <c r="Q57" s="319">
        <f t="shared" si="9"/>
        <v>688500</v>
      </c>
      <c r="R57" s="315"/>
      <c r="S57" s="319">
        <f t="shared" si="10"/>
        <v>646000</v>
      </c>
      <c r="T57" s="319">
        <f t="shared" si="11"/>
        <v>42500</v>
      </c>
      <c r="U57" s="315"/>
      <c r="V57" s="315"/>
      <c r="W57" s="315"/>
      <c r="X57" s="315"/>
      <c r="Y57" s="315"/>
      <c r="Z57" s="315"/>
      <c r="AA57" s="315"/>
      <c r="AB57" s="315"/>
    </row>
    <row r="58">
      <c r="A58" s="69" t="s">
        <v>252</v>
      </c>
      <c r="B58" s="337">
        <v>183.6</v>
      </c>
      <c r="C58" s="328" t="str">
        <f t="shared" si="3"/>
        <v>UP</v>
      </c>
      <c r="D58" s="69" t="s">
        <v>252</v>
      </c>
      <c r="E58" s="338">
        <v>6460.0</v>
      </c>
      <c r="F58" s="328" t="str">
        <f t="shared" si="8"/>
        <v>DOWN</v>
      </c>
      <c r="G58" s="298">
        <f t="shared" si="12"/>
        <v>0.02814224402</v>
      </c>
      <c r="H58" s="332">
        <f t="shared" si="5"/>
        <v>0.02842105263</v>
      </c>
      <c r="I58" s="302">
        <f t="shared" si="6"/>
        <v>-6276.4</v>
      </c>
      <c r="J58" s="333">
        <f t="shared" si="7"/>
        <v>-0.007622606847</v>
      </c>
      <c r="K58" s="334">
        <f t="shared" si="13"/>
        <v>176.952381</v>
      </c>
      <c r="L58" s="335">
        <f t="shared" si="14"/>
        <v>0.03620707542</v>
      </c>
      <c r="M58" s="336">
        <f t="shared" si="15"/>
        <v>6746.519481</v>
      </c>
      <c r="N58" s="335">
        <f t="shared" si="16"/>
        <v>-0.03410782963</v>
      </c>
      <c r="O58" s="299">
        <f t="shared" si="17"/>
        <v>0.07031490505</v>
      </c>
      <c r="P58" s="315"/>
      <c r="Q58" s="319">
        <f t="shared" si="9"/>
        <v>705750</v>
      </c>
      <c r="R58" s="315"/>
      <c r="S58" s="319">
        <f t="shared" si="10"/>
        <v>656300</v>
      </c>
      <c r="T58" s="319">
        <f t="shared" si="11"/>
        <v>49450</v>
      </c>
      <c r="U58" s="315"/>
      <c r="V58" s="315"/>
      <c r="W58" s="315"/>
      <c r="X58" s="315"/>
      <c r="Y58" s="315"/>
      <c r="Z58" s="315"/>
      <c r="AA58" s="315"/>
      <c r="AB58" s="315"/>
    </row>
    <row r="59">
      <c r="A59" s="69" t="s">
        <v>253</v>
      </c>
      <c r="B59" s="337">
        <v>188.2</v>
      </c>
      <c r="C59" s="328" t="str">
        <f t="shared" si="3"/>
        <v>UP</v>
      </c>
      <c r="D59" s="69" t="s">
        <v>253</v>
      </c>
      <c r="E59" s="338">
        <v>6563.0</v>
      </c>
      <c r="F59" s="328" t="str">
        <f t="shared" si="8"/>
        <v>UP</v>
      </c>
      <c r="G59" s="298">
        <f t="shared" si="12"/>
        <v>0.02913312693</v>
      </c>
      <c r="H59" s="332">
        <f t="shared" si="5"/>
        <v>0.02867591041</v>
      </c>
      <c r="I59" s="302">
        <f t="shared" si="6"/>
        <v>-6374.8</v>
      </c>
      <c r="J59" s="333">
        <f t="shared" si="7"/>
        <v>0.008701215316</v>
      </c>
      <c r="K59" s="334">
        <f t="shared" si="13"/>
        <v>176.5380952</v>
      </c>
      <c r="L59" s="335">
        <f t="shared" si="14"/>
        <v>0.06196548758</v>
      </c>
      <c r="M59" s="336">
        <f t="shared" si="15"/>
        <v>6746.776316</v>
      </c>
      <c r="N59" s="335">
        <f t="shared" si="16"/>
        <v>-0.04439261854</v>
      </c>
      <c r="O59" s="299">
        <f t="shared" si="17"/>
        <v>0.1063581061</v>
      </c>
      <c r="P59" s="315"/>
      <c r="Q59" s="319">
        <f t="shared" si="9"/>
        <v>665625</v>
      </c>
      <c r="R59" s="315"/>
      <c r="S59" s="319">
        <f t="shared" si="10"/>
        <v>672700</v>
      </c>
      <c r="T59" s="319">
        <f t="shared" si="11"/>
        <v>-7075</v>
      </c>
      <c r="U59" s="315"/>
      <c r="V59" s="315"/>
      <c r="W59" s="315"/>
      <c r="X59" s="315"/>
      <c r="Y59" s="315"/>
      <c r="Z59" s="315"/>
      <c r="AA59" s="315"/>
      <c r="AB59" s="315"/>
    </row>
    <row r="60">
      <c r="A60" s="69" t="s">
        <v>254</v>
      </c>
      <c r="B60" s="337">
        <v>177.5</v>
      </c>
      <c r="C60" s="328" t="str">
        <f t="shared" si="3"/>
        <v>DOWN</v>
      </c>
      <c r="D60" s="69" t="s">
        <v>254</v>
      </c>
      <c r="E60" s="338">
        <v>6727.0</v>
      </c>
      <c r="F60" s="328" t="str">
        <f t="shared" si="8"/>
        <v>UP</v>
      </c>
      <c r="G60" s="298">
        <f t="shared" si="12"/>
        <v>0.02704555843</v>
      </c>
      <c r="H60" s="332">
        <f t="shared" si="5"/>
        <v>0.02638620485</v>
      </c>
      <c r="I60" s="302">
        <f t="shared" si="6"/>
        <v>-6549.5</v>
      </c>
      <c r="J60" s="333">
        <f t="shared" si="7"/>
        <v>0.03768263536</v>
      </c>
      <c r="K60" s="334">
        <f t="shared" si="13"/>
        <v>176.1238095</v>
      </c>
      <c r="L60" s="335">
        <f t="shared" si="14"/>
        <v>0.007753185781</v>
      </c>
      <c r="M60" s="336">
        <f t="shared" si="15"/>
        <v>6743.733333</v>
      </c>
      <c r="N60" s="335">
        <f t="shared" si="16"/>
        <v>-0.02753821931</v>
      </c>
      <c r="O60" s="299">
        <f t="shared" si="17"/>
        <v>0.03529140509</v>
      </c>
      <c r="P60" s="315"/>
      <c r="Q60" s="319">
        <f t="shared" si="9"/>
        <v>666750</v>
      </c>
      <c r="R60" s="315"/>
      <c r="S60" s="319">
        <f t="shared" si="10"/>
        <v>697500</v>
      </c>
      <c r="T60" s="319">
        <f t="shared" si="11"/>
        <v>-30750</v>
      </c>
      <c r="U60" s="315"/>
      <c r="V60" s="315"/>
      <c r="W60" s="315"/>
      <c r="X60" s="315"/>
      <c r="Y60" s="315"/>
      <c r="Z60" s="315"/>
      <c r="AA60" s="315"/>
      <c r="AB60" s="315"/>
    </row>
    <row r="61">
      <c r="A61" s="69" t="s">
        <v>255</v>
      </c>
      <c r="B61" s="337">
        <v>177.8</v>
      </c>
      <c r="C61" s="328" t="str">
        <f t="shared" si="3"/>
        <v>UP</v>
      </c>
      <c r="D61" s="69" t="s">
        <v>255</v>
      </c>
      <c r="E61" s="338">
        <v>6975.0</v>
      </c>
      <c r="F61" s="328" t="str">
        <f t="shared" si="8"/>
        <v>UP</v>
      </c>
      <c r="G61" s="298">
        <f t="shared" si="12"/>
        <v>0.02643080125</v>
      </c>
      <c r="H61" s="332">
        <f t="shared" si="5"/>
        <v>0.02549103943</v>
      </c>
      <c r="I61" s="302">
        <f t="shared" si="6"/>
        <v>-6797.2</v>
      </c>
      <c r="J61" s="333">
        <f t="shared" si="7"/>
        <v>0.07877420802</v>
      </c>
      <c r="K61" s="334">
        <f t="shared" si="13"/>
        <v>175.9095238</v>
      </c>
      <c r="L61" s="335">
        <f t="shared" si="14"/>
        <v>0.0106325995</v>
      </c>
      <c r="M61" s="336">
        <f t="shared" si="15"/>
        <v>6741.459459</v>
      </c>
      <c r="N61" s="335">
        <f t="shared" si="16"/>
        <v>-0.002149466249</v>
      </c>
      <c r="O61" s="299">
        <f t="shared" si="17"/>
        <v>0.01278206575</v>
      </c>
      <c r="P61" s="315"/>
      <c r="Q61" s="319">
        <f t="shared" si="9"/>
        <v>639375</v>
      </c>
      <c r="R61" s="315"/>
      <c r="S61" s="319">
        <f t="shared" si="10"/>
        <v>691200</v>
      </c>
      <c r="T61" s="319">
        <f t="shared" si="11"/>
        <v>-51825</v>
      </c>
      <c r="U61" s="315"/>
      <c r="V61" s="315"/>
      <c r="W61" s="315"/>
      <c r="X61" s="315"/>
      <c r="Y61" s="315"/>
      <c r="Z61" s="315"/>
      <c r="AA61" s="315"/>
      <c r="AB61" s="315"/>
    </row>
    <row r="62">
      <c r="A62" s="69" t="s">
        <v>256</v>
      </c>
      <c r="B62" s="337">
        <v>170.5</v>
      </c>
      <c r="C62" s="328" t="str">
        <f t="shared" si="3"/>
        <v>DOWN</v>
      </c>
      <c r="D62" s="69" t="s">
        <v>256</v>
      </c>
      <c r="E62" s="338">
        <v>6912.0</v>
      </c>
      <c r="F62" s="328" t="str">
        <f t="shared" si="8"/>
        <v>DOWN</v>
      </c>
      <c r="G62" s="298">
        <f t="shared" si="12"/>
        <v>0.02444444444</v>
      </c>
      <c r="H62" s="332">
        <f t="shared" si="5"/>
        <v>0.02466724537</v>
      </c>
      <c r="I62" s="302">
        <f t="shared" si="6"/>
        <v>-6741.5</v>
      </c>
      <c r="J62" s="333">
        <f t="shared" si="7"/>
        <v>0.06953399567</v>
      </c>
      <c r="K62" s="334">
        <f t="shared" si="13"/>
        <v>176.1142857</v>
      </c>
      <c r="L62" s="335">
        <f t="shared" si="14"/>
        <v>-0.03292836196</v>
      </c>
      <c r="M62" s="336">
        <f t="shared" si="15"/>
        <v>6740.931507</v>
      </c>
      <c r="N62" s="335">
        <f t="shared" si="16"/>
        <v>0.0335582069</v>
      </c>
      <c r="O62" s="299">
        <f t="shared" si="17"/>
        <v>-0.06648656886</v>
      </c>
      <c r="P62" s="315"/>
      <c r="Q62" s="319">
        <f t="shared" si="9"/>
        <v>684375</v>
      </c>
      <c r="R62" s="315"/>
      <c r="S62" s="319">
        <f t="shared" si="10"/>
        <v>678000</v>
      </c>
      <c r="T62" s="319">
        <f t="shared" si="11"/>
        <v>6375</v>
      </c>
      <c r="U62" s="315"/>
      <c r="V62" s="315"/>
      <c r="W62" s="315"/>
      <c r="X62" s="315"/>
      <c r="Y62" s="315"/>
      <c r="Z62" s="315"/>
      <c r="AA62" s="315"/>
      <c r="AB62" s="315"/>
    </row>
    <row r="63">
      <c r="A63" s="69" t="s">
        <v>257</v>
      </c>
      <c r="B63" s="337">
        <v>182.5</v>
      </c>
      <c r="C63" s="328" t="str">
        <f t="shared" si="3"/>
        <v>UP</v>
      </c>
      <c r="D63" s="69" t="s">
        <v>257</v>
      </c>
      <c r="E63" s="338">
        <v>6780.0</v>
      </c>
      <c r="F63" s="328" t="str">
        <f t="shared" si="8"/>
        <v>DOWN</v>
      </c>
      <c r="G63" s="298">
        <f t="shared" si="12"/>
        <v>0.02640335648</v>
      </c>
      <c r="H63" s="332">
        <f t="shared" si="5"/>
        <v>0.02691740413</v>
      </c>
      <c r="I63" s="302">
        <f t="shared" si="6"/>
        <v>-6597.5</v>
      </c>
      <c r="J63" s="333">
        <f t="shared" si="7"/>
        <v>0.04564547544</v>
      </c>
      <c r="K63" s="334">
        <f t="shared" si="13"/>
        <v>176.7</v>
      </c>
      <c r="L63" s="335">
        <f t="shared" si="14"/>
        <v>0.03178082192</v>
      </c>
      <c r="M63" s="336">
        <f t="shared" si="15"/>
        <v>6739.444444</v>
      </c>
      <c r="N63" s="335">
        <f t="shared" si="16"/>
        <v>0.02496463477</v>
      </c>
      <c r="O63" s="299">
        <f t="shared" si="17"/>
        <v>0.006816187144</v>
      </c>
      <c r="P63" s="315"/>
      <c r="Q63" s="319">
        <f t="shared" si="9"/>
        <v>694875</v>
      </c>
      <c r="R63" s="315"/>
      <c r="S63" s="319">
        <f t="shared" si="10"/>
        <v>684800</v>
      </c>
      <c r="T63" s="319">
        <f t="shared" si="11"/>
        <v>10075</v>
      </c>
      <c r="U63" s="315"/>
      <c r="V63" s="315"/>
      <c r="W63" s="315"/>
      <c r="X63" s="315"/>
      <c r="Y63" s="315"/>
      <c r="Z63" s="315"/>
      <c r="AA63" s="315"/>
      <c r="AB63" s="315"/>
    </row>
    <row r="64">
      <c r="A64" s="69" t="s">
        <v>258</v>
      </c>
      <c r="B64" s="337">
        <v>185.3</v>
      </c>
      <c r="C64" s="328" t="str">
        <f t="shared" si="3"/>
        <v>UP</v>
      </c>
      <c r="D64" s="69" t="s">
        <v>258</v>
      </c>
      <c r="E64" s="338">
        <v>6848.0</v>
      </c>
      <c r="F64" s="328" t="str">
        <f t="shared" si="8"/>
        <v>UP</v>
      </c>
      <c r="G64" s="298">
        <f t="shared" si="12"/>
        <v>0.02733038348</v>
      </c>
      <c r="H64" s="332">
        <f t="shared" si="5"/>
        <v>0.02705899533</v>
      </c>
      <c r="I64" s="302">
        <f t="shared" si="6"/>
        <v>-6662.7</v>
      </c>
      <c r="J64" s="333">
        <f t="shared" si="7"/>
        <v>0.05646166654</v>
      </c>
      <c r="K64" s="334">
        <f t="shared" si="13"/>
        <v>177.1714286</v>
      </c>
      <c r="L64" s="335">
        <f t="shared" si="14"/>
        <v>0.04386708812</v>
      </c>
      <c r="M64" s="336">
        <f t="shared" si="15"/>
        <v>6737.323944</v>
      </c>
      <c r="N64" s="335">
        <f t="shared" si="16"/>
        <v>0.00629440359</v>
      </c>
      <c r="O64" s="299">
        <f t="shared" si="17"/>
        <v>0.03757268453</v>
      </c>
      <c r="P64" s="315"/>
      <c r="Q64" s="319">
        <f t="shared" si="9"/>
        <v>735000</v>
      </c>
      <c r="R64" s="315"/>
      <c r="S64" s="319">
        <f t="shared" si="10"/>
        <v>689000</v>
      </c>
      <c r="T64" s="319">
        <f t="shared" si="11"/>
        <v>46000</v>
      </c>
      <c r="U64" s="315"/>
      <c r="V64" s="315"/>
      <c r="W64" s="315"/>
      <c r="X64" s="315"/>
      <c r="Y64" s="315"/>
      <c r="Z64" s="315"/>
      <c r="AA64" s="315"/>
      <c r="AB64" s="315"/>
    </row>
    <row r="65">
      <c r="A65" s="339">
        <v>45633.0</v>
      </c>
      <c r="B65" s="337">
        <v>196.0</v>
      </c>
      <c r="C65" s="328" t="str">
        <f t="shared" si="3"/>
        <v>UP</v>
      </c>
      <c r="D65" s="339">
        <v>45633.0</v>
      </c>
      <c r="E65" s="338">
        <v>6890.0</v>
      </c>
      <c r="F65" s="328" t="str">
        <f t="shared" si="8"/>
        <v>UP</v>
      </c>
      <c r="G65" s="298">
        <f t="shared" si="12"/>
        <v>0.02862149533</v>
      </c>
      <c r="H65" s="332">
        <f t="shared" si="5"/>
        <v>0.02844702467</v>
      </c>
      <c r="I65" s="302">
        <f t="shared" si="6"/>
        <v>-6694</v>
      </c>
      <c r="J65" s="333">
        <f t="shared" si="7"/>
        <v>0.06165410185</v>
      </c>
      <c r="K65" s="334">
        <f t="shared" si="13"/>
        <v>177.9</v>
      </c>
      <c r="L65" s="335">
        <f t="shared" si="14"/>
        <v>0.09234693878</v>
      </c>
      <c r="M65" s="336">
        <f t="shared" si="15"/>
        <v>6735.1</v>
      </c>
      <c r="N65" s="335">
        <f t="shared" si="16"/>
        <v>0.01648656542</v>
      </c>
      <c r="O65" s="299">
        <f t="shared" si="17"/>
        <v>0.07586037335</v>
      </c>
      <c r="P65" s="315"/>
      <c r="Q65" s="319">
        <f t="shared" si="9"/>
        <v>714000</v>
      </c>
      <c r="R65" s="315"/>
      <c r="S65" s="319">
        <f t="shared" si="10"/>
        <v>689300</v>
      </c>
      <c r="T65" s="319">
        <f t="shared" si="11"/>
        <v>24700</v>
      </c>
      <c r="U65" s="315"/>
      <c r="V65" s="315"/>
      <c r="W65" s="315"/>
      <c r="X65" s="315"/>
      <c r="Y65" s="315"/>
      <c r="Z65" s="315"/>
      <c r="AA65" s="315"/>
      <c r="AB65" s="315"/>
    </row>
    <row r="66">
      <c r="A66" s="339">
        <v>45603.0</v>
      </c>
      <c r="B66" s="337">
        <v>190.4</v>
      </c>
      <c r="C66" s="328" t="str">
        <f t="shared" si="3"/>
        <v>DOWN</v>
      </c>
      <c r="D66" s="339">
        <v>45603.0</v>
      </c>
      <c r="E66" s="338">
        <v>6893.0</v>
      </c>
      <c r="F66" s="328" t="str">
        <f t="shared" si="8"/>
        <v>UP</v>
      </c>
      <c r="G66" s="298">
        <f t="shared" si="12"/>
        <v>0.02763425254</v>
      </c>
      <c r="H66" s="332">
        <f t="shared" si="5"/>
        <v>0.02762222545</v>
      </c>
      <c r="I66" s="302">
        <f t="shared" si="6"/>
        <v>-6702.6</v>
      </c>
      <c r="J66" s="333">
        <f t="shared" si="7"/>
        <v>0.06308077736</v>
      </c>
      <c r="K66" s="334">
        <f t="shared" si="13"/>
        <v>178.9904762</v>
      </c>
      <c r="L66" s="335">
        <f t="shared" si="14"/>
        <v>0.05992396959</v>
      </c>
      <c r="M66" s="336">
        <f t="shared" si="15"/>
        <v>6733.333333</v>
      </c>
      <c r="N66" s="335">
        <f t="shared" si="16"/>
        <v>0.02273826802</v>
      </c>
      <c r="O66" s="299">
        <f t="shared" si="17"/>
        <v>0.03718570157</v>
      </c>
      <c r="P66" s="315"/>
      <c r="Q66" s="319">
        <f t="shared" si="9"/>
        <v>730875</v>
      </c>
      <c r="R66" s="315"/>
      <c r="S66" s="319">
        <f t="shared" si="10"/>
        <v>685700</v>
      </c>
      <c r="T66" s="319">
        <f t="shared" si="11"/>
        <v>45175</v>
      </c>
      <c r="U66" s="315"/>
      <c r="V66" s="315"/>
      <c r="W66" s="315"/>
      <c r="X66" s="315"/>
      <c r="Y66" s="315"/>
      <c r="Z66" s="315"/>
      <c r="AA66" s="315"/>
      <c r="AB66" s="315"/>
    </row>
    <row r="67">
      <c r="A67" s="339">
        <v>45572.0</v>
      </c>
      <c r="B67" s="337">
        <v>194.9</v>
      </c>
      <c r="C67" s="328" t="str">
        <f t="shared" si="3"/>
        <v>UP</v>
      </c>
      <c r="D67" s="339">
        <v>45572.0</v>
      </c>
      <c r="E67" s="338">
        <v>6857.0</v>
      </c>
      <c r="F67" s="328" t="str">
        <f t="shared" si="8"/>
        <v>DOWN</v>
      </c>
      <c r="G67" s="298">
        <f t="shared" si="12"/>
        <v>0.02827506166</v>
      </c>
      <c r="H67" s="332">
        <f t="shared" si="5"/>
        <v>0.02842350882</v>
      </c>
      <c r="I67" s="302">
        <f t="shared" si="6"/>
        <v>-6662.1</v>
      </c>
      <c r="J67" s="333">
        <f t="shared" si="7"/>
        <v>0.05636213104</v>
      </c>
      <c r="K67" s="334">
        <f t="shared" si="13"/>
        <v>180.2952381</v>
      </c>
      <c r="L67" s="335">
        <f t="shared" si="14"/>
        <v>0.07493464292</v>
      </c>
      <c r="M67" s="336">
        <f t="shared" si="15"/>
        <v>6731.882353</v>
      </c>
      <c r="N67" s="335">
        <f t="shared" si="16"/>
        <v>0.02337409648</v>
      </c>
      <c r="O67" s="299">
        <f t="shared" si="17"/>
        <v>0.05156054644</v>
      </c>
      <c r="P67" s="315"/>
      <c r="Q67" s="319">
        <f t="shared" si="9"/>
        <v>746625</v>
      </c>
      <c r="R67" s="315"/>
      <c r="S67" s="319">
        <f t="shared" si="10"/>
        <v>683200</v>
      </c>
      <c r="T67" s="319">
        <f t="shared" si="11"/>
        <v>63425</v>
      </c>
      <c r="U67" s="315"/>
      <c r="V67" s="315"/>
      <c r="W67" s="315"/>
      <c r="X67" s="315"/>
      <c r="Y67" s="315"/>
      <c r="Z67" s="315"/>
      <c r="AA67" s="315"/>
      <c r="AB67" s="315"/>
    </row>
    <row r="68">
      <c r="A68" s="339">
        <v>45542.0</v>
      </c>
      <c r="B68" s="337">
        <v>199.1</v>
      </c>
      <c r="C68" s="328" t="str">
        <f t="shared" si="3"/>
        <v>UP</v>
      </c>
      <c r="D68" s="339">
        <v>45542.0</v>
      </c>
      <c r="E68" s="338">
        <v>6832.0</v>
      </c>
      <c r="F68" s="328" t="str">
        <f t="shared" si="8"/>
        <v>DOWN</v>
      </c>
      <c r="G68" s="298">
        <f t="shared" si="12"/>
        <v>0.02903602158</v>
      </c>
      <c r="H68" s="332">
        <f t="shared" si="5"/>
        <v>0.02914227166</v>
      </c>
      <c r="I68" s="302">
        <f t="shared" si="6"/>
        <v>-6632.9</v>
      </c>
      <c r="J68" s="333">
        <f t="shared" si="7"/>
        <v>0.05151806999</v>
      </c>
      <c r="K68" s="334">
        <f t="shared" si="13"/>
        <v>181.7809524</v>
      </c>
      <c r="L68" s="335">
        <f t="shared" si="14"/>
        <v>0.08698667815</v>
      </c>
      <c r="M68" s="336">
        <f t="shared" si="15"/>
        <v>6729.686567</v>
      </c>
      <c r="N68" s="335">
        <f t="shared" si="16"/>
        <v>0.0185669291</v>
      </c>
      <c r="O68" s="299">
        <f t="shared" si="17"/>
        <v>0.06841974905</v>
      </c>
      <c r="P68" s="315"/>
      <c r="Q68" s="319">
        <f t="shared" si="9"/>
        <v>741750</v>
      </c>
      <c r="R68" s="315"/>
      <c r="S68" s="319">
        <f t="shared" si="10"/>
        <v>687900</v>
      </c>
      <c r="T68" s="319">
        <f t="shared" si="11"/>
        <v>53850</v>
      </c>
      <c r="U68" s="315"/>
      <c r="V68" s="315"/>
      <c r="W68" s="315"/>
      <c r="X68" s="315"/>
      <c r="Y68" s="315"/>
      <c r="Z68" s="315"/>
      <c r="AA68" s="315"/>
      <c r="AB68" s="315"/>
    </row>
    <row r="69">
      <c r="A69" s="339">
        <v>45511.0</v>
      </c>
      <c r="B69" s="337">
        <v>197.8</v>
      </c>
      <c r="C69" s="328" t="str">
        <f t="shared" si="3"/>
        <v>DOWN</v>
      </c>
      <c r="D69" s="339">
        <v>45511.0</v>
      </c>
      <c r="E69" s="338">
        <v>6879.0</v>
      </c>
      <c r="F69" s="328" t="str">
        <f t="shared" si="8"/>
        <v>UP</v>
      </c>
      <c r="G69" s="298">
        <f t="shared" si="12"/>
        <v>0.02895199063</v>
      </c>
      <c r="H69" s="332">
        <f t="shared" si="5"/>
        <v>0.02875417939</v>
      </c>
      <c r="I69" s="302">
        <f t="shared" si="6"/>
        <v>-6681.2</v>
      </c>
      <c r="J69" s="333">
        <f t="shared" si="7"/>
        <v>0.05953067782</v>
      </c>
      <c r="K69" s="334">
        <f t="shared" si="13"/>
        <v>183.352381</v>
      </c>
      <c r="L69" s="335">
        <f t="shared" si="14"/>
        <v>0.07304155231</v>
      </c>
      <c r="M69" s="336">
        <f t="shared" si="15"/>
        <v>6725.939394</v>
      </c>
      <c r="N69" s="335">
        <f t="shared" si="16"/>
        <v>0.01552409339</v>
      </c>
      <c r="O69" s="299">
        <f t="shared" si="17"/>
        <v>0.05751745892</v>
      </c>
      <c r="P69" s="294"/>
      <c r="Q69" s="319">
        <f t="shared" si="9"/>
        <v>733500</v>
      </c>
      <c r="R69" s="315"/>
      <c r="S69" s="319">
        <f t="shared" si="10"/>
        <v>697700</v>
      </c>
      <c r="T69" s="319">
        <f t="shared" si="11"/>
        <v>35800</v>
      </c>
      <c r="U69" s="315"/>
      <c r="V69" s="315"/>
      <c r="W69" s="315"/>
      <c r="X69" s="315"/>
      <c r="Y69" s="315"/>
      <c r="Z69" s="315"/>
      <c r="AA69" s="315"/>
      <c r="AB69" s="315"/>
    </row>
    <row r="70">
      <c r="A70" s="339">
        <v>45419.0</v>
      </c>
      <c r="B70" s="337">
        <v>195.6</v>
      </c>
      <c r="C70" s="328" t="str">
        <f t="shared" si="3"/>
        <v>DOWN</v>
      </c>
      <c r="D70" s="339">
        <v>45419.0</v>
      </c>
      <c r="E70" s="338">
        <v>6977.0</v>
      </c>
      <c r="F70" s="328" t="str">
        <f t="shared" si="8"/>
        <v>UP</v>
      </c>
      <c r="G70" s="298">
        <f t="shared" si="12"/>
        <v>0.02843436546</v>
      </c>
      <c r="H70" s="332">
        <f t="shared" si="5"/>
        <v>0.02803497205</v>
      </c>
      <c r="I70" s="302">
        <f t="shared" si="6"/>
        <v>-6781.4</v>
      </c>
      <c r="J70" s="333">
        <f t="shared" si="7"/>
        <v>0.07615310649</v>
      </c>
      <c r="K70" s="334">
        <f t="shared" si="13"/>
        <v>185.0047619</v>
      </c>
      <c r="L70" s="335">
        <f t="shared" si="14"/>
        <v>0.05416788392</v>
      </c>
      <c r="M70" s="336">
        <f t="shared" si="15"/>
        <v>6721.4</v>
      </c>
      <c r="N70" s="335">
        <f t="shared" si="16"/>
        <v>0.02291030673</v>
      </c>
      <c r="O70" s="299">
        <f t="shared" si="17"/>
        <v>0.03125757719</v>
      </c>
      <c r="P70" s="294"/>
      <c r="Q70" s="319">
        <f t="shared" si="9"/>
        <v>742125</v>
      </c>
      <c r="R70" s="315"/>
      <c r="S70" s="319">
        <f t="shared" si="10"/>
        <v>702100</v>
      </c>
      <c r="T70" s="319">
        <f t="shared" si="11"/>
        <v>40025</v>
      </c>
      <c r="U70" s="315"/>
      <c r="V70" s="315"/>
      <c r="W70" s="315"/>
      <c r="X70" s="315"/>
      <c r="Y70" s="315"/>
      <c r="Z70" s="315"/>
      <c r="AA70" s="315"/>
      <c r="AB70" s="315"/>
    </row>
    <row r="71">
      <c r="A71" s="339">
        <v>45389.0</v>
      </c>
      <c r="B71" s="337">
        <v>197.9</v>
      </c>
      <c r="C71" s="328" t="str">
        <f t="shared" si="3"/>
        <v>UP</v>
      </c>
      <c r="D71" s="339">
        <v>45389.0</v>
      </c>
      <c r="E71" s="338">
        <v>7021.0</v>
      </c>
      <c r="F71" s="328" t="str">
        <f t="shared" si="8"/>
        <v>UP</v>
      </c>
      <c r="G71" s="298">
        <f t="shared" si="12"/>
        <v>0.02836462663</v>
      </c>
      <c r="H71" s="332">
        <f t="shared" si="5"/>
        <v>0.02818686797</v>
      </c>
      <c r="I71" s="302">
        <f t="shared" si="6"/>
        <v>-6823.1</v>
      </c>
      <c r="J71" s="333">
        <f t="shared" si="7"/>
        <v>0.08307082381</v>
      </c>
      <c r="K71" s="334">
        <f t="shared" si="13"/>
        <v>186.5047619</v>
      </c>
      <c r="L71" s="335">
        <f t="shared" si="14"/>
        <v>0.05758078876</v>
      </c>
      <c r="M71" s="336">
        <f t="shared" si="15"/>
        <v>6717.828125</v>
      </c>
      <c r="N71" s="335">
        <f t="shared" si="16"/>
        <v>0.03714660671</v>
      </c>
      <c r="O71" s="299">
        <f t="shared" si="17"/>
        <v>0.02043418205</v>
      </c>
      <c r="P71" s="294"/>
      <c r="Q71" s="319">
        <f t="shared" si="9"/>
        <v>763125</v>
      </c>
      <c r="R71" s="294"/>
      <c r="S71" s="319">
        <f t="shared" si="10"/>
        <v>695000</v>
      </c>
      <c r="T71" s="319">
        <f t="shared" si="11"/>
        <v>68125</v>
      </c>
      <c r="U71" s="315"/>
      <c r="V71" s="315"/>
      <c r="W71" s="315"/>
      <c r="X71" s="315"/>
      <c r="Y71" s="315"/>
      <c r="Z71" s="315"/>
      <c r="AA71" s="315"/>
      <c r="AB71" s="315"/>
    </row>
    <row r="72">
      <c r="A72" s="339">
        <v>45358.0</v>
      </c>
      <c r="B72" s="337">
        <v>203.5</v>
      </c>
      <c r="C72" s="328" t="str">
        <f t="shared" si="3"/>
        <v>UP</v>
      </c>
      <c r="D72" s="339">
        <v>45358.0</v>
      </c>
      <c r="E72" s="338">
        <v>6950.0</v>
      </c>
      <c r="F72" s="328" t="str">
        <f t="shared" si="8"/>
        <v>DOWN</v>
      </c>
      <c r="G72" s="298">
        <f t="shared" si="12"/>
        <v>0.02898447515</v>
      </c>
      <c r="H72" s="332">
        <f t="shared" si="5"/>
        <v>0.02928057554</v>
      </c>
      <c r="I72" s="302">
        <f t="shared" si="6"/>
        <v>-6746.5</v>
      </c>
      <c r="J72" s="333">
        <f t="shared" si="7"/>
        <v>0.07036345818</v>
      </c>
      <c r="K72" s="334">
        <f t="shared" si="13"/>
        <v>187.9666667</v>
      </c>
      <c r="L72" s="335">
        <f t="shared" si="14"/>
        <v>0.07633087633</v>
      </c>
      <c r="M72" s="336">
        <f t="shared" si="15"/>
        <v>6714.190476</v>
      </c>
      <c r="N72" s="335">
        <f t="shared" si="16"/>
        <v>0.04369883547</v>
      </c>
      <c r="O72" s="299">
        <f t="shared" si="17"/>
        <v>0.03263204086</v>
      </c>
      <c r="P72" s="294"/>
      <c r="Q72" s="319">
        <f t="shared" si="9"/>
        <v>765000</v>
      </c>
      <c r="R72" s="294"/>
      <c r="S72" s="319">
        <f t="shared" si="10"/>
        <v>694700</v>
      </c>
      <c r="T72" s="319">
        <f t="shared" si="11"/>
        <v>70300</v>
      </c>
      <c r="U72" s="315"/>
      <c r="V72" s="315"/>
      <c r="W72" s="315"/>
      <c r="X72" s="315"/>
      <c r="Y72" s="315"/>
      <c r="Z72" s="315"/>
      <c r="AA72" s="315"/>
      <c r="AB72" s="315"/>
    </row>
    <row r="73">
      <c r="A73" s="339">
        <v>45329.0</v>
      </c>
      <c r="B73" s="337">
        <v>204.0</v>
      </c>
      <c r="C73" s="328" t="str">
        <f t="shared" si="3"/>
        <v>UP</v>
      </c>
      <c r="D73" s="339">
        <v>45329.0</v>
      </c>
      <c r="E73" s="338">
        <v>6947.0</v>
      </c>
      <c r="F73" s="328" t="str">
        <f t="shared" si="8"/>
        <v>DOWN</v>
      </c>
      <c r="G73" s="298">
        <f t="shared" si="12"/>
        <v>0.02935251799</v>
      </c>
      <c r="H73" s="332">
        <f t="shared" si="5"/>
        <v>0.02936519361</v>
      </c>
      <c r="I73" s="302">
        <f t="shared" si="6"/>
        <v>-6743</v>
      </c>
      <c r="J73" s="333">
        <f t="shared" si="7"/>
        <v>0.06978283443</v>
      </c>
      <c r="K73" s="334">
        <f t="shared" si="13"/>
        <v>190.1047619</v>
      </c>
      <c r="L73" s="335">
        <f t="shared" si="14"/>
        <v>0.06811391223</v>
      </c>
      <c r="M73" s="336">
        <f t="shared" si="15"/>
        <v>6710.483871</v>
      </c>
      <c r="N73" s="335">
        <f t="shared" si="16"/>
        <v>0.03446275238</v>
      </c>
      <c r="O73" s="299">
        <f t="shared" si="17"/>
        <v>0.03365115985</v>
      </c>
      <c r="P73" s="294"/>
      <c r="Q73" s="319">
        <f t="shared" si="9"/>
        <v>785625</v>
      </c>
      <c r="R73" s="294"/>
      <c r="S73" s="319">
        <f t="shared" si="10"/>
        <v>694400</v>
      </c>
      <c r="T73" s="319">
        <f t="shared" si="11"/>
        <v>91225</v>
      </c>
      <c r="U73" s="315"/>
      <c r="V73" s="315"/>
      <c r="W73" s="315"/>
      <c r="X73" s="315"/>
      <c r="Y73" s="315"/>
      <c r="Z73" s="315"/>
      <c r="AA73" s="315"/>
      <c r="AB73" s="315"/>
    </row>
    <row r="74">
      <c r="A74" s="339">
        <v>45298.0</v>
      </c>
      <c r="B74" s="337">
        <v>209.5</v>
      </c>
      <c r="C74" s="328" t="str">
        <f t="shared" si="3"/>
        <v>UP</v>
      </c>
      <c r="D74" s="339">
        <v>45298.0</v>
      </c>
      <c r="E74" s="338">
        <v>6944.0</v>
      </c>
      <c r="F74" s="328" t="str">
        <f t="shared" si="8"/>
        <v>DOWN</v>
      </c>
      <c r="G74" s="298">
        <f t="shared" si="12"/>
        <v>0.03015690226</v>
      </c>
      <c r="H74" s="332">
        <f t="shared" si="5"/>
        <v>0.03016993088</v>
      </c>
      <c r="I74" s="302">
        <f t="shared" si="6"/>
        <v>-6734.5</v>
      </c>
      <c r="J74" s="333">
        <f t="shared" si="7"/>
        <v>0.06837274816</v>
      </c>
      <c r="K74" s="334">
        <f t="shared" si="13"/>
        <v>192.8047619</v>
      </c>
      <c r="L74" s="335">
        <f t="shared" si="14"/>
        <v>0.07969087396</v>
      </c>
      <c r="M74" s="336">
        <f t="shared" si="15"/>
        <v>6708.918033</v>
      </c>
      <c r="N74" s="335">
        <f t="shared" si="16"/>
        <v>0.03427119148</v>
      </c>
      <c r="O74" s="299">
        <f t="shared" si="17"/>
        <v>0.04541968248</v>
      </c>
      <c r="P74" s="294"/>
      <c r="Q74" s="319">
        <f t="shared" si="9"/>
        <v>816750</v>
      </c>
      <c r="R74" s="294"/>
      <c r="S74" s="319">
        <f t="shared" si="10"/>
        <v>680600</v>
      </c>
      <c r="T74" s="319">
        <f t="shared" si="11"/>
        <v>136150</v>
      </c>
      <c r="U74" s="294"/>
      <c r="V74" s="315"/>
      <c r="W74" s="315"/>
      <c r="X74" s="315"/>
      <c r="Y74" s="315"/>
      <c r="Z74" s="315"/>
      <c r="AA74" s="315"/>
      <c r="AB74" s="315"/>
    </row>
    <row r="75">
      <c r="A75" s="69" t="s">
        <v>259</v>
      </c>
      <c r="B75" s="337">
        <v>217.8</v>
      </c>
      <c r="C75" s="328" t="str">
        <f t="shared" si="3"/>
        <v>UP</v>
      </c>
      <c r="D75" s="69" t="s">
        <v>259</v>
      </c>
      <c r="E75" s="338">
        <v>6806.0</v>
      </c>
      <c r="F75" s="328" t="str">
        <f t="shared" si="8"/>
        <v>DOWN</v>
      </c>
      <c r="G75" s="298">
        <f t="shared" si="12"/>
        <v>0.03136520737</v>
      </c>
      <c r="H75" s="332">
        <f t="shared" si="5"/>
        <v>0.03200117543</v>
      </c>
      <c r="I75" s="302">
        <f t="shared" si="6"/>
        <v>-6588.2</v>
      </c>
      <c r="J75" s="333">
        <f t="shared" si="7"/>
        <v>0.04410267517</v>
      </c>
      <c r="K75" s="334">
        <f t="shared" si="13"/>
        <v>195.6</v>
      </c>
      <c r="L75" s="335">
        <f t="shared" si="14"/>
        <v>0.1019283747</v>
      </c>
      <c r="M75" s="336">
        <f t="shared" si="15"/>
        <v>6707.316667</v>
      </c>
      <c r="N75" s="335">
        <f t="shared" si="16"/>
        <v>0.03408458141</v>
      </c>
      <c r="O75" s="299">
        <f t="shared" si="17"/>
        <v>0.06784379324</v>
      </c>
      <c r="P75" s="294"/>
      <c r="Q75" s="319">
        <f t="shared" si="9"/>
        <v>850500</v>
      </c>
      <c r="R75" s="294"/>
      <c r="S75" s="319">
        <f t="shared" si="10"/>
        <v>680500</v>
      </c>
      <c r="T75" s="319">
        <f t="shared" si="11"/>
        <v>170000</v>
      </c>
      <c r="U75" s="294"/>
      <c r="V75" s="315"/>
      <c r="W75" s="315"/>
      <c r="X75" s="315"/>
      <c r="Y75" s="315"/>
      <c r="Z75" s="315"/>
      <c r="AA75" s="315"/>
      <c r="AB75" s="315"/>
    </row>
    <row r="76">
      <c r="A76" s="69" t="s">
        <v>260</v>
      </c>
      <c r="B76" s="337">
        <v>226.8</v>
      </c>
      <c r="C76" s="328" t="str">
        <f t="shared" si="3"/>
        <v>UP</v>
      </c>
      <c r="D76" s="69" t="s">
        <v>260</v>
      </c>
      <c r="E76" s="338">
        <v>6805.0</v>
      </c>
      <c r="F76" s="328" t="str">
        <f t="shared" si="8"/>
        <v>DOWN</v>
      </c>
      <c r="G76" s="298">
        <f t="shared" si="12"/>
        <v>0.03332353805</v>
      </c>
      <c r="H76" s="332">
        <f t="shared" si="5"/>
        <v>0.03332843497</v>
      </c>
      <c r="I76" s="302">
        <f t="shared" si="6"/>
        <v>-6578.2</v>
      </c>
      <c r="J76" s="333">
        <f t="shared" si="7"/>
        <v>0.04244375015</v>
      </c>
      <c r="K76" s="334">
        <f t="shared" si="13"/>
        <v>198.1238095</v>
      </c>
      <c r="L76" s="335">
        <f t="shared" si="14"/>
        <v>0.1264382296</v>
      </c>
      <c r="M76" s="336">
        <f t="shared" si="15"/>
        <v>6705.694915</v>
      </c>
      <c r="N76" s="335">
        <f t="shared" si="16"/>
        <v>0.01473774387</v>
      </c>
      <c r="O76" s="299">
        <f t="shared" si="17"/>
        <v>0.1117004857</v>
      </c>
      <c r="P76" s="294"/>
      <c r="Q76" s="319">
        <f t="shared" si="9"/>
        <v>867000</v>
      </c>
      <c r="R76" s="294"/>
      <c r="S76" s="319">
        <f t="shared" si="10"/>
        <v>680300</v>
      </c>
      <c r="T76" s="319">
        <f t="shared" si="11"/>
        <v>186700</v>
      </c>
      <c r="U76" s="294"/>
      <c r="V76" s="315"/>
      <c r="W76" s="315"/>
      <c r="X76" s="315"/>
      <c r="Y76" s="315"/>
      <c r="Z76" s="315"/>
      <c r="AA76" s="315"/>
      <c r="AB76" s="315"/>
    </row>
    <row r="77">
      <c r="A77" s="69" t="s">
        <v>261</v>
      </c>
      <c r="B77" s="337">
        <v>231.2</v>
      </c>
      <c r="C77" s="328" t="str">
        <f t="shared" si="3"/>
        <v>UP</v>
      </c>
      <c r="D77" s="69" t="s">
        <v>261</v>
      </c>
      <c r="E77" s="338">
        <v>6803.0</v>
      </c>
      <c r="F77" s="328" t="str">
        <f t="shared" si="8"/>
        <v>DOWN</v>
      </c>
      <c r="G77" s="298">
        <f t="shared" si="12"/>
        <v>0.03397501837</v>
      </c>
      <c r="H77" s="332">
        <f t="shared" si="5"/>
        <v>0.03398500661</v>
      </c>
      <c r="I77" s="302">
        <f t="shared" si="6"/>
        <v>-6571.8</v>
      </c>
      <c r="J77" s="333">
        <f t="shared" si="7"/>
        <v>0.04138203814</v>
      </c>
      <c r="K77" s="334">
        <f t="shared" si="13"/>
        <v>200.3619048</v>
      </c>
      <c r="L77" s="335">
        <f t="shared" si="14"/>
        <v>0.1333827649</v>
      </c>
      <c r="M77" s="336">
        <f t="shared" si="15"/>
        <v>6704.586207</v>
      </c>
      <c r="N77" s="335">
        <f t="shared" si="16"/>
        <v>0.01475588436</v>
      </c>
      <c r="O77" s="299">
        <f t="shared" si="17"/>
        <v>0.1186268805</v>
      </c>
      <c r="P77" s="294"/>
      <c r="Q77" s="319">
        <f t="shared" si="9"/>
        <v>865125</v>
      </c>
      <c r="R77" s="294"/>
      <c r="S77" s="319">
        <f t="shared" si="10"/>
        <v>677000</v>
      </c>
      <c r="T77" s="319">
        <f t="shared" si="11"/>
        <v>188125</v>
      </c>
      <c r="U77" s="294"/>
      <c r="V77" s="315"/>
      <c r="W77" s="315"/>
      <c r="X77" s="315"/>
      <c r="Y77" s="315"/>
      <c r="Z77" s="315"/>
      <c r="AA77" s="315"/>
      <c r="AB77" s="315"/>
    </row>
    <row r="78">
      <c r="A78" s="69" t="s">
        <v>262</v>
      </c>
      <c r="B78" s="337">
        <v>230.7</v>
      </c>
      <c r="C78" s="328" t="str">
        <f t="shared" si="3"/>
        <v>DOWN</v>
      </c>
      <c r="D78" s="69" t="s">
        <v>262</v>
      </c>
      <c r="E78" s="338">
        <v>6770.0</v>
      </c>
      <c r="F78" s="328" t="str">
        <f t="shared" si="8"/>
        <v>DOWN</v>
      </c>
      <c r="G78" s="298">
        <f t="shared" si="12"/>
        <v>0.03391150963</v>
      </c>
      <c r="H78" s="332">
        <f t="shared" si="5"/>
        <v>0.03407680945</v>
      </c>
      <c r="I78" s="302">
        <f t="shared" si="6"/>
        <v>-6539.3</v>
      </c>
      <c r="J78" s="333">
        <f t="shared" si="7"/>
        <v>0.03599053184</v>
      </c>
      <c r="K78" s="334">
        <f t="shared" si="13"/>
        <v>202.1571429</v>
      </c>
      <c r="L78" s="335">
        <f t="shared" si="14"/>
        <v>0.1237228311</v>
      </c>
      <c r="M78" s="336">
        <f t="shared" si="15"/>
        <v>6702.578947</v>
      </c>
      <c r="N78" s="335">
        <f t="shared" si="16"/>
        <v>0.01476128952</v>
      </c>
      <c r="O78" s="299">
        <f t="shared" si="17"/>
        <v>0.1089615416</v>
      </c>
      <c r="P78" s="294"/>
      <c r="Q78" s="319">
        <f t="shared" si="9"/>
        <v>864750</v>
      </c>
      <c r="R78" s="294"/>
      <c r="S78" s="319">
        <f t="shared" si="10"/>
        <v>681900</v>
      </c>
      <c r="T78" s="319">
        <f t="shared" si="11"/>
        <v>182850</v>
      </c>
      <c r="U78" s="294"/>
      <c r="V78" s="315"/>
      <c r="W78" s="315"/>
      <c r="X78" s="315"/>
      <c r="Y78" s="315"/>
      <c r="Z78" s="315"/>
      <c r="AA78" s="315"/>
      <c r="AB78" s="315"/>
    </row>
    <row r="79">
      <c r="A79" s="69" t="s">
        <v>263</v>
      </c>
      <c r="B79" s="337">
        <v>230.6</v>
      </c>
      <c r="C79" s="328" t="str">
        <f t="shared" si="3"/>
        <v>DOWN</v>
      </c>
      <c r="D79" s="69" t="s">
        <v>263</v>
      </c>
      <c r="E79" s="338">
        <v>6819.0</v>
      </c>
      <c r="F79" s="328" t="str">
        <f t="shared" si="8"/>
        <v>UP</v>
      </c>
      <c r="G79" s="298">
        <f t="shared" si="12"/>
        <v>0.0340620384</v>
      </c>
      <c r="H79" s="332">
        <f t="shared" si="5"/>
        <v>0.03381727526</v>
      </c>
      <c r="I79" s="302">
        <f t="shared" si="6"/>
        <v>-6588.4</v>
      </c>
      <c r="J79" s="333">
        <f t="shared" si="7"/>
        <v>0.04413585367</v>
      </c>
      <c r="K79" s="334">
        <f t="shared" si="13"/>
        <v>204.652381</v>
      </c>
      <c r="L79" s="335">
        <f t="shared" si="14"/>
        <v>0.1125221988</v>
      </c>
      <c r="M79" s="336">
        <f t="shared" si="15"/>
        <v>6701.767857</v>
      </c>
      <c r="N79" s="335">
        <f t="shared" si="16"/>
        <v>0.01007860308</v>
      </c>
      <c r="O79" s="299">
        <f t="shared" si="17"/>
        <v>0.1024435957</v>
      </c>
      <c r="P79" s="294"/>
      <c r="Q79" s="319">
        <f t="shared" si="9"/>
        <v>847125</v>
      </c>
      <c r="R79" s="294"/>
      <c r="S79" s="319">
        <f t="shared" si="10"/>
        <v>674800</v>
      </c>
      <c r="T79" s="319">
        <f t="shared" si="11"/>
        <v>172325</v>
      </c>
      <c r="U79" s="294"/>
      <c r="V79" s="315"/>
      <c r="W79" s="315"/>
      <c r="X79" s="315"/>
      <c r="Y79" s="315"/>
      <c r="Z79" s="315"/>
      <c r="AA79" s="315"/>
      <c r="AB79" s="315"/>
    </row>
    <row r="80">
      <c r="A80" s="69" t="s">
        <v>264</v>
      </c>
      <c r="B80" s="337">
        <v>225.9</v>
      </c>
      <c r="C80" s="328" t="str">
        <f t="shared" si="3"/>
        <v>DOWN</v>
      </c>
      <c r="D80" s="69" t="s">
        <v>264</v>
      </c>
      <c r="E80" s="338">
        <v>6748.0</v>
      </c>
      <c r="F80" s="328" t="str">
        <f t="shared" si="8"/>
        <v>DOWN</v>
      </c>
      <c r="G80" s="298">
        <f t="shared" si="12"/>
        <v>0.03312802464</v>
      </c>
      <c r="H80" s="332">
        <f t="shared" si="5"/>
        <v>0.03347658566</v>
      </c>
      <c r="I80" s="302">
        <f t="shared" si="6"/>
        <v>-6522.1</v>
      </c>
      <c r="J80" s="333">
        <f t="shared" si="7"/>
        <v>0.03313718081</v>
      </c>
      <c r="K80" s="334">
        <f t="shared" si="13"/>
        <v>207.7047619</v>
      </c>
      <c r="L80" s="335">
        <f t="shared" si="14"/>
        <v>0.0805455427</v>
      </c>
      <c r="M80" s="336">
        <f t="shared" si="15"/>
        <v>6700</v>
      </c>
      <c r="N80" s="335">
        <f t="shared" si="16"/>
        <v>0.01745123918</v>
      </c>
      <c r="O80" s="299">
        <f t="shared" si="17"/>
        <v>0.06309430351</v>
      </c>
      <c r="P80" s="294"/>
      <c r="Q80" s="319">
        <f t="shared" si="9"/>
        <v>862125</v>
      </c>
      <c r="R80" s="294"/>
      <c r="S80" s="319">
        <f t="shared" si="10"/>
        <v>679900</v>
      </c>
      <c r="T80" s="319">
        <f t="shared" si="11"/>
        <v>182225</v>
      </c>
      <c r="U80" s="294"/>
      <c r="V80" s="315"/>
      <c r="W80" s="315"/>
      <c r="X80" s="315"/>
      <c r="Y80" s="315"/>
      <c r="Z80" s="315"/>
      <c r="AA80" s="315"/>
      <c r="AB80" s="315"/>
    </row>
    <row r="81">
      <c r="A81" s="69" t="s">
        <v>265</v>
      </c>
      <c r="B81" s="337">
        <v>229.9</v>
      </c>
      <c r="C81" s="328" t="str">
        <f t="shared" si="3"/>
        <v>UP</v>
      </c>
      <c r="D81" s="69" t="s">
        <v>265</v>
      </c>
      <c r="E81" s="338">
        <v>6799.0</v>
      </c>
      <c r="F81" s="328" t="str">
        <f t="shared" si="8"/>
        <v>UP</v>
      </c>
      <c r="G81" s="298">
        <f t="shared" si="12"/>
        <v>0.03406935388</v>
      </c>
      <c r="H81" s="332">
        <f t="shared" si="5"/>
        <v>0.03381379615</v>
      </c>
      <c r="I81" s="302">
        <f t="shared" si="6"/>
        <v>-6569.1</v>
      </c>
      <c r="J81" s="333">
        <f t="shared" si="7"/>
        <v>0.04093412839</v>
      </c>
      <c r="K81" s="334">
        <f t="shared" si="13"/>
        <v>211.1095238</v>
      </c>
      <c r="L81" s="335">
        <f t="shared" si="14"/>
        <v>0.08173325877</v>
      </c>
      <c r="M81" s="336">
        <f t="shared" si="15"/>
        <v>6699.407407</v>
      </c>
      <c r="N81" s="335">
        <f t="shared" si="16"/>
        <v>0.007201036247</v>
      </c>
      <c r="O81" s="299">
        <f t="shared" si="17"/>
        <v>0.07453222252</v>
      </c>
      <c r="P81" s="294"/>
      <c r="Q81" s="319">
        <f t="shared" si="9"/>
        <v>907125</v>
      </c>
      <c r="R81" s="294"/>
      <c r="S81" s="319">
        <f t="shared" si="10"/>
        <v>673200</v>
      </c>
      <c r="T81" s="319">
        <f t="shared" si="11"/>
        <v>233925</v>
      </c>
      <c r="U81" s="294"/>
      <c r="V81" s="315"/>
      <c r="W81" s="315"/>
      <c r="X81" s="315"/>
      <c r="Y81" s="315"/>
      <c r="Z81" s="315"/>
      <c r="AA81" s="315"/>
      <c r="AB81" s="315"/>
    </row>
    <row r="82">
      <c r="A82" s="69" t="s">
        <v>266</v>
      </c>
      <c r="B82" s="337">
        <v>241.9</v>
      </c>
      <c r="C82" s="328" t="str">
        <f t="shared" si="3"/>
        <v>UP</v>
      </c>
      <c r="D82" s="69" t="s">
        <v>266</v>
      </c>
      <c r="E82" s="338">
        <v>6732.0</v>
      </c>
      <c r="F82" s="328" t="str">
        <f t="shared" si="8"/>
        <v>DOWN</v>
      </c>
      <c r="G82" s="298">
        <f t="shared" si="12"/>
        <v>0.03557876158</v>
      </c>
      <c r="H82" s="332">
        <f t="shared" si="5"/>
        <v>0.03593285799</v>
      </c>
      <c r="I82" s="302">
        <f t="shared" si="6"/>
        <v>-6490.1</v>
      </c>
      <c r="J82" s="333">
        <f t="shared" si="7"/>
        <v>0.02782862076</v>
      </c>
      <c r="K82" s="334">
        <f t="shared" si="13"/>
        <v>213.552381</v>
      </c>
      <c r="L82" s="335">
        <f t="shared" si="14"/>
        <v>0.1171873462</v>
      </c>
      <c r="M82" s="336">
        <f t="shared" si="15"/>
        <v>6697.773585</v>
      </c>
      <c r="N82" s="335">
        <f t="shared" si="16"/>
        <v>0.01488842699</v>
      </c>
      <c r="O82" s="299">
        <f t="shared" si="17"/>
        <v>0.1022989192</v>
      </c>
      <c r="P82" s="294"/>
      <c r="Q82" s="319">
        <f t="shared" si="9"/>
        <v>907500</v>
      </c>
      <c r="R82" s="294"/>
      <c r="S82" s="319">
        <f t="shared" si="10"/>
        <v>678600</v>
      </c>
      <c r="T82" s="319">
        <f t="shared" si="11"/>
        <v>228900</v>
      </c>
      <c r="U82" s="294"/>
      <c r="V82" s="315"/>
      <c r="W82" s="315"/>
      <c r="X82" s="315"/>
      <c r="Y82" s="315"/>
      <c r="Z82" s="315"/>
      <c r="AA82" s="315"/>
      <c r="AB82" s="315"/>
    </row>
    <row r="83">
      <c r="A83" s="69" t="s">
        <v>267</v>
      </c>
      <c r="B83" s="337">
        <v>242.0</v>
      </c>
      <c r="C83" s="328" t="str">
        <f t="shared" si="3"/>
        <v>UP</v>
      </c>
      <c r="D83" s="69" t="s">
        <v>267</v>
      </c>
      <c r="E83" s="338">
        <v>6786.0</v>
      </c>
      <c r="F83" s="328" t="str">
        <f t="shared" si="8"/>
        <v>UP</v>
      </c>
      <c r="G83" s="298">
        <f t="shared" si="12"/>
        <v>0.03594771242</v>
      </c>
      <c r="H83" s="332">
        <f t="shared" si="5"/>
        <v>0.03566165635</v>
      </c>
      <c r="I83" s="302">
        <f t="shared" si="6"/>
        <v>-6544</v>
      </c>
      <c r="J83" s="333">
        <f t="shared" si="7"/>
        <v>0.0367702266</v>
      </c>
      <c r="K83" s="334">
        <f t="shared" si="13"/>
        <v>216.247619</v>
      </c>
      <c r="L83" s="335">
        <f t="shared" si="14"/>
        <v>0.1064147973</v>
      </c>
      <c r="M83" s="336">
        <f t="shared" si="15"/>
        <v>6698.403846</v>
      </c>
      <c r="N83" s="335">
        <f t="shared" si="16"/>
        <v>0.00499051602</v>
      </c>
      <c r="O83" s="299">
        <f t="shared" si="17"/>
        <v>0.1014242813</v>
      </c>
      <c r="P83" s="294"/>
      <c r="Q83" s="319">
        <f t="shared" si="9"/>
        <v>876750</v>
      </c>
      <c r="R83" s="294"/>
      <c r="S83" s="319">
        <f t="shared" si="10"/>
        <v>666500</v>
      </c>
      <c r="T83" s="319">
        <f t="shared" si="11"/>
        <v>210250</v>
      </c>
      <c r="U83" s="294"/>
      <c r="V83" s="315"/>
      <c r="W83" s="315"/>
      <c r="X83" s="315"/>
      <c r="Y83" s="315"/>
      <c r="Z83" s="315"/>
      <c r="AA83" s="315"/>
      <c r="AB83" s="315"/>
    </row>
    <row r="84">
      <c r="A84" s="69" t="s">
        <v>268</v>
      </c>
      <c r="B84" s="337">
        <v>233.8</v>
      </c>
      <c r="C84" s="328" t="str">
        <f t="shared" si="3"/>
        <v>DOWN</v>
      </c>
      <c r="D84" s="69" t="s">
        <v>268</v>
      </c>
      <c r="E84" s="338">
        <v>6665.0</v>
      </c>
      <c r="F84" s="328" t="str">
        <f t="shared" si="8"/>
        <v>DOWN</v>
      </c>
      <c r="G84" s="298">
        <f t="shared" si="12"/>
        <v>0.03445328618</v>
      </c>
      <c r="H84" s="332">
        <f t="shared" si="5"/>
        <v>0.03507876969</v>
      </c>
      <c r="I84" s="302">
        <f t="shared" si="6"/>
        <v>-6431.2</v>
      </c>
      <c r="J84" s="333">
        <f t="shared" si="7"/>
        <v>0.01805755241</v>
      </c>
      <c r="K84" s="334">
        <f t="shared" si="13"/>
        <v>218.7190476</v>
      </c>
      <c r="L84" s="335">
        <f t="shared" si="14"/>
        <v>0.06450364577</v>
      </c>
      <c r="M84" s="336">
        <f t="shared" si="15"/>
        <v>6700.862745</v>
      </c>
      <c r="N84" s="335">
        <f t="shared" si="16"/>
        <v>0.01254601457</v>
      </c>
      <c r="O84" s="299">
        <f t="shared" si="17"/>
        <v>0.0519576312</v>
      </c>
      <c r="P84" s="294"/>
      <c r="Q84" s="319">
        <f t="shared" si="9"/>
        <v>907125</v>
      </c>
      <c r="R84" s="294"/>
      <c r="S84" s="319">
        <f t="shared" si="10"/>
        <v>657300</v>
      </c>
      <c r="T84" s="319">
        <f t="shared" si="11"/>
        <v>249825</v>
      </c>
      <c r="U84" s="294"/>
      <c r="V84" s="315"/>
      <c r="W84" s="315"/>
      <c r="X84" s="315"/>
      <c r="Y84" s="315"/>
      <c r="Z84" s="315"/>
      <c r="AA84" s="315"/>
      <c r="AB84" s="315"/>
    </row>
    <row r="85">
      <c r="A85" s="69" t="s">
        <v>269</v>
      </c>
      <c r="B85" s="337">
        <v>241.9</v>
      </c>
      <c r="C85" s="328" t="str">
        <f t="shared" si="3"/>
        <v>UP</v>
      </c>
      <c r="D85" s="69" t="s">
        <v>269</v>
      </c>
      <c r="E85" s="338">
        <v>6573.0</v>
      </c>
      <c r="F85" s="328" t="str">
        <f t="shared" si="8"/>
        <v>DOWN</v>
      </c>
      <c r="G85" s="298">
        <f t="shared" si="12"/>
        <v>0.03629407352</v>
      </c>
      <c r="H85" s="332">
        <f t="shared" si="5"/>
        <v>0.03680206907</v>
      </c>
      <c r="I85" s="302">
        <f t="shared" si="6"/>
        <v>-6331.1</v>
      </c>
      <c r="J85" s="333">
        <f t="shared" si="7"/>
        <v>0.001451712994</v>
      </c>
      <c r="K85" s="334">
        <f t="shared" si="13"/>
        <v>221.6904762</v>
      </c>
      <c r="L85" s="335">
        <f t="shared" si="14"/>
        <v>0.08354495167</v>
      </c>
      <c r="M85" s="336">
        <f t="shared" si="15"/>
        <v>6703.54</v>
      </c>
      <c r="N85" s="335">
        <f t="shared" si="16"/>
        <v>-0.005782445611</v>
      </c>
      <c r="O85" s="299">
        <f t="shared" si="17"/>
        <v>0.08932739728</v>
      </c>
      <c r="P85" s="294"/>
      <c r="Q85" s="319">
        <f t="shared" si="9"/>
        <v>929625</v>
      </c>
      <c r="R85" s="294"/>
      <c r="S85" s="319">
        <f t="shared" si="10"/>
        <v>656700</v>
      </c>
      <c r="T85" s="319">
        <f t="shared" si="11"/>
        <v>272925</v>
      </c>
      <c r="U85" s="294"/>
      <c r="V85" s="315"/>
      <c r="W85" s="315"/>
      <c r="X85" s="315"/>
      <c r="Y85" s="315"/>
      <c r="Z85" s="315"/>
      <c r="AA85" s="315"/>
      <c r="AB85" s="315"/>
    </row>
    <row r="86">
      <c r="A86" s="69" t="s">
        <v>270</v>
      </c>
      <c r="B86" s="337">
        <v>247.9</v>
      </c>
      <c r="C86" s="328" t="str">
        <f t="shared" si="3"/>
        <v>UP</v>
      </c>
      <c r="D86" s="69" t="s">
        <v>270</v>
      </c>
      <c r="E86" s="338">
        <v>6567.0</v>
      </c>
      <c r="F86" s="328" t="str">
        <f t="shared" si="8"/>
        <v>DOWN</v>
      </c>
      <c r="G86" s="298">
        <f t="shared" si="12"/>
        <v>0.03771489426</v>
      </c>
      <c r="H86" s="332">
        <f t="shared" si="5"/>
        <v>0.03774935282</v>
      </c>
      <c r="I86" s="302">
        <f t="shared" si="6"/>
        <v>-6319.1</v>
      </c>
      <c r="J86" s="333">
        <f t="shared" si="7"/>
        <v>-0.0005389970262</v>
      </c>
      <c r="K86" s="334">
        <f t="shared" si="13"/>
        <v>224.6238095</v>
      </c>
      <c r="L86" s="335">
        <f t="shared" si="14"/>
        <v>0.09389346703</v>
      </c>
      <c r="M86" s="336">
        <f t="shared" si="15"/>
        <v>6706.204082</v>
      </c>
      <c r="N86" s="335">
        <f t="shared" si="16"/>
        <v>-0.02026534028</v>
      </c>
      <c r="O86" s="299">
        <f t="shared" si="17"/>
        <v>0.1141588073</v>
      </c>
      <c r="P86" s="294"/>
      <c r="Q86" s="319">
        <f t="shared" si="9"/>
        <v>948000</v>
      </c>
      <c r="R86" s="294"/>
      <c r="S86" s="319">
        <f t="shared" si="10"/>
        <v>657300</v>
      </c>
      <c r="T86" s="319">
        <f t="shared" si="11"/>
        <v>290700</v>
      </c>
      <c r="U86" s="294"/>
      <c r="V86" s="315"/>
      <c r="W86" s="315"/>
      <c r="X86" s="315"/>
      <c r="Y86" s="315"/>
      <c r="Z86" s="315"/>
      <c r="AA86" s="315"/>
      <c r="AB86" s="315"/>
    </row>
    <row r="87">
      <c r="A87" s="339">
        <v>45632.0</v>
      </c>
      <c r="B87" s="337">
        <v>252.8</v>
      </c>
      <c r="C87" s="328" t="str">
        <f t="shared" si="3"/>
        <v>UP</v>
      </c>
      <c r="D87" s="339">
        <v>45632.0</v>
      </c>
      <c r="E87" s="338">
        <v>6573.0</v>
      </c>
      <c r="F87" s="328" t="str">
        <f t="shared" si="8"/>
        <v>UP</v>
      </c>
      <c r="G87" s="298">
        <f t="shared" si="12"/>
        <v>0.03849550784</v>
      </c>
      <c r="H87" s="332">
        <f t="shared" si="5"/>
        <v>0.03846036817</v>
      </c>
      <c r="I87" s="302">
        <f t="shared" si="6"/>
        <v>-6320.2</v>
      </c>
      <c r="J87" s="333">
        <f t="shared" si="7"/>
        <v>-0.0003565152744</v>
      </c>
      <c r="K87" s="334">
        <f t="shared" si="13"/>
        <v>226.6904762</v>
      </c>
      <c r="L87" s="335">
        <f t="shared" si="14"/>
        <v>0.1032813442</v>
      </c>
      <c r="M87" s="336">
        <f t="shared" si="15"/>
        <v>6710</v>
      </c>
      <c r="N87" s="335">
        <f t="shared" si="16"/>
        <v>-0.02177554439</v>
      </c>
      <c r="O87" s="299">
        <f t="shared" si="17"/>
        <v>0.1250568886</v>
      </c>
      <c r="P87" s="294"/>
      <c r="Q87" s="319">
        <f t="shared" si="9"/>
        <v>961875</v>
      </c>
      <c r="R87" s="294"/>
      <c r="S87" s="319">
        <f t="shared" si="10"/>
        <v>652400</v>
      </c>
      <c r="T87" s="319">
        <f t="shared" si="11"/>
        <v>309475</v>
      </c>
      <c r="U87" s="294"/>
      <c r="V87" s="315"/>
      <c r="W87" s="315"/>
      <c r="X87" s="315"/>
      <c r="Y87" s="315"/>
      <c r="Z87" s="315"/>
      <c r="AA87" s="315"/>
      <c r="AB87" s="315"/>
    </row>
    <row r="88">
      <c r="A88" s="339">
        <v>45602.0</v>
      </c>
      <c r="B88" s="337">
        <v>256.5</v>
      </c>
      <c r="C88" s="328" t="str">
        <f t="shared" si="3"/>
        <v>UP</v>
      </c>
      <c r="D88" s="339">
        <v>45602.0</v>
      </c>
      <c r="E88" s="338">
        <v>6524.0</v>
      </c>
      <c r="F88" s="328" t="str">
        <f t="shared" si="8"/>
        <v>DOWN</v>
      </c>
      <c r="G88" s="298">
        <f t="shared" si="12"/>
        <v>0.03902327704</v>
      </c>
      <c r="H88" s="332">
        <f t="shared" si="5"/>
        <v>0.03931637032</v>
      </c>
      <c r="I88" s="302">
        <f t="shared" si="6"/>
        <v>-6267.5</v>
      </c>
      <c r="J88" s="333">
        <f t="shared" si="7"/>
        <v>-0.009099050112</v>
      </c>
      <c r="K88" s="334">
        <f t="shared" si="13"/>
        <v>229.0095238</v>
      </c>
      <c r="L88" s="335">
        <f t="shared" si="14"/>
        <v>0.1071753458</v>
      </c>
      <c r="M88" s="336">
        <f t="shared" si="15"/>
        <v>6714.851064</v>
      </c>
      <c r="N88" s="335">
        <f t="shared" si="16"/>
        <v>-0.02158087081</v>
      </c>
      <c r="O88" s="299">
        <f t="shared" si="17"/>
        <v>0.1287562166</v>
      </c>
      <c r="P88" s="294"/>
      <c r="Q88" s="319">
        <f t="shared" si="9"/>
        <v>909375</v>
      </c>
      <c r="R88" s="294"/>
      <c r="S88" s="319">
        <f t="shared" si="10"/>
        <v>648200</v>
      </c>
      <c r="T88" s="319">
        <f t="shared" si="11"/>
        <v>261175</v>
      </c>
      <c r="U88" s="294"/>
      <c r="V88" s="315"/>
      <c r="W88" s="315"/>
      <c r="X88" s="315"/>
      <c r="Y88" s="315"/>
      <c r="Z88" s="315"/>
      <c r="AA88" s="315"/>
      <c r="AB88" s="315"/>
    </row>
    <row r="89">
      <c r="A89" s="339">
        <v>45571.0</v>
      </c>
      <c r="B89" s="337">
        <v>242.5</v>
      </c>
      <c r="C89" s="328" t="str">
        <f t="shared" si="3"/>
        <v>DOWN</v>
      </c>
      <c r="D89" s="339">
        <v>45571.0</v>
      </c>
      <c r="E89" s="338">
        <v>6482.0</v>
      </c>
      <c r="F89" s="328" t="str">
        <f t="shared" si="8"/>
        <v>DOWN</v>
      </c>
      <c r="G89" s="298">
        <f t="shared" ref="G89:G136" si="18">B89/E89</f>
        <v>0.03741129281</v>
      </c>
      <c r="H89" s="332">
        <f t="shared" si="5"/>
        <v>0.03741129281</v>
      </c>
      <c r="I89" s="302">
        <f t="shared" si="6"/>
        <v>-6239.5</v>
      </c>
      <c r="J89" s="333">
        <f t="shared" si="7"/>
        <v>-0.01374404016</v>
      </c>
      <c r="K89" s="334">
        <f t="shared" si="13"/>
        <v>230.8380952</v>
      </c>
      <c r="L89" s="335">
        <f t="shared" si="14"/>
        <v>0.04809032892</v>
      </c>
      <c r="M89" s="336">
        <f t="shared" si="15"/>
        <v>6723.434783</v>
      </c>
      <c r="N89" s="335">
        <f t="shared" ref="N89:N129" si="19">(E89-M89)/E89</f>
        <v>-0.03724695813</v>
      </c>
      <c r="O89" s="299">
        <f t="shared" si="17"/>
        <v>0.08533728705</v>
      </c>
      <c r="P89" s="294"/>
      <c r="Q89" s="319">
        <f t="shared" si="9"/>
        <v>924375</v>
      </c>
      <c r="R89" s="294"/>
      <c r="S89" s="319">
        <f t="shared" si="10"/>
        <v>632000</v>
      </c>
      <c r="T89" s="319">
        <f t="shared" si="11"/>
        <v>292375</v>
      </c>
      <c r="U89" s="294"/>
      <c r="V89" s="315"/>
      <c r="W89" s="315"/>
      <c r="X89" s="315"/>
      <c r="Y89" s="315"/>
      <c r="Z89" s="315"/>
      <c r="AA89" s="315"/>
      <c r="AB89" s="315"/>
    </row>
    <row r="90">
      <c r="A90" s="339">
        <v>45479.0</v>
      </c>
      <c r="B90" s="337">
        <v>246.5</v>
      </c>
      <c r="C90" s="328" t="str">
        <f t="shared" si="3"/>
        <v>UP</v>
      </c>
      <c r="D90" s="339">
        <v>45479.0</v>
      </c>
      <c r="E90" s="338">
        <v>6320.0</v>
      </c>
      <c r="F90" s="328" t="str">
        <f t="shared" si="8"/>
        <v>DOWN</v>
      </c>
      <c r="G90" s="298">
        <f t="shared" si="18"/>
        <v>0.03900316456</v>
      </c>
      <c r="H90" s="332">
        <f t="shared" si="5"/>
        <v>0.03900316456</v>
      </c>
      <c r="I90" s="302">
        <f t="shared" si="6"/>
        <v>-6073.5</v>
      </c>
      <c r="J90" s="333">
        <f t="shared" si="7"/>
        <v>-0.04128219543</v>
      </c>
      <c r="K90" s="334">
        <f t="shared" si="13"/>
        <v>232.2809524</v>
      </c>
      <c r="L90" s="335">
        <f t="shared" si="14"/>
        <v>0.05768376316</v>
      </c>
      <c r="M90" s="336">
        <f t="shared" si="15"/>
        <v>6732.355556</v>
      </c>
      <c r="N90" s="335">
        <f t="shared" si="19"/>
        <v>-0.06524613221</v>
      </c>
      <c r="O90" s="299">
        <f t="shared" si="17"/>
        <v>0.1229298954</v>
      </c>
      <c r="P90" s="294"/>
      <c r="Q90" s="319">
        <f t="shared" si="9"/>
        <v>877500</v>
      </c>
      <c r="R90" s="294"/>
      <c r="S90" s="319">
        <f t="shared" si="10"/>
        <v>632200</v>
      </c>
      <c r="T90" s="319">
        <f t="shared" si="11"/>
        <v>245300</v>
      </c>
      <c r="U90" s="294"/>
      <c r="V90" s="315"/>
      <c r="W90" s="315"/>
      <c r="X90" s="315"/>
      <c r="Y90" s="315"/>
      <c r="Z90" s="315"/>
      <c r="AA90" s="315"/>
      <c r="AB90" s="315"/>
    </row>
    <row r="91">
      <c r="A91" s="339">
        <v>45449.0</v>
      </c>
      <c r="B91" s="337">
        <v>234.0</v>
      </c>
      <c r="C91" s="328" t="str">
        <f t="shared" si="3"/>
        <v>DOWN</v>
      </c>
      <c r="D91" s="339">
        <v>45449.0</v>
      </c>
      <c r="E91" s="338">
        <v>6322.0</v>
      </c>
      <c r="F91" s="328" t="str">
        <f t="shared" si="8"/>
        <v>UP</v>
      </c>
      <c r="G91" s="298">
        <f t="shared" si="18"/>
        <v>0.03701360329</v>
      </c>
      <c r="H91" s="332">
        <f t="shared" si="5"/>
        <v>0.03701360329</v>
      </c>
      <c r="I91" s="302">
        <f t="shared" si="6"/>
        <v>-6088</v>
      </c>
      <c r="J91" s="333">
        <f t="shared" si="7"/>
        <v>-0.03887675416</v>
      </c>
      <c r="K91" s="334">
        <f t="shared" si="13"/>
        <v>233.047619</v>
      </c>
      <c r="L91" s="335">
        <f t="shared" si="14"/>
        <v>0.00407000407</v>
      </c>
      <c r="M91" s="336">
        <f t="shared" si="15"/>
        <v>6744.704545</v>
      </c>
      <c r="N91" s="335">
        <f t="shared" si="19"/>
        <v>-0.0668624716</v>
      </c>
      <c r="O91" s="299">
        <f t="shared" si="17"/>
        <v>0.07093247567</v>
      </c>
      <c r="P91" s="294"/>
      <c r="Q91" s="319">
        <f t="shared" si="9"/>
        <v>855750</v>
      </c>
      <c r="R91" s="294"/>
      <c r="S91" s="319">
        <f t="shared" si="10"/>
        <v>618900</v>
      </c>
      <c r="T91" s="319">
        <f t="shared" si="11"/>
        <v>236850</v>
      </c>
      <c r="U91" s="294"/>
      <c r="V91" s="315"/>
      <c r="W91" s="315"/>
      <c r="X91" s="315"/>
      <c r="Y91" s="315"/>
      <c r="Z91" s="315"/>
      <c r="AA91" s="315"/>
      <c r="AB91" s="315"/>
    </row>
    <row r="92">
      <c r="A92" s="339">
        <v>45418.0</v>
      </c>
      <c r="B92" s="337">
        <v>228.2</v>
      </c>
      <c r="C92" s="328" t="str">
        <f t="shared" si="3"/>
        <v>DOWN</v>
      </c>
      <c r="D92" s="339">
        <v>45418.0</v>
      </c>
      <c r="E92" s="338">
        <v>6189.0</v>
      </c>
      <c r="F92" s="328" t="str">
        <f t="shared" si="8"/>
        <v>DOWN</v>
      </c>
      <c r="G92" s="298">
        <f t="shared" si="18"/>
        <v>0.03687186945</v>
      </c>
      <c r="H92" s="332">
        <f t="shared" si="5"/>
        <v>0.03687186945</v>
      </c>
      <c r="I92" s="302">
        <f t="shared" si="6"/>
        <v>-5960.8</v>
      </c>
      <c r="J92" s="333">
        <f t="shared" si="7"/>
        <v>-0.05997828037</v>
      </c>
      <c r="K92" s="334">
        <f t="shared" si="13"/>
        <v>234.0571429</v>
      </c>
      <c r="L92" s="335">
        <f t="shared" si="14"/>
        <v>-0.0256667084</v>
      </c>
      <c r="M92" s="336">
        <f t="shared" si="15"/>
        <v>6758.139535</v>
      </c>
      <c r="N92" s="335">
        <f t="shared" si="19"/>
        <v>-0.09195985375</v>
      </c>
      <c r="O92" s="299">
        <f t="shared" si="17"/>
        <v>0.06629314535</v>
      </c>
      <c r="P92" s="294"/>
      <c r="Q92" s="319">
        <f t="shared" si="9"/>
        <v>823500</v>
      </c>
      <c r="R92" s="294"/>
      <c r="S92" s="319">
        <f t="shared" si="10"/>
        <v>616700</v>
      </c>
      <c r="T92" s="319">
        <f t="shared" si="11"/>
        <v>206800</v>
      </c>
      <c r="U92" s="294"/>
      <c r="V92" s="315"/>
      <c r="W92" s="315"/>
      <c r="X92" s="315"/>
      <c r="Y92" s="315"/>
      <c r="Z92" s="315"/>
      <c r="AA92" s="315"/>
      <c r="AB92" s="315"/>
    </row>
    <row r="93">
      <c r="A93" s="339">
        <v>45388.0</v>
      </c>
      <c r="B93" s="337">
        <v>219.6</v>
      </c>
      <c r="C93" s="328" t="str">
        <f t="shared" si="3"/>
        <v>DOWN</v>
      </c>
      <c r="D93" s="339">
        <v>45388.0</v>
      </c>
      <c r="E93" s="338">
        <v>6167.0</v>
      </c>
      <c r="F93" s="328" t="str">
        <f t="shared" si="8"/>
        <v>DOWN</v>
      </c>
      <c r="G93" s="298">
        <f t="shared" si="18"/>
        <v>0.03560888601</v>
      </c>
      <c r="H93" s="332">
        <f t="shared" si="5"/>
        <v>0.03560888601</v>
      </c>
      <c r="I93" s="302">
        <f t="shared" si="6"/>
        <v>-5947.4</v>
      </c>
      <c r="J93" s="333">
        <f t="shared" si="7"/>
        <v>-0.06220123989</v>
      </c>
      <c r="K93" s="334">
        <f t="shared" si="13"/>
        <v>234.3285714</v>
      </c>
      <c r="L93" s="335">
        <f t="shared" si="14"/>
        <v>-0.0670699974</v>
      </c>
      <c r="M93" s="336">
        <f t="shared" si="15"/>
        <v>6771.809524</v>
      </c>
      <c r="N93" s="335">
        <f t="shared" si="19"/>
        <v>-0.09807191889</v>
      </c>
      <c r="O93" s="299">
        <f t="shared" si="17"/>
        <v>0.03100192149</v>
      </c>
      <c r="P93" s="294"/>
      <c r="Q93" s="319">
        <f t="shared" si="9"/>
        <v>844500</v>
      </c>
      <c r="R93" s="294"/>
      <c r="S93" s="319">
        <f t="shared" si="10"/>
        <v>618400</v>
      </c>
      <c r="T93" s="319">
        <f t="shared" si="11"/>
        <v>226100</v>
      </c>
      <c r="U93" s="294"/>
      <c r="V93" s="315"/>
      <c r="W93" s="315"/>
      <c r="X93" s="315"/>
      <c r="Y93" s="315"/>
      <c r="Z93" s="315"/>
      <c r="AA93" s="315"/>
      <c r="AB93" s="315"/>
    </row>
    <row r="94">
      <c r="A94" s="339">
        <v>45357.0</v>
      </c>
      <c r="B94" s="337">
        <v>225.2</v>
      </c>
      <c r="C94" s="328" t="str">
        <f t="shared" si="3"/>
        <v>UP</v>
      </c>
      <c r="D94" s="339">
        <v>45357.0</v>
      </c>
      <c r="E94" s="338">
        <v>6184.0</v>
      </c>
      <c r="F94" s="328" t="str">
        <f t="shared" si="8"/>
        <v>UP</v>
      </c>
      <c r="G94" s="298">
        <f t="shared" si="18"/>
        <v>0.03641655886</v>
      </c>
      <c r="H94" s="332">
        <f t="shared" si="5"/>
        <v>0.03641655886</v>
      </c>
      <c r="I94" s="302">
        <f t="shared" si="6"/>
        <v>-5958.8</v>
      </c>
      <c r="J94" s="333">
        <f t="shared" si="7"/>
        <v>-0.06031006537</v>
      </c>
      <c r="K94" s="334">
        <f t="shared" si="13"/>
        <v>234.2904762</v>
      </c>
      <c r="L94" s="335">
        <f t="shared" si="14"/>
        <v>-0.0403662353</v>
      </c>
      <c r="M94" s="336">
        <f t="shared" si="15"/>
        <v>6779.536585</v>
      </c>
      <c r="N94" s="335">
        <f t="shared" si="19"/>
        <v>-0.09630281135</v>
      </c>
      <c r="O94" s="299">
        <f t="shared" si="17"/>
        <v>0.05593657604</v>
      </c>
      <c r="P94" s="294"/>
      <c r="Q94" s="319">
        <f t="shared" si="9"/>
        <v>807000</v>
      </c>
      <c r="R94" s="294"/>
      <c r="S94" s="319">
        <f t="shared" si="10"/>
        <v>645500</v>
      </c>
      <c r="T94" s="319">
        <f t="shared" si="11"/>
        <v>161500</v>
      </c>
      <c r="U94" s="294"/>
      <c r="V94" s="315"/>
      <c r="W94" s="315"/>
      <c r="X94" s="315"/>
      <c r="Y94" s="315"/>
      <c r="Z94" s="315"/>
      <c r="AA94" s="315"/>
      <c r="AB94" s="315"/>
    </row>
    <row r="95">
      <c r="A95" s="69" t="s">
        <v>271</v>
      </c>
      <c r="B95" s="337">
        <v>215.2</v>
      </c>
      <c r="C95" s="328" t="str">
        <f t="shared" si="3"/>
        <v>DOWN</v>
      </c>
      <c r="D95" s="69" t="s">
        <v>271</v>
      </c>
      <c r="E95" s="338">
        <v>6455.0</v>
      </c>
      <c r="F95" s="328" t="str">
        <f t="shared" si="8"/>
        <v>UP</v>
      </c>
      <c r="G95" s="298">
        <f t="shared" si="18"/>
        <v>0.03333849729</v>
      </c>
      <c r="H95" s="332">
        <f t="shared" si="5"/>
        <v>0.03333849729</v>
      </c>
      <c r="I95" s="302">
        <f t="shared" si="6"/>
        <v>-6239.8</v>
      </c>
      <c r="J95" s="333">
        <f t="shared" si="7"/>
        <v>-0.01369427241</v>
      </c>
      <c r="K95" s="334">
        <f t="shared" si="13"/>
        <v>234.1142857</v>
      </c>
      <c r="L95" s="335">
        <f t="shared" si="14"/>
        <v>-0.08789166224</v>
      </c>
      <c r="M95" s="336">
        <f t="shared" si="15"/>
        <v>6786.775</v>
      </c>
      <c r="N95" s="335">
        <f t="shared" si="19"/>
        <v>-0.05139814098</v>
      </c>
      <c r="O95" s="299">
        <f t="shared" si="17"/>
        <v>-0.03649352127</v>
      </c>
      <c r="P95" s="294"/>
      <c r="Q95" s="319">
        <f t="shared" si="9"/>
        <v>813750</v>
      </c>
      <c r="R95" s="294"/>
      <c r="S95" s="319">
        <f t="shared" si="10"/>
        <v>649000</v>
      </c>
      <c r="T95" s="319">
        <f t="shared" si="11"/>
        <v>164750</v>
      </c>
      <c r="U95" s="294"/>
      <c r="V95" s="315"/>
      <c r="W95" s="315"/>
      <c r="X95" s="315"/>
      <c r="Y95" s="315"/>
      <c r="Z95" s="315"/>
      <c r="AA95" s="315"/>
      <c r="AB95" s="315"/>
    </row>
    <row r="96">
      <c r="A96" s="69" t="s">
        <v>272</v>
      </c>
      <c r="B96" s="337">
        <v>217.0</v>
      </c>
      <c r="C96" s="328" t="str">
        <f t="shared" si="3"/>
        <v>UP</v>
      </c>
      <c r="D96" s="69" t="s">
        <v>272</v>
      </c>
      <c r="E96" s="338">
        <v>6490.0</v>
      </c>
      <c r="F96" s="328" t="str">
        <f t="shared" si="8"/>
        <v>UP</v>
      </c>
      <c r="G96" s="298">
        <f t="shared" si="18"/>
        <v>0.03343605547</v>
      </c>
      <c r="H96" s="332">
        <f t="shared" si="5"/>
        <v>0.03343605547</v>
      </c>
      <c r="I96" s="302">
        <f t="shared" si="6"/>
        <v>-6273</v>
      </c>
      <c r="J96" s="333">
        <f t="shared" si="7"/>
        <v>-0.008186641353</v>
      </c>
      <c r="K96" s="334">
        <f t="shared" si="13"/>
        <v>233.3190476</v>
      </c>
      <c r="L96" s="335">
        <f t="shared" si="14"/>
        <v>-0.07520298442</v>
      </c>
      <c r="M96" s="336">
        <f t="shared" si="15"/>
        <v>6790.948718</v>
      </c>
      <c r="N96" s="335">
        <f t="shared" si="19"/>
        <v>-0.04637114298</v>
      </c>
      <c r="O96" s="299">
        <f t="shared" si="17"/>
        <v>-0.02883184144</v>
      </c>
      <c r="P96" s="294"/>
      <c r="Q96" s="319">
        <f t="shared" si="9"/>
        <v>836625</v>
      </c>
      <c r="R96" s="294"/>
      <c r="S96" s="319">
        <f t="shared" si="10"/>
        <v>662400</v>
      </c>
      <c r="T96" s="319">
        <f t="shared" si="11"/>
        <v>174225</v>
      </c>
      <c r="U96" s="294"/>
      <c r="V96" s="315"/>
      <c r="W96" s="315"/>
      <c r="X96" s="315"/>
      <c r="Y96" s="315"/>
      <c r="Z96" s="315"/>
      <c r="AA96" s="315"/>
      <c r="AB96" s="315"/>
    </row>
    <row r="97">
      <c r="A97" s="69" t="s">
        <v>273</v>
      </c>
      <c r="B97" s="337">
        <v>223.1</v>
      </c>
      <c r="C97" s="328" t="str">
        <f t="shared" si="3"/>
        <v>UP</v>
      </c>
      <c r="D97" s="69" t="s">
        <v>273</v>
      </c>
      <c r="E97" s="338">
        <v>6624.0</v>
      </c>
      <c r="F97" s="328" t="str">
        <f t="shared" si="8"/>
        <v>UP</v>
      </c>
      <c r="G97" s="298">
        <f t="shared" si="18"/>
        <v>0.03368055556</v>
      </c>
      <c r="H97" s="332">
        <f t="shared" si="5"/>
        <v>0.03368055556</v>
      </c>
      <c r="I97" s="302">
        <f t="shared" si="6"/>
        <v>-6400.9</v>
      </c>
      <c r="J97" s="333">
        <f t="shared" si="7"/>
        <v>0.01303100961</v>
      </c>
      <c r="K97" s="334">
        <f t="shared" si="13"/>
        <v>232.3666667</v>
      </c>
      <c r="L97" s="335">
        <f t="shared" si="14"/>
        <v>-0.04153593306</v>
      </c>
      <c r="M97" s="336">
        <f t="shared" si="15"/>
        <v>6795.105263</v>
      </c>
      <c r="N97" s="335">
        <f t="shared" si="19"/>
        <v>-0.02583110857</v>
      </c>
      <c r="O97" s="299">
        <f t="shared" si="17"/>
        <v>-0.0157048245</v>
      </c>
      <c r="P97" s="294"/>
      <c r="Q97" s="319">
        <f t="shared" si="9"/>
        <v>804375</v>
      </c>
      <c r="R97" s="294"/>
      <c r="S97" s="319">
        <f t="shared" si="10"/>
        <v>663300</v>
      </c>
      <c r="T97" s="319">
        <f t="shared" si="11"/>
        <v>141075</v>
      </c>
      <c r="U97" s="294"/>
      <c r="V97" s="315"/>
      <c r="W97" s="315"/>
      <c r="X97" s="315"/>
      <c r="Y97" s="315"/>
      <c r="Z97" s="315"/>
      <c r="AA97" s="315"/>
      <c r="AB97" s="315"/>
    </row>
    <row r="98">
      <c r="A98" s="69" t="s">
        <v>274</v>
      </c>
      <c r="B98" s="337">
        <v>214.5</v>
      </c>
      <c r="C98" s="328" t="str">
        <f t="shared" si="3"/>
        <v>DOWN</v>
      </c>
      <c r="D98" s="69" t="s">
        <v>274</v>
      </c>
      <c r="E98" s="338">
        <v>6633.0</v>
      </c>
      <c r="F98" s="328" t="str">
        <f t="shared" si="8"/>
        <v>UP</v>
      </c>
      <c r="G98" s="298">
        <f t="shared" si="18"/>
        <v>0.03233830846</v>
      </c>
      <c r="H98" s="332">
        <f t="shared" si="5"/>
        <v>0.03233830846</v>
      </c>
      <c r="I98" s="302">
        <f t="shared" si="6"/>
        <v>-6418.5</v>
      </c>
      <c r="J98" s="333">
        <f t="shared" si="7"/>
        <v>0.01595071764</v>
      </c>
      <c r="K98" s="334">
        <f t="shared" si="13"/>
        <v>231.5285714</v>
      </c>
      <c r="L98" s="335">
        <f t="shared" si="14"/>
        <v>-0.07938727939</v>
      </c>
      <c r="M98" s="336">
        <f t="shared" si="15"/>
        <v>6801.864865</v>
      </c>
      <c r="N98" s="335">
        <f t="shared" si="19"/>
        <v>-0.02545829412</v>
      </c>
      <c r="O98" s="299">
        <f t="shared" si="17"/>
        <v>-0.05392898527</v>
      </c>
      <c r="P98" s="294"/>
      <c r="Q98" s="319">
        <f t="shared" si="9"/>
        <v>790125</v>
      </c>
      <c r="R98" s="294"/>
      <c r="S98" s="319">
        <f t="shared" si="10"/>
        <v>654500</v>
      </c>
      <c r="T98" s="319">
        <f t="shared" si="11"/>
        <v>135625</v>
      </c>
      <c r="U98" s="294"/>
      <c r="V98" s="294"/>
      <c r="W98" s="294"/>
      <c r="X98" s="294"/>
      <c r="Y98" s="294"/>
      <c r="Z98" s="294"/>
      <c r="AA98" s="294"/>
      <c r="AB98" s="294"/>
    </row>
    <row r="99">
      <c r="A99" s="69" t="s">
        <v>275</v>
      </c>
      <c r="B99" s="337">
        <v>210.7</v>
      </c>
      <c r="C99" s="328" t="str">
        <f t="shared" si="3"/>
        <v>DOWN</v>
      </c>
      <c r="D99" s="69" t="s">
        <v>275</v>
      </c>
      <c r="E99" s="338">
        <v>6545.0</v>
      </c>
      <c r="F99" s="328" t="str">
        <f t="shared" si="8"/>
        <v>DOWN</v>
      </c>
      <c r="G99" s="298">
        <f t="shared" si="18"/>
        <v>0.03219251337</v>
      </c>
      <c r="H99" s="332">
        <f t="shared" si="5"/>
        <v>0.03219251337</v>
      </c>
      <c r="I99" s="302">
        <f t="shared" si="6"/>
        <v>-6334.3</v>
      </c>
      <c r="J99" s="333">
        <f t="shared" si="7"/>
        <v>0.001982568999</v>
      </c>
      <c r="K99" s="334">
        <f t="shared" si="13"/>
        <v>231.4142857</v>
      </c>
      <c r="L99" s="335">
        <f t="shared" si="14"/>
        <v>-0.09831174995</v>
      </c>
      <c r="M99" s="336">
        <f t="shared" si="15"/>
        <v>6811.138889</v>
      </c>
      <c r="N99" s="335">
        <f t="shared" si="19"/>
        <v>-0.04066293184</v>
      </c>
      <c r="O99" s="299">
        <f t="shared" si="17"/>
        <v>-0.05764881811</v>
      </c>
      <c r="P99" s="294"/>
      <c r="Q99" s="319">
        <f t="shared" si="9"/>
        <v>798750</v>
      </c>
      <c r="R99" s="294"/>
      <c r="S99" s="319">
        <f t="shared" si="10"/>
        <v>646800</v>
      </c>
      <c r="T99" s="319">
        <f t="shared" si="11"/>
        <v>151950</v>
      </c>
      <c r="U99" s="294"/>
      <c r="V99" s="294"/>
      <c r="W99" s="294"/>
      <c r="X99" s="294"/>
      <c r="Y99" s="294"/>
      <c r="Z99" s="294"/>
      <c r="AA99" s="294"/>
      <c r="AB99" s="294"/>
    </row>
    <row r="100">
      <c r="A100" s="69" t="s">
        <v>276</v>
      </c>
      <c r="B100" s="337">
        <v>213.0</v>
      </c>
      <c r="C100" s="328" t="str">
        <f t="shared" si="3"/>
        <v>UP</v>
      </c>
      <c r="D100" s="69" t="s">
        <v>276</v>
      </c>
      <c r="E100" s="338">
        <v>6468.0</v>
      </c>
      <c r="F100" s="328" t="str">
        <f t="shared" si="8"/>
        <v>DOWN</v>
      </c>
      <c r="G100" s="298">
        <f t="shared" si="18"/>
        <v>0.03293135436</v>
      </c>
      <c r="H100" s="332">
        <f t="shared" si="5"/>
        <v>0.03293135436</v>
      </c>
      <c r="I100" s="302">
        <f t="shared" si="6"/>
        <v>-6255</v>
      </c>
      <c r="J100" s="333">
        <f t="shared" si="7"/>
        <v>-0.01117270638</v>
      </c>
      <c r="K100" s="334">
        <f t="shared" si="13"/>
        <v>231.6190476</v>
      </c>
      <c r="L100" s="335">
        <f t="shared" si="14"/>
        <v>-0.0874133691</v>
      </c>
      <c r="M100" s="336">
        <f t="shared" si="15"/>
        <v>6822.8</v>
      </c>
      <c r="N100" s="335">
        <f t="shared" si="19"/>
        <v>-0.05485466914</v>
      </c>
      <c r="O100" s="299">
        <f t="shared" si="17"/>
        <v>-0.03255869996</v>
      </c>
      <c r="P100" s="294"/>
      <c r="Q100" s="319">
        <f t="shared" si="9"/>
        <v>838125</v>
      </c>
      <c r="R100" s="294"/>
      <c r="S100" s="319">
        <f t="shared" si="10"/>
        <v>640300</v>
      </c>
      <c r="T100" s="319">
        <f t="shared" si="11"/>
        <v>197825</v>
      </c>
      <c r="U100" s="294"/>
      <c r="V100" s="294"/>
      <c r="W100" s="294"/>
      <c r="X100" s="294"/>
      <c r="Y100" s="294"/>
      <c r="Z100" s="294"/>
      <c r="AA100" s="294"/>
      <c r="AB100" s="294"/>
    </row>
    <row r="101">
      <c r="A101" s="69" t="s">
        <v>277</v>
      </c>
      <c r="B101" s="337">
        <v>223.5</v>
      </c>
      <c r="C101" s="328" t="str">
        <f t="shared" si="3"/>
        <v>UP</v>
      </c>
      <c r="D101" s="69" t="s">
        <v>277</v>
      </c>
      <c r="E101" s="338">
        <v>6403.0</v>
      </c>
      <c r="F101" s="328" t="str">
        <f t="shared" si="8"/>
        <v>DOWN</v>
      </c>
      <c r="G101" s="298">
        <f t="shared" si="18"/>
        <v>0.03490551304</v>
      </c>
      <c r="H101" s="332">
        <f t="shared" si="5"/>
        <v>0.03490551304</v>
      </c>
      <c r="I101" s="302">
        <f t="shared" si="6"/>
        <v>-6179.5</v>
      </c>
      <c r="J101" s="333">
        <f t="shared" si="7"/>
        <v>-0.02369759026</v>
      </c>
      <c r="K101" s="334">
        <f t="shared" si="13"/>
        <v>230.747619</v>
      </c>
      <c r="L101" s="335">
        <f t="shared" si="14"/>
        <v>-0.03242782572</v>
      </c>
      <c r="M101" s="336">
        <f t="shared" si="15"/>
        <v>6832.529412</v>
      </c>
      <c r="N101" s="335">
        <f t="shared" si="19"/>
        <v>-0.06708252565</v>
      </c>
      <c r="O101" s="299">
        <f t="shared" si="17"/>
        <v>0.03465469994</v>
      </c>
      <c r="P101" s="294"/>
      <c r="Q101" s="319">
        <f t="shared" si="9"/>
        <v>878250</v>
      </c>
      <c r="R101" s="294"/>
      <c r="S101" s="319">
        <f t="shared" si="10"/>
        <v>649200</v>
      </c>
      <c r="T101" s="319">
        <f t="shared" si="11"/>
        <v>229050</v>
      </c>
      <c r="U101" s="294"/>
      <c r="V101" s="294"/>
      <c r="W101" s="294"/>
      <c r="X101" s="294"/>
      <c r="Y101" s="294"/>
      <c r="Z101" s="294"/>
      <c r="AA101" s="294"/>
      <c r="AB101" s="294"/>
    </row>
    <row r="102">
      <c r="A102" s="69" t="s">
        <v>278</v>
      </c>
      <c r="B102" s="337">
        <v>234.2</v>
      </c>
      <c r="C102" s="328" t="str">
        <f t="shared" si="3"/>
        <v>UP</v>
      </c>
      <c r="D102" s="69" t="s">
        <v>278</v>
      </c>
      <c r="E102" s="338">
        <v>6492.0</v>
      </c>
      <c r="F102" s="328" t="str">
        <f t="shared" si="8"/>
        <v>UP</v>
      </c>
      <c r="G102" s="298">
        <f t="shared" si="18"/>
        <v>0.03607516944</v>
      </c>
      <c r="H102" s="332">
        <f t="shared" si="5"/>
        <v>0.03607516944</v>
      </c>
      <c r="I102" s="302">
        <f t="shared" si="6"/>
        <v>-6257.8</v>
      </c>
      <c r="J102" s="333">
        <f t="shared" si="7"/>
        <v>-0.01070820738</v>
      </c>
      <c r="K102" s="334">
        <f t="shared" si="13"/>
        <v>230.0380952</v>
      </c>
      <c r="L102" s="335">
        <f t="shared" si="14"/>
        <v>0.01777072913</v>
      </c>
      <c r="M102" s="336">
        <f t="shared" si="15"/>
        <v>6840.575758</v>
      </c>
      <c r="N102" s="335">
        <f t="shared" si="19"/>
        <v>-0.05369312347</v>
      </c>
      <c r="O102" s="299">
        <f t="shared" si="17"/>
        <v>0.0714638526</v>
      </c>
      <c r="P102" s="294"/>
      <c r="Q102" s="319">
        <f t="shared" si="9"/>
        <v>838500</v>
      </c>
      <c r="R102" s="294"/>
      <c r="S102" s="319">
        <f t="shared" si="10"/>
        <v>656700</v>
      </c>
      <c r="T102" s="319">
        <f t="shared" si="11"/>
        <v>181800</v>
      </c>
      <c r="U102" s="294"/>
      <c r="V102" s="294"/>
      <c r="W102" s="294"/>
      <c r="X102" s="294"/>
      <c r="Y102" s="294"/>
      <c r="Z102" s="294"/>
      <c r="AA102" s="294"/>
      <c r="AB102" s="294"/>
    </row>
    <row r="103">
      <c r="A103" s="69" t="s">
        <v>279</v>
      </c>
      <c r="B103" s="337">
        <v>223.6</v>
      </c>
      <c r="C103" s="328" t="str">
        <f t="shared" si="3"/>
        <v>DOWN</v>
      </c>
      <c r="D103" s="69" t="s">
        <v>279</v>
      </c>
      <c r="E103" s="338">
        <v>6567.0</v>
      </c>
      <c r="F103" s="328" t="str">
        <f t="shared" si="8"/>
        <v>UP</v>
      </c>
      <c r="G103" s="298">
        <f t="shared" si="18"/>
        <v>0.03404903304</v>
      </c>
      <c r="H103" s="332">
        <f t="shared" si="5"/>
        <v>0.03404903304</v>
      </c>
      <c r="I103" s="302">
        <f t="shared" si="6"/>
        <v>-6343.4</v>
      </c>
      <c r="J103" s="333">
        <f t="shared" si="7"/>
        <v>0.003492190764</v>
      </c>
      <c r="K103" s="334">
        <f t="shared" si="13"/>
        <v>229.2285714</v>
      </c>
      <c r="L103" s="335">
        <f t="shared" si="14"/>
        <v>-0.02517250192</v>
      </c>
      <c r="M103" s="336">
        <f t="shared" si="15"/>
        <v>6847.75</v>
      </c>
      <c r="N103" s="335">
        <f t="shared" si="19"/>
        <v>-0.04275163697</v>
      </c>
      <c r="O103" s="299">
        <f t="shared" si="17"/>
        <v>0.01757913506</v>
      </c>
      <c r="P103" s="294"/>
      <c r="Q103" s="319">
        <f t="shared" si="9"/>
        <v>851625</v>
      </c>
      <c r="R103" s="294"/>
      <c r="S103" s="319">
        <f t="shared" si="10"/>
        <v>661100</v>
      </c>
      <c r="T103" s="319">
        <f t="shared" si="11"/>
        <v>190525</v>
      </c>
      <c r="U103" s="294"/>
      <c r="V103" s="315"/>
      <c r="W103" s="315"/>
      <c r="X103" s="315"/>
      <c r="Y103" s="315"/>
      <c r="Z103" s="315"/>
      <c r="AA103" s="315"/>
      <c r="AB103" s="315"/>
    </row>
    <row r="104">
      <c r="A104" s="69" t="s">
        <v>280</v>
      </c>
      <c r="B104" s="337">
        <v>227.1</v>
      </c>
      <c r="C104" s="328" t="str">
        <f t="shared" si="3"/>
        <v>UP</v>
      </c>
      <c r="D104" s="69" t="s">
        <v>280</v>
      </c>
      <c r="E104" s="338">
        <v>6611.0</v>
      </c>
      <c r="F104" s="328" t="str">
        <f t="shared" si="8"/>
        <v>UP</v>
      </c>
      <c r="G104" s="298">
        <f t="shared" si="18"/>
        <v>0.03435183785</v>
      </c>
      <c r="H104" s="332">
        <f t="shared" si="5"/>
        <v>0.03435183785</v>
      </c>
      <c r="I104" s="302">
        <f t="shared" si="6"/>
        <v>-6383.9</v>
      </c>
      <c r="J104" s="333">
        <f t="shared" si="7"/>
        <v>0.01021083708</v>
      </c>
      <c r="K104" s="334">
        <f t="shared" si="13"/>
        <v>227.6190476</v>
      </c>
      <c r="L104" s="335">
        <f t="shared" si="14"/>
        <v>-0.002285546539</v>
      </c>
      <c r="M104" s="336">
        <f t="shared" si="15"/>
        <v>6853.83871</v>
      </c>
      <c r="N104" s="335">
        <f t="shared" si="19"/>
        <v>-0.03673252302</v>
      </c>
      <c r="O104" s="299">
        <f t="shared" si="17"/>
        <v>0.03444697648</v>
      </c>
      <c r="P104" s="294"/>
      <c r="Q104" s="319">
        <f t="shared" si="9"/>
        <v>813000</v>
      </c>
      <c r="R104" s="294"/>
      <c r="S104" s="319">
        <f t="shared" si="10"/>
        <v>665900</v>
      </c>
      <c r="T104" s="319">
        <f t="shared" si="11"/>
        <v>147100</v>
      </c>
      <c r="U104" s="294"/>
      <c r="V104" s="294"/>
      <c r="W104" s="294"/>
      <c r="X104" s="294"/>
      <c r="Y104" s="294"/>
      <c r="Z104" s="294"/>
      <c r="AA104" s="294"/>
      <c r="AB104" s="294"/>
    </row>
    <row r="105">
      <c r="A105" s="69" t="s">
        <v>281</v>
      </c>
      <c r="B105" s="337">
        <v>216.8</v>
      </c>
      <c r="C105" s="328" t="str">
        <f t="shared" si="3"/>
        <v>DOWN</v>
      </c>
      <c r="D105" s="69" t="s">
        <v>281</v>
      </c>
      <c r="E105" s="338">
        <v>6659.0</v>
      </c>
      <c r="F105" s="328" t="str">
        <f t="shared" si="8"/>
        <v>UP</v>
      </c>
      <c r="G105" s="298">
        <f t="shared" si="18"/>
        <v>0.03255744106</v>
      </c>
      <c r="H105" s="332">
        <f t="shared" si="5"/>
        <v>0.03255744106</v>
      </c>
      <c r="I105" s="302">
        <f t="shared" si="6"/>
        <v>-6442.2</v>
      </c>
      <c r="J105" s="333">
        <f t="shared" si="7"/>
        <v>0.01988236993</v>
      </c>
      <c r="K105" s="334">
        <f t="shared" si="13"/>
        <v>225.2857143</v>
      </c>
      <c r="L105" s="335">
        <f t="shared" si="14"/>
        <v>-0.03914074855</v>
      </c>
      <c r="M105" s="336">
        <f t="shared" si="15"/>
        <v>6861.766667</v>
      </c>
      <c r="N105" s="335">
        <f t="shared" si="19"/>
        <v>-0.03045001752</v>
      </c>
      <c r="O105" s="299">
        <f t="shared" si="17"/>
        <v>-0.00869073103</v>
      </c>
      <c r="P105" s="294"/>
      <c r="Q105" s="319">
        <f t="shared" si="9"/>
        <v>780375</v>
      </c>
      <c r="R105" s="294"/>
      <c r="S105" s="319">
        <f t="shared" si="10"/>
        <v>661600</v>
      </c>
      <c r="T105" s="319">
        <f t="shared" si="11"/>
        <v>118775</v>
      </c>
      <c r="U105" s="294"/>
      <c r="V105" s="294"/>
      <c r="W105" s="294"/>
      <c r="X105" s="294"/>
      <c r="Y105" s="294"/>
      <c r="Z105" s="294"/>
      <c r="AA105" s="294"/>
      <c r="AB105" s="294"/>
    </row>
    <row r="106">
      <c r="A106" s="69" t="s">
        <v>282</v>
      </c>
      <c r="B106" s="337">
        <v>208.1</v>
      </c>
      <c r="C106" s="328" t="str">
        <f t="shared" si="3"/>
        <v>DOWN</v>
      </c>
      <c r="D106" s="69" t="s">
        <v>282</v>
      </c>
      <c r="E106" s="338">
        <v>6616.0</v>
      </c>
      <c r="F106" s="328" t="str">
        <f t="shared" si="8"/>
        <v>DOWN</v>
      </c>
      <c r="G106" s="298">
        <f t="shared" si="18"/>
        <v>0.03145405079</v>
      </c>
      <c r="H106" s="332">
        <f t="shared" si="5"/>
        <v>0.03145405079</v>
      </c>
      <c r="I106" s="302">
        <f t="shared" si="6"/>
        <v>-6407.9</v>
      </c>
      <c r="J106" s="333">
        <f t="shared" si="7"/>
        <v>0.01419225712</v>
      </c>
      <c r="K106" s="334">
        <f t="shared" si="13"/>
        <v>222.6619048</v>
      </c>
      <c r="L106" s="335">
        <f t="shared" si="14"/>
        <v>-0.06997551543</v>
      </c>
      <c r="M106" s="336">
        <f t="shared" si="15"/>
        <v>6872.586207</v>
      </c>
      <c r="N106" s="335">
        <f t="shared" si="19"/>
        <v>-0.0387826794</v>
      </c>
      <c r="O106" s="299">
        <f t="shared" si="17"/>
        <v>-0.03119283604</v>
      </c>
      <c r="P106" s="294"/>
      <c r="Q106" s="319">
        <f t="shared" si="9"/>
        <v>745875</v>
      </c>
      <c r="R106" s="294"/>
      <c r="S106" s="319">
        <f t="shared" si="10"/>
        <v>654800</v>
      </c>
      <c r="T106" s="319">
        <f t="shared" si="11"/>
        <v>91075</v>
      </c>
      <c r="U106" s="294"/>
      <c r="V106" s="294"/>
      <c r="W106" s="294"/>
      <c r="X106" s="294"/>
      <c r="Y106" s="294"/>
      <c r="Z106" s="294"/>
      <c r="AA106" s="294"/>
      <c r="AB106" s="294"/>
    </row>
    <row r="107">
      <c r="A107" s="69" t="s">
        <v>283</v>
      </c>
      <c r="B107" s="337">
        <v>198.9</v>
      </c>
      <c r="C107" s="328" t="str">
        <f t="shared" si="3"/>
        <v>DOWN</v>
      </c>
      <c r="D107" s="69" t="s">
        <v>283</v>
      </c>
      <c r="E107" s="338">
        <v>6548.0</v>
      </c>
      <c r="F107" s="328" t="str">
        <f t="shared" si="8"/>
        <v>DOWN</v>
      </c>
      <c r="G107" s="298">
        <f t="shared" si="18"/>
        <v>0.03037568723</v>
      </c>
      <c r="H107" s="332">
        <f t="shared" si="5"/>
        <v>0.03037568723</v>
      </c>
      <c r="I107" s="302">
        <f t="shared" si="6"/>
        <v>-6349.1</v>
      </c>
      <c r="J107" s="333">
        <f t="shared" si="7"/>
        <v>0.004437778024</v>
      </c>
      <c r="K107" s="334">
        <f t="shared" si="13"/>
        <v>219.8095238</v>
      </c>
      <c r="L107" s="335">
        <f t="shared" si="14"/>
        <v>-0.105125811</v>
      </c>
      <c r="M107" s="336">
        <f t="shared" si="15"/>
        <v>6885.392857</v>
      </c>
      <c r="N107" s="335">
        <f t="shared" si="19"/>
        <v>-0.05152609303</v>
      </c>
      <c r="O107" s="299">
        <f t="shared" si="17"/>
        <v>-0.05359971798</v>
      </c>
      <c r="P107" s="294"/>
      <c r="Q107" s="319">
        <f t="shared" si="9"/>
        <v>741375</v>
      </c>
      <c r="R107" s="294"/>
      <c r="S107" s="319">
        <f t="shared" si="10"/>
        <v>651400</v>
      </c>
      <c r="T107" s="319">
        <f t="shared" si="11"/>
        <v>89975</v>
      </c>
      <c r="U107" s="294"/>
      <c r="V107" s="294"/>
      <c r="W107" s="294"/>
      <c r="X107" s="294"/>
      <c r="Y107" s="294"/>
      <c r="Z107" s="294"/>
      <c r="AA107" s="294"/>
      <c r="AB107" s="294"/>
    </row>
    <row r="108">
      <c r="A108" s="69" t="s">
        <v>284</v>
      </c>
      <c r="B108" s="337">
        <v>197.7</v>
      </c>
      <c r="C108" s="328" t="str">
        <f t="shared" si="3"/>
        <v>DOWN</v>
      </c>
      <c r="D108" s="69" t="s">
        <v>284</v>
      </c>
      <c r="E108" s="338">
        <v>6514.0</v>
      </c>
      <c r="F108" s="328" t="str">
        <f t="shared" si="8"/>
        <v>DOWN</v>
      </c>
      <c r="G108" s="298">
        <f t="shared" si="18"/>
        <v>0.03035001535</v>
      </c>
      <c r="H108" s="332">
        <f t="shared" si="5"/>
        <v>0.03035001535</v>
      </c>
      <c r="I108" s="302">
        <f t="shared" si="6"/>
        <v>-6316.3</v>
      </c>
      <c r="J108" s="333">
        <f t="shared" si="7"/>
        <v>-0.001003496031</v>
      </c>
      <c r="K108" s="334">
        <f t="shared" si="13"/>
        <v>217.2809524</v>
      </c>
      <c r="L108" s="335">
        <f t="shared" si="14"/>
        <v>-0.0990437652</v>
      </c>
      <c r="M108" s="336">
        <f t="shared" si="15"/>
        <v>6896.185185</v>
      </c>
      <c r="N108" s="335">
        <f t="shared" si="19"/>
        <v>-0.05867135173</v>
      </c>
      <c r="O108" s="299">
        <f t="shared" si="17"/>
        <v>-0.04037241347</v>
      </c>
      <c r="P108" s="294"/>
      <c r="Q108" s="319">
        <f t="shared" si="9"/>
        <v>737250</v>
      </c>
      <c r="R108" s="294"/>
      <c r="S108" s="319">
        <f t="shared" si="10"/>
        <v>659400</v>
      </c>
      <c r="T108" s="319">
        <f t="shared" si="11"/>
        <v>77850</v>
      </c>
      <c r="U108" s="294"/>
      <c r="V108" s="294"/>
      <c r="W108" s="294"/>
      <c r="X108" s="294"/>
      <c r="Y108" s="294"/>
      <c r="Z108" s="294"/>
      <c r="AA108" s="294"/>
      <c r="AB108" s="294"/>
    </row>
    <row r="109">
      <c r="A109" s="69" t="s">
        <v>285</v>
      </c>
      <c r="B109" s="337">
        <v>196.6</v>
      </c>
      <c r="C109" s="328" t="str">
        <f t="shared" si="3"/>
        <v>DOWN</v>
      </c>
      <c r="D109" s="69" t="s">
        <v>285</v>
      </c>
      <c r="E109" s="338">
        <v>6594.0</v>
      </c>
      <c r="F109" s="328" t="str">
        <f t="shared" si="8"/>
        <v>UP</v>
      </c>
      <c r="G109" s="298">
        <f t="shared" si="18"/>
        <v>0.02981498332</v>
      </c>
      <c r="H109" s="332">
        <f t="shared" si="5"/>
        <v>0.02981498332</v>
      </c>
      <c r="I109" s="302">
        <f t="shared" si="6"/>
        <v>-6397.4</v>
      </c>
      <c r="J109" s="333">
        <f t="shared" si="7"/>
        <v>0.01245038585</v>
      </c>
      <c r="K109" s="334">
        <f t="shared" si="13"/>
        <v>214.6428571</v>
      </c>
      <c r="L109" s="335">
        <f t="shared" si="14"/>
        <v>-0.09177445139</v>
      </c>
      <c r="M109" s="336">
        <f t="shared" si="15"/>
        <v>6909.384615</v>
      </c>
      <c r="N109" s="335">
        <f t="shared" si="19"/>
        <v>-0.04782902872</v>
      </c>
      <c r="O109" s="299">
        <f t="shared" si="17"/>
        <v>-0.04394542267</v>
      </c>
      <c r="P109" s="294"/>
      <c r="Q109" s="319">
        <f t="shared" si="9"/>
        <v>710250</v>
      </c>
      <c r="R109" s="294"/>
      <c r="S109" s="319">
        <f t="shared" si="10"/>
        <v>655300</v>
      </c>
      <c r="T109" s="319">
        <f t="shared" si="11"/>
        <v>54950</v>
      </c>
      <c r="U109" s="294"/>
      <c r="V109" s="294"/>
      <c r="W109" s="294"/>
      <c r="X109" s="294"/>
      <c r="Y109" s="294"/>
      <c r="Z109" s="294"/>
      <c r="AA109" s="294"/>
      <c r="AB109" s="294"/>
    </row>
    <row r="110">
      <c r="A110" s="339">
        <v>45570.0</v>
      </c>
      <c r="B110" s="337">
        <v>189.4</v>
      </c>
      <c r="C110" s="328" t="str">
        <f t="shared" si="3"/>
        <v>DOWN</v>
      </c>
      <c r="D110" s="339">
        <v>45570.0</v>
      </c>
      <c r="E110" s="338">
        <v>6553.0</v>
      </c>
      <c r="F110" s="328" t="str">
        <f t="shared" si="8"/>
        <v>DOWN</v>
      </c>
      <c r="G110" s="298">
        <f t="shared" si="18"/>
        <v>0.02890279261</v>
      </c>
      <c r="H110" s="332">
        <f t="shared" si="5"/>
        <v>0.02890279261</v>
      </c>
      <c r="I110" s="302">
        <f t="shared" si="6"/>
        <v>-6363.6</v>
      </c>
      <c r="J110" s="333">
        <f t="shared" si="7"/>
        <v>0.006843219298</v>
      </c>
      <c r="K110" s="334">
        <f t="shared" si="13"/>
        <v>212.1904762</v>
      </c>
      <c r="L110" s="335">
        <f t="shared" si="14"/>
        <v>-0.1203298637</v>
      </c>
      <c r="M110" s="336">
        <f t="shared" si="15"/>
        <v>6921.48</v>
      </c>
      <c r="N110" s="335">
        <f t="shared" si="19"/>
        <v>-0.05623073401</v>
      </c>
      <c r="O110" s="299">
        <f t="shared" si="17"/>
        <v>-0.06409912972</v>
      </c>
      <c r="P110" s="294"/>
      <c r="Q110" s="319">
        <f t="shared" si="9"/>
        <v>716625</v>
      </c>
      <c r="R110" s="294"/>
      <c r="S110" s="319">
        <f t="shared" si="10"/>
        <v>660700</v>
      </c>
      <c r="T110" s="319">
        <f t="shared" si="11"/>
        <v>55925</v>
      </c>
      <c r="U110" s="294"/>
      <c r="V110" s="294"/>
      <c r="W110" s="294"/>
      <c r="X110" s="294"/>
      <c r="Y110" s="294"/>
      <c r="Z110" s="294"/>
      <c r="AA110" s="294"/>
      <c r="AB110" s="294"/>
    </row>
    <row r="111">
      <c r="A111" s="339">
        <v>45540.0</v>
      </c>
      <c r="B111" s="337">
        <v>191.1</v>
      </c>
      <c r="C111" s="328" t="str">
        <f t="shared" si="3"/>
        <v>UP</v>
      </c>
      <c r="D111" s="339">
        <v>45540.0</v>
      </c>
      <c r="E111" s="338">
        <v>6607.0</v>
      </c>
      <c r="F111" s="328" t="str">
        <f t="shared" si="8"/>
        <v>UP</v>
      </c>
      <c r="G111" s="298">
        <f t="shared" si="18"/>
        <v>0.02892386862</v>
      </c>
      <c r="H111" s="332">
        <f t="shared" si="5"/>
        <v>0.02892386862</v>
      </c>
      <c r="I111" s="302">
        <f t="shared" si="6"/>
        <v>-6415.9</v>
      </c>
      <c r="J111" s="333">
        <f t="shared" si="7"/>
        <v>0.01551939713</v>
      </c>
      <c r="K111" s="334">
        <f t="shared" si="13"/>
        <v>210.0952381</v>
      </c>
      <c r="L111" s="335">
        <f t="shared" si="14"/>
        <v>-0.09939946675</v>
      </c>
      <c r="M111" s="336">
        <f t="shared" si="15"/>
        <v>6935.5</v>
      </c>
      <c r="N111" s="335">
        <f t="shared" si="19"/>
        <v>-0.04971999395</v>
      </c>
      <c r="O111" s="299">
        <f t="shared" si="17"/>
        <v>-0.0496794728</v>
      </c>
      <c r="P111" s="294"/>
      <c r="Q111" s="319">
        <f t="shared" si="9"/>
        <v>684375</v>
      </c>
      <c r="R111" s="294"/>
      <c r="S111" s="319">
        <f t="shared" si="10"/>
        <v>658500</v>
      </c>
      <c r="T111" s="319">
        <f t="shared" si="11"/>
        <v>25875</v>
      </c>
      <c r="U111" s="294"/>
      <c r="V111" s="294"/>
      <c r="W111" s="294"/>
      <c r="X111" s="294"/>
      <c r="Y111" s="294"/>
      <c r="Z111" s="294"/>
      <c r="AA111" s="294"/>
      <c r="AB111" s="294"/>
    </row>
    <row r="112">
      <c r="A112" s="339">
        <v>45509.0</v>
      </c>
      <c r="B112" s="337">
        <v>182.5</v>
      </c>
      <c r="C112" s="328" t="str">
        <f t="shared" si="3"/>
        <v>DOWN</v>
      </c>
      <c r="D112" s="339">
        <v>45509.0</v>
      </c>
      <c r="E112" s="338">
        <v>6585.0</v>
      </c>
      <c r="F112" s="328" t="str">
        <f t="shared" si="8"/>
        <v>DOWN</v>
      </c>
      <c r="G112" s="298">
        <f t="shared" si="18"/>
        <v>0.02771450266</v>
      </c>
      <c r="H112" s="332">
        <f t="shared" si="5"/>
        <v>0.02771450266</v>
      </c>
      <c r="I112" s="302">
        <f t="shared" si="6"/>
        <v>-6402.5</v>
      </c>
      <c r="J112" s="333">
        <f t="shared" si="7"/>
        <v>0.01329643761</v>
      </c>
      <c r="K112" s="334">
        <f t="shared" si="13"/>
        <v>208.5095238</v>
      </c>
      <c r="L112" s="335">
        <f t="shared" si="14"/>
        <v>-0.1425179387</v>
      </c>
      <c r="M112" s="336">
        <f t="shared" si="15"/>
        <v>6950.826087</v>
      </c>
      <c r="N112" s="335">
        <f t="shared" si="19"/>
        <v>-0.05555445512</v>
      </c>
      <c r="O112" s="299">
        <f t="shared" si="17"/>
        <v>-0.08696348356</v>
      </c>
      <c r="P112" s="294"/>
      <c r="Q112" s="319">
        <f t="shared" si="9"/>
        <v>690750</v>
      </c>
      <c r="R112" s="294"/>
      <c r="S112" s="319">
        <f t="shared" si="10"/>
        <v>658300</v>
      </c>
      <c r="T112" s="319">
        <f t="shared" si="11"/>
        <v>32450</v>
      </c>
      <c r="U112" s="294"/>
      <c r="V112" s="294"/>
      <c r="W112" s="294"/>
      <c r="X112" s="294"/>
      <c r="Y112" s="294"/>
      <c r="Z112" s="294"/>
      <c r="AA112" s="294"/>
      <c r="AB112" s="294"/>
    </row>
    <row r="113">
      <c r="A113" s="339">
        <v>45478.0</v>
      </c>
      <c r="B113" s="337">
        <v>184.2</v>
      </c>
      <c r="C113" s="328" t="str">
        <f t="shared" si="3"/>
        <v>UP</v>
      </c>
      <c r="D113" s="339">
        <v>45478.0</v>
      </c>
      <c r="E113" s="338">
        <v>6583.0</v>
      </c>
      <c r="F113" s="328" t="str">
        <f t="shared" si="8"/>
        <v>DOWN</v>
      </c>
      <c r="G113" s="298">
        <f t="shared" si="18"/>
        <v>0.0279811636</v>
      </c>
      <c r="H113" s="332">
        <f t="shared" si="5"/>
        <v>0.0279811636</v>
      </c>
      <c r="I113" s="302">
        <f t="shared" si="6"/>
        <v>-6398.8</v>
      </c>
      <c r="J113" s="333">
        <f t="shared" si="7"/>
        <v>0.01268263536</v>
      </c>
      <c r="K113" s="334">
        <f t="shared" si="13"/>
        <v>206.3142857</v>
      </c>
      <c r="L113" s="335">
        <f t="shared" si="14"/>
        <v>-0.1200558399</v>
      </c>
      <c r="M113" s="336">
        <f t="shared" si="15"/>
        <v>6969.318182</v>
      </c>
      <c r="N113" s="335">
        <f t="shared" si="19"/>
        <v>-0.05868421416</v>
      </c>
      <c r="O113" s="299">
        <f t="shared" si="17"/>
        <v>-0.06137162577</v>
      </c>
      <c r="P113" s="294"/>
      <c r="Q113" s="319">
        <f t="shared" si="9"/>
        <v>698625</v>
      </c>
      <c r="R113" s="294"/>
      <c r="S113" s="319">
        <f t="shared" si="10"/>
        <v>654400</v>
      </c>
      <c r="T113" s="319">
        <f t="shared" si="11"/>
        <v>44225</v>
      </c>
      <c r="U113" s="294"/>
      <c r="V113" s="294"/>
      <c r="W113" s="294"/>
      <c r="X113" s="294"/>
      <c r="Y113" s="294"/>
      <c r="Z113" s="294"/>
      <c r="AA113" s="294"/>
      <c r="AB113" s="294"/>
    </row>
    <row r="114">
      <c r="A114" s="339">
        <v>45448.0</v>
      </c>
      <c r="B114" s="337">
        <v>186.3</v>
      </c>
      <c r="C114" s="328" t="str">
        <f t="shared" si="3"/>
        <v>UP</v>
      </c>
      <c r="D114" s="339">
        <v>45448.0</v>
      </c>
      <c r="E114" s="338">
        <v>6544.0</v>
      </c>
      <c r="F114" s="328" t="str">
        <f t="shared" si="8"/>
        <v>DOWN</v>
      </c>
      <c r="G114" s="298">
        <f t="shared" si="18"/>
        <v>0.02846882641</v>
      </c>
      <c r="H114" s="332">
        <f t="shared" si="5"/>
        <v>0.02846882641</v>
      </c>
      <c r="I114" s="302">
        <f t="shared" si="6"/>
        <v>-6357.7</v>
      </c>
      <c r="J114" s="333">
        <f t="shared" si="7"/>
        <v>0.005864453538</v>
      </c>
      <c r="K114" s="334">
        <f t="shared" si="13"/>
        <v>204.1619048</v>
      </c>
      <c r="L114" s="335">
        <f t="shared" si="14"/>
        <v>-0.09587710554</v>
      </c>
      <c r="M114" s="336">
        <f t="shared" si="15"/>
        <v>6989.238095</v>
      </c>
      <c r="N114" s="335">
        <f t="shared" si="19"/>
        <v>-0.06803760624</v>
      </c>
      <c r="O114" s="299">
        <f t="shared" si="17"/>
        <v>-0.0278394993</v>
      </c>
      <c r="P114" s="294"/>
      <c r="Q114" s="319">
        <f t="shared" si="9"/>
        <v>671625</v>
      </c>
      <c r="R114" s="294"/>
      <c r="S114" s="319">
        <f t="shared" si="10"/>
        <v>655100</v>
      </c>
      <c r="T114" s="319">
        <f t="shared" si="11"/>
        <v>16525</v>
      </c>
      <c r="U114" s="294"/>
      <c r="V114" s="294"/>
      <c r="W114" s="294"/>
      <c r="X114" s="294"/>
      <c r="Y114" s="294"/>
      <c r="Z114" s="294"/>
      <c r="AA114" s="294"/>
      <c r="AB114" s="294"/>
    </row>
    <row r="115">
      <c r="A115" s="339">
        <v>45356.0</v>
      </c>
      <c r="B115" s="337">
        <v>179.1</v>
      </c>
      <c r="C115" s="328" t="str">
        <f t="shared" si="3"/>
        <v>DOWN</v>
      </c>
      <c r="D115" s="339">
        <v>45356.0</v>
      </c>
      <c r="E115" s="338">
        <v>6551.0</v>
      </c>
      <c r="F115" s="328" t="str">
        <f t="shared" si="8"/>
        <v>UP</v>
      </c>
      <c r="G115" s="298">
        <f t="shared" si="18"/>
        <v>0.02733933751</v>
      </c>
      <c r="H115" s="332">
        <f t="shared" si="5"/>
        <v>0.02733933751</v>
      </c>
      <c r="I115" s="302">
        <f t="shared" si="6"/>
        <v>-6371.9</v>
      </c>
      <c r="J115" s="333">
        <f t="shared" si="7"/>
        <v>0.008220127061</v>
      </c>
      <c r="K115" s="334">
        <f t="shared" si="13"/>
        <v>201.5809524</v>
      </c>
      <c r="L115" s="335">
        <f t="shared" si="14"/>
        <v>-0.1255217888</v>
      </c>
      <c r="M115" s="336">
        <f t="shared" si="15"/>
        <v>7008.5</v>
      </c>
      <c r="N115" s="335">
        <f t="shared" si="19"/>
        <v>-0.06983666616</v>
      </c>
      <c r="O115" s="299">
        <f t="shared" si="17"/>
        <v>-0.05568512268</v>
      </c>
      <c r="P115" s="294"/>
      <c r="Q115" s="319">
        <f t="shared" si="9"/>
        <v>637500</v>
      </c>
      <c r="R115" s="294"/>
      <c r="S115" s="319">
        <f t="shared" si="10"/>
        <v>660400</v>
      </c>
      <c r="T115" s="319">
        <f t="shared" si="11"/>
        <v>-22900</v>
      </c>
      <c r="U115" s="294"/>
      <c r="V115" s="294"/>
      <c r="W115" s="294"/>
      <c r="X115" s="294"/>
      <c r="Y115" s="294"/>
      <c r="Z115" s="294"/>
      <c r="AA115" s="294"/>
      <c r="AB115" s="294"/>
    </row>
    <row r="116">
      <c r="A116" s="341">
        <v>45327.0</v>
      </c>
      <c r="B116" s="337">
        <v>170.0</v>
      </c>
      <c r="C116" s="328" t="str">
        <f t="shared" si="3"/>
        <v>DOWN</v>
      </c>
      <c r="D116" s="339">
        <v>45327.0</v>
      </c>
      <c r="E116" s="338">
        <v>6604.0</v>
      </c>
      <c r="F116" s="328" t="str">
        <f t="shared" si="8"/>
        <v>UP</v>
      </c>
      <c r="G116" s="298">
        <f t="shared" si="18"/>
        <v>0.02574197456</v>
      </c>
      <c r="H116" s="332">
        <f t="shared" si="5"/>
        <v>0.02574197456</v>
      </c>
      <c r="I116" s="302">
        <f t="shared" si="6"/>
        <v>-6434</v>
      </c>
      <c r="J116" s="333">
        <f t="shared" si="7"/>
        <v>0.01852205141</v>
      </c>
      <c r="K116" s="334">
        <f t="shared" si="13"/>
        <v>198.8095238</v>
      </c>
      <c r="L116" s="335">
        <f t="shared" si="14"/>
        <v>-0.1694677871</v>
      </c>
      <c r="M116" s="336">
        <f t="shared" si="15"/>
        <v>7028.631579</v>
      </c>
      <c r="N116" s="335">
        <f t="shared" si="19"/>
        <v>-0.06429914884</v>
      </c>
      <c r="O116" s="299">
        <f t="shared" si="17"/>
        <v>-0.1051686383</v>
      </c>
      <c r="P116" s="294"/>
      <c r="Q116" s="319">
        <f t="shared" si="9"/>
        <v>610500</v>
      </c>
      <c r="R116" s="294"/>
      <c r="S116" s="319">
        <f t="shared" si="10"/>
        <v>662600</v>
      </c>
      <c r="T116" s="319">
        <f t="shared" si="11"/>
        <v>-52100</v>
      </c>
      <c r="U116" s="294"/>
      <c r="V116" s="294"/>
      <c r="W116" s="294"/>
      <c r="X116" s="294"/>
      <c r="Y116" s="294"/>
      <c r="Z116" s="294"/>
      <c r="AA116" s="294"/>
      <c r="AB116" s="294"/>
    </row>
    <row r="117">
      <c r="A117" s="339">
        <v>45296.0</v>
      </c>
      <c r="B117" s="337">
        <v>162.8</v>
      </c>
      <c r="C117" s="328" t="str">
        <f t="shared" si="3"/>
        <v>DOWN</v>
      </c>
      <c r="D117" s="339">
        <v>45296.0</v>
      </c>
      <c r="E117" s="338">
        <v>6626.0</v>
      </c>
      <c r="F117" s="328" t="str">
        <f t="shared" si="8"/>
        <v>UP</v>
      </c>
      <c r="G117" s="298">
        <f t="shared" si="18"/>
        <v>0.02456987625</v>
      </c>
      <c r="H117" s="332">
        <f t="shared" si="5"/>
        <v>0.02456987625</v>
      </c>
      <c r="I117" s="302">
        <f t="shared" si="6"/>
        <v>-6463.2</v>
      </c>
      <c r="J117" s="333">
        <f t="shared" si="7"/>
        <v>0.02336611246</v>
      </c>
      <c r="K117" s="334">
        <f t="shared" si="13"/>
        <v>196.6285714</v>
      </c>
      <c r="L117" s="335">
        <f t="shared" si="14"/>
        <v>-0.2077922078</v>
      </c>
      <c r="M117" s="336">
        <f t="shared" si="15"/>
        <v>7039.111111</v>
      </c>
      <c r="N117" s="335">
        <f t="shared" si="19"/>
        <v>-0.06234698326</v>
      </c>
      <c r="O117" s="299">
        <f t="shared" si="17"/>
        <v>-0.1454452245</v>
      </c>
      <c r="P117" s="294"/>
      <c r="Q117" s="319">
        <f t="shared" si="9"/>
        <v>618375</v>
      </c>
      <c r="R117" s="294"/>
      <c r="S117" s="319">
        <f t="shared" si="10"/>
        <v>684000</v>
      </c>
      <c r="T117" s="319">
        <f t="shared" si="11"/>
        <v>-65625</v>
      </c>
      <c r="U117" s="294"/>
      <c r="V117" s="294"/>
      <c r="W117" s="294"/>
      <c r="X117" s="294"/>
      <c r="Y117" s="294"/>
      <c r="Z117" s="294"/>
      <c r="AA117" s="294"/>
      <c r="AB117" s="294"/>
    </row>
    <row r="118">
      <c r="A118" s="69" t="s">
        <v>286</v>
      </c>
      <c r="B118" s="337">
        <v>164.9</v>
      </c>
      <c r="C118" s="328" t="str">
        <f t="shared" si="3"/>
        <v>UP</v>
      </c>
      <c r="D118" s="69" t="s">
        <v>286</v>
      </c>
      <c r="E118" s="338">
        <v>6840.0</v>
      </c>
      <c r="F118" s="328" t="str">
        <f t="shared" si="8"/>
        <v>UP</v>
      </c>
      <c r="G118" s="298">
        <f t="shared" si="18"/>
        <v>0.02410818713</v>
      </c>
      <c r="H118" s="332">
        <f t="shared" si="5"/>
        <v>0.02410818713</v>
      </c>
      <c r="I118" s="302">
        <f t="shared" si="6"/>
        <v>-6675.1</v>
      </c>
      <c r="J118" s="333">
        <f t="shared" si="7"/>
        <v>0.05851873356</v>
      </c>
      <c r="K118" s="334">
        <f t="shared" si="13"/>
        <v>194.2380952</v>
      </c>
      <c r="L118" s="335">
        <f t="shared" si="14"/>
        <v>-0.1779144648</v>
      </c>
      <c r="M118" s="336">
        <f t="shared" si="15"/>
        <v>7047.117647</v>
      </c>
      <c r="N118" s="335">
        <f t="shared" si="19"/>
        <v>-0.03028035776</v>
      </c>
      <c r="O118" s="299">
        <f t="shared" si="17"/>
        <v>-0.147634107</v>
      </c>
      <c r="P118" s="294"/>
      <c r="Q118" s="319">
        <f t="shared" si="9"/>
        <v>632625</v>
      </c>
      <c r="R118" s="294"/>
      <c r="S118" s="319">
        <f t="shared" si="10"/>
        <v>690300</v>
      </c>
      <c r="T118" s="319">
        <f t="shared" si="11"/>
        <v>-57675</v>
      </c>
      <c r="U118" s="294"/>
      <c r="V118" s="294"/>
      <c r="W118" s="294"/>
      <c r="X118" s="294"/>
      <c r="Y118" s="294"/>
      <c r="Z118" s="294"/>
      <c r="AA118" s="294"/>
      <c r="AB118" s="294"/>
    </row>
    <row r="119">
      <c r="A119" s="69" t="s">
        <v>287</v>
      </c>
      <c r="B119" s="337">
        <v>168.7</v>
      </c>
      <c r="C119" s="328" t="str">
        <f t="shared" si="3"/>
        <v>UP</v>
      </c>
      <c r="D119" s="69" t="s">
        <v>287</v>
      </c>
      <c r="E119" s="338">
        <v>6903.0</v>
      </c>
      <c r="F119" s="328" t="str">
        <f t="shared" si="8"/>
        <v>UP</v>
      </c>
      <c r="G119" s="298">
        <f t="shared" si="18"/>
        <v>0.02443864986</v>
      </c>
      <c r="H119" s="332">
        <f t="shared" si="5"/>
        <v>0.02443864986</v>
      </c>
      <c r="I119" s="302">
        <f t="shared" si="6"/>
        <v>-6734.3</v>
      </c>
      <c r="J119" s="333">
        <f t="shared" si="7"/>
        <v>0.06833956966</v>
      </c>
      <c r="K119" s="334">
        <f t="shared" si="13"/>
        <v>190.5190476</v>
      </c>
      <c r="L119" s="335">
        <f t="shared" si="14"/>
        <v>-0.1293363819</v>
      </c>
      <c r="M119" s="336">
        <f t="shared" si="15"/>
        <v>7050.1875</v>
      </c>
      <c r="N119" s="335">
        <f t="shared" si="19"/>
        <v>-0.0213222512</v>
      </c>
      <c r="O119" s="299">
        <f t="shared" si="17"/>
        <v>-0.1080141307</v>
      </c>
      <c r="P119" s="294"/>
      <c r="Q119" s="319">
        <f t="shared" si="9"/>
        <v>601875</v>
      </c>
      <c r="R119" s="294"/>
      <c r="S119" s="319">
        <f t="shared" si="10"/>
        <v>699800</v>
      </c>
      <c r="T119" s="319">
        <f t="shared" si="11"/>
        <v>-97925</v>
      </c>
      <c r="U119" s="294"/>
      <c r="V119" s="294"/>
      <c r="W119" s="294"/>
      <c r="X119" s="294"/>
      <c r="Y119" s="294"/>
      <c r="Z119" s="294"/>
      <c r="AA119" s="294"/>
      <c r="AB119" s="294"/>
    </row>
    <row r="120">
      <c r="A120" s="69" t="s">
        <v>288</v>
      </c>
      <c r="B120" s="337">
        <v>160.5</v>
      </c>
      <c r="C120" s="328" t="str">
        <f t="shared" si="3"/>
        <v>DOWN</v>
      </c>
      <c r="D120" s="69" t="s">
        <v>288</v>
      </c>
      <c r="E120" s="338">
        <v>6998.0</v>
      </c>
      <c r="F120" s="328" t="str">
        <f t="shared" si="8"/>
        <v>UP</v>
      </c>
      <c r="G120" s="298">
        <f t="shared" si="18"/>
        <v>0.02293512432</v>
      </c>
      <c r="H120" s="332">
        <f t="shared" si="5"/>
        <v>0.02293512432</v>
      </c>
      <c r="I120" s="302">
        <f t="shared" si="6"/>
        <v>-6837.5</v>
      </c>
      <c r="J120" s="333">
        <f t="shared" si="7"/>
        <v>0.08545967583</v>
      </c>
      <c r="K120" s="334">
        <f t="shared" si="13"/>
        <v>186.6428571</v>
      </c>
      <c r="L120" s="335">
        <f t="shared" si="14"/>
        <v>-0.1628838451</v>
      </c>
      <c r="M120" s="336">
        <f t="shared" si="15"/>
        <v>7059.466667</v>
      </c>
      <c r="N120" s="335">
        <f t="shared" si="19"/>
        <v>-0.008783461942</v>
      </c>
      <c r="O120" s="299">
        <f t="shared" si="17"/>
        <v>-0.1541003832</v>
      </c>
      <c r="P120" s="294"/>
      <c r="Q120" s="319">
        <f t="shared" si="9"/>
        <v>505875</v>
      </c>
      <c r="R120" s="294"/>
      <c r="S120" s="319">
        <f t="shared" si="10"/>
        <v>691100</v>
      </c>
      <c r="T120" s="319">
        <f t="shared" si="11"/>
        <v>-185225</v>
      </c>
      <c r="U120" s="294"/>
      <c r="V120" s="294"/>
      <c r="W120" s="294"/>
      <c r="X120" s="294"/>
      <c r="Y120" s="294"/>
      <c r="Z120" s="294"/>
      <c r="AA120" s="294"/>
      <c r="AB120" s="294"/>
    </row>
    <row r="121">
      <c r="A121" s="69" t="s">
        <v>289</v>
      </c>
      <c r="B121" s="337">
        <v>134.9</v>
      </c>
      <c r="C121" s="328" t="str">
        <f t="shared" si="3"/>
        <v>DOWN</v>
      </c>
      <c r="D121" s="69" t="s">
        <v>289</v>
      </c>
      <c r="E121" s="338">
        <v>6911.0</v>
      </c>
      <c r="F121" s="328" t="str">
        <f t="shared" si="8"/>
        <v>DOWN</v>
      </c>
      <c r="G121" s="298">
        <f t="shared" si="18"/>
        <v>0.01951960642</v>
      </c>
      <c r="H121" s="332">
        <f t="shared" si="5"/>
        <v>0.01951960642</v>
      </c>
      <c r="I121" s="302">
        <f t="shared" si="6"/>
        <v>-6776.1</v>
      </c>
      <c r="J121" s="333">
        <f t="shared" si="7"/>
        <v>0.07527387623</v>
      </c>
      <c r="K121" s="334">
        <f t="shared" si="13"/>
        <v>182.5904762</v>
      </c>
      <c r="L121" s="335">
        <f t="shared" si="14"/>
        <v>-0.3535246567</v>
      </c>
      <c r="M121" s="336">
        <f t="shared" si="15"/>
        <v>7071.357143</v>
      </c>
      <c r="N121" s="335">
        <f t="shared" si="19"/>
        <v>-0.02320317506</v>
      </c>
      <c r="O121" s="299">
        <f t="shared" si="17"/>
        <v>-0.3303214816</v>
      </c>
      <c r="P121" s="294"/>
      <c r="Q121" s="319">
        <f t="shared" si="9"/>
        <v>532875</v>
      </c>
      <c r="R121" s="294"/>
      <c r="S121" s="319">
        <f t="shared" si="10"/>
        <v>689300</v>
      </c>
      <c r="T121" s="319">
        <f t="shared" si="11"/>
        <v>-156425</v>
      </c>
      <c r="U121" s="294"/>
      <c r="V121" s="294"/>
      <c r="W121" s="294"/>
      <c r="X121" s="294"/>
      <c r="Y121" s="294"/>
      <c r="Z121" s="294"/>
      <c r="AA121" s="294"/>
      <c r="AB121" s="294"/>
    </row>
    <row r="122">
      <c r="A122" s="69" t="s">
        <v>290</v>
      </c>
      <c r="B122" s="337">
        <v>142.1</v>
      </c>
      <c r="C122" s="328" t="str">
        <f t="shared" si="3"/>
        <v>UP</v>
      </c>
      <c r="D122" s="69" t="s">
        <v>290</v>
      </c>
      <c r="E122" s="338">
        <v>6893.0</v>
      </c>
      <c r="F122" s="328" t="str">
        <f t="shared" si="8"/>
        <v>DOWN</v>
      </c>
      <c r="G122" s="298">
        <f t="shared" si="18"/>
        <v>0.02061511679</v>
      </c>
      <c r="H122" s="332">
        <f t="shared" si="5"/>
        <v>0.02061511679</v>
      </c>
      <c r="I122" s="302">
        <f t="shared" si="6"/>
        <v>-6750.9</v>
      </c>
      <c r="J122" s="333">
        <f t="shared" si="7"/>
        <v>0.07109338519</v>
      </c>
      <c r="K122" s="334">
        <f t="shared" si="13"/>
        <v>179.0142857</v>
      </c>
      <c r="L122" s="335">
        <f t="shared" si="14"/>
        <v>-0.2597768171</v>
      </c>
      <c r="M122" s="336">
        <f t="shared" si="15"/>
        <v>7082.615385</v>
      </c>
      <c r="N122" s="335">
        <f t="shared" si="19"/>
        <v>-0.02750839759</v>
      </c>
      <c r="O122" s="299">
        <f t="shared" si="17"/>
        <v>-0.2322684195</v>
      </c>
      <c r="P122" s="294"/>
      <c r="Q122" s="319">
        <f t="shared" si="9"/>
        <v>559125</v>
      </c>
      <c r="R122" s="294"/>
      <c r="S122" s="319">
        <f t="shared" si="10"/>
        <v>692500</v>
      </c>
      <c r="T122" s="319">
        <f t="shared" si="11"/>
        <v>-133375</v>
      </c>
      <c r="U122" s="294"/>
      <c r="V122" s="294"/>
      <c r="W122" s="294"/>
      <c r="X122" s="294"/>
      <c r="Y122" s="294"/>
      <c r="Z122" s="294"/>
      <c r="AA122" s="294"/>
      <c r="AB122" s="294"/>
    </row>
    <row r="123">
      <c r="A123" s="69" t="s">
        <v>291</v>
      </c>
      <c r="B123" s="337">
        <v>149.1</v>
      </c>
      <c r="C123" s="328" t="str">
        <f t="shared" si="3"/>
        <v>UP</v>
      </c>
      <c r="D123" s="69" t="s">
        <v>291</v>
      </c>
      <c r="E123" s="338">
        <v>6925.0</v>
      </c>
      <c r="F123" s="328" t="str">
        <f t="shared" si="8"/>
        <v>UP</v>
      </c>
      <c r="G123" s="298">
        <f t="shared" si="18"/>
        <v>0.02153068592</v>
      </c>
      <c r="H123" s="332">
        <f t="shared" si="5"/>
        <v>0.02153068592</v>
      </c>
      <c r="I123" s="302">
        <f t="shared" si="6"/>
        <v>-6775.9</v>
      </c>
      <c r="J123" s="333">
        <f t="shared" si="7"/>
        <v>0.07524069773</v>
      </c>
      <c r="K123" s="334">
        <f t="shared" si="13"/>
        <v>175.1904762</v>
      </c>
      <c r="L123" s="335">
        <f t="shared" si="14"/>
        <v>-0.1749864265</v>
      </c>
      <c r="M123" s="336">
        <f t="shared" si="15"/>
        <v>7103.25</v>
      </c>
      <c r="N123" s="335">
        <f t="shared" si="19"/>
        <v>-0.0257400722</v>
      </c>
      <c r="O123" s="299">
        <f t="shared" si="17"/>
        <v>-0.1492463543</v>
      </c>
      <c r="P123" s="294"/>
      <c r="Q123" s="319">
        <f t="shared" si="9"/>
        <v>556875</v>
      </c>
      <c r="R123" s="294"/>
      <c r="S123" s="319">
        <f t="shared" si="10"/>
        <v>683500</v>
      </c>
      <c r="T123" s="319">
        <f t="shared" si="11"/>
        <v>-126625</v>
      </c>
      <c r="U123" s="294"/>
      <c r="V123" s="294"/>
      <c r="W123" s="294"/>
      <c r="X123" s="294"/>
      <c r="Y123" s="294"/>
      <c r="Z123" s="294"/>
      <c r="AA123" s="294"/>
      <c r="AB123" s="294"/>
    </row>
    <row r="124">
      <c r="A124" s="69" t="s">
        <v>292</v>
      </c>
      <c r="B124" s="337">
        <v>148.5</v>
      </c>
      <c r="C124" s="328" t="str">
        <f t="shared" si="3"/>
        <v>DOWN</v>
      </c>
      <c r="D124" s="69" t="s">
        <v>292</v>
      </c>
      <c r="E124" s="338">
        <v>6835.0</v>
      </c>
      <c r="F124" s="328" t="str">
        <f t="shared" si="8"/>
        <v>DOWN</v>
      </c>
      <c r="G124" s="298">
        <f t="shared" si="18"/>
        <v>0.02172640819</v>
      </c>
      <c r="H124" s="332">
        <f t="shared" si="5"/>
        <v>0.02172640819</v>
      </c>
      <c r="I124" s="302">
        <f t="shared" si="6"/>
        <v>-6686.5</v>
      </c>
      <c r="J124" s="333">
        <f t="shared" si="7"/>
        <v>0.06040990808</v>
      </c>
      <c r="K124" s="334">
        <f t="shared" si="13"/>
        <v>171.8619048</v>
      </c>
      <c r="L124" s="335">
        <f t="shared" si="14"/>
        <v>-0.157319224</v>
      </c>
      <c r="M124" s="336">
        <f t="shared" si="15"/>
        <v>7114.454545</v>
      </c>
      <c r="N124" s="335">
        <f t="shared" si="19"/>
        <v>-0.04088581499</v>
      </c>
      <c r="O124" s="299">
        <f t="shared" si="17"/>
        <v>-0.116433409</v>
      </c>
      <c r="P124" s="294"/>
      <c r="Q124" s="319">
        <f t="shared" si="9"/>
        <v>550500</v>
      </c>
      <c r="R124" s="294"/>
      <c r="S124" s="319">
        <f t="shared" si="10"/>
        <v>698000</v>
      </c>
      <c r="T124" s="319">
        <f t="shared" si="11"/>
        <v>-147500</v>
      </c>
      <c r="U124" s="294"/>
      <c r="V124" s="294"/>
      <c r="W124" s="294"/>
      <c r="X124" s="294"/>
      <c r="Y124" s="294"/>
      <c r="Z124" s="294"/>
      <c r="AA124" s="294"/>
      <c r="AB124" s="294"/>
    </row>
    <row r="125">
      <c r="A125" s="69" t="s">
        <v>293</v>
      </c>
      <c r="B125" s="337">
        <v>146.8</v>
      </c>
      <c r="C125" s="328" t="str">
        <f t="shared" si="3"/>
        <v>DOWN</v>
      </c>
      <c r="D125" s="69" t="s">
        <v>293</v>
      </c>
      <c r="E125" s="338">
        <v>6980.0</v>
      </c>
      <c r="F125" s="328" t="str">
        <f t="shared" si="8"/>
        <v>UP</v>
      </c>
      <c r="G125" s="298">
        <f t="shared" si="18"/>
        <v>0.02103151862</v>
      </c>
      <c r="H125" s="332">
        <f t="shared" si="5"/>
        <v>0.02103151862</v>
      </c>
      <c r="I125" s="302">
        <f t="shared" si="6"/>
        <v>-6833.2</v>
      </c>
      <c r="J125" s="333">
        <f t="shared" si="7"/>
        <v>0.08474633808</v>
      </c>
      <c r="K125" s="334">
        <f t="shared" si="13"/>
        <v>168.752381</v>
      </c>
      <c r="L125" s="335">
        <f t="shared" si="14"/>
        <v>-0.1495393798</v>
      </c>
      <c r="M125" s="336">
        <f t="shared" si="15"/>
        <v>7132.6</v>
      </c>
      <c r="N125" s="335">
        <f t="shared" si="19"/>
        <v>-0.02186246418</v>
      </c>
      <c r="O125" s="299">
        <f t="shared" si="17"/>
        <v>-0.1276769156</v>
      </c>
      <c r="P125" s="294"/>
      <c r="Q125" s="319">
        <f t="shared" si="9"/>
        <v>550875</v>
      </c>
      <c r="R125" s="294"/>
      <c r="S125" s="319">
        <f t="shared" si="10"/>
        <v>693300</v>
      </c>
      <c r="T125" s="319">
        <f t="shared" si="11"/>
        <v>-142425</v>
      </c>
      <c r="U125" s="294"/>
      <c r="V125" s="294"/>
      <c r="W125" s="294"/>
      <c r="X125" s="294"/>
      <c r="Y125" s="294"/>
      <c r="Z125" s="294"/>
      <c r="AA125" s="294"/>
      <c r="AB125" s="294"/>
    </row>
    <row r="126">
      <c r="A126" s="69" t="s">
        <v>294</v>
      </c>
      <c r="B126" s="337">
        <v>146.9</v>
      </c>
      <c r="C126" s="328" t="str">
        <f t="shared" si="3"/>
        <v>UP</v>
      </c>
      <c r="D126" s="69" t="s">
        <v>294</v>
      </c>
      <c r="E126" s="338">
        <v>6933.0</v>
      </c>
      <c r="F126" s="328" t="str">
        <f t="shared" si="8"/>
        <v>DOWN</v>
      </c>
      <c r="G126" s="298">
        <f t="shared" si="18"/>
        <v>0.02118851868</v>
      </c>
      <c r="H126" s="332">
        <f t="shared" si="5"/>
        <v>0.02118851868</v>
      </c>
      <c r="I126" s="302">
        <f t="shared" si="6"/>
        <v>-6786.1</v>
      </c>
      <c r="J126" s="333">
        <f t="shared" si="7"/>
        <v>0.07693280125</v>
      </c>
      <c r="K126" s="334">
        <f t="shared" si="13"/>
        <v>166.0047619</v>
      </c>
      <c r="L126" s="335">
        <f t="shared" si="14"/>
        <v>-0.130052838</v>
      </c>
      <c r="M126" s="336">
        <f t="shared" si="15"/>
        <v>7154.333333</v>
      </c>
      <c r="N126" s="335">
        <f t="shared" si="19"/>
        <v>-0.03192461176</v>
      </c>
      <c r="O126" s="299">
        <f t="shared" si="17"/>
        <v>-0.09812822626</v>
      </c>
      <c r="P126" s="294"/>
      <c r="Q126" s="319">
        <f t="shared" si="9"/>
        <v>535500</v>
      </c>
      <c r="R126" s="294"/>
      <c r="S126" s="319">
        <f t="shared" si="10"/>
        <v>693700</v>
      </c>
      <c r="T126" s="319">
        <f t="shared" si="11"/>
        <v>-158200</v>
      </c>
      <c r="U126" s="294"/>
      <c r="V126" s="294"/>
      <c r="W126" s="294"/>
      <c r="X126" s="294"/>
      <c r="Y126" s="294"/>
      <c r="Z126" s="294"/>
      <c r="AA126" s="294"/>
      <c r="AB126" s="294"/>
    </row>
    <row r="127">
      <c r="A127" s="69" t="s">
        <v>295</v>
      </c>
      <c r="B127" s="337">
        <v>142.8</v>
      </c>
      <c r="C127" s="328" t="str">
        <f t="shared" si="3"/>
        <v>DOWN</v>
      </c>
      <c r="D127" s="69" t="s">
        <v>295</v>
      </c>
      <c r="E127" s="338">
        <v>6937.0</v>
      </c>
      <c r="F127" s="328" t="str">
        <f t="shared" si="8"/>
        <v>UP</v>
      </c>
      <c r="G127" s="298">
        <f t="shared" si="18"/>
        <v>0.02058526741</v>
      </c>
      <c r="H127" s="332">
        <f t="shared" si="5"/>
        <v>0.02058526741</v>
      </c>
      <c r="I127" s="302">
        <f t="shared" si="6"/>
        <v>-6794.2</v>
      </c>
      <c r="J127" s="333">
        <f t="shared" si="7"/>
        <v>0.07827653051</v>
      </c>
      <c r="K127" s="334">
        <f t="shared" si="13"/>
        <v>163.3190476</v>
      </c>
      <c r="L127" s="335">
        <f t="shared" si="14"/>
        <v>-0.1436908097</v>
      </c>
      <c r="M127" s="336">
        <f t="shared" si="15"/>
        <v>7156.625</v>
      </c>
      <c r="N127" s="335">
        <f t="shared" si="19"/>
        <v>-0.03165993946</v>
      </c>
      <c r="O127" s="299">
        <f t="shared" si="17"/>
        <v>-0.1120308702</v>
      </c>
      <c r="P127" s="294"/>
      <c r="Q127" s="319">
        <f t="shared" si="9"/>
        <v>529500</v>
      </c>
      <c r="R127" s="294"/>
      <c r="S127" s="319">
        <f t="shared" si="10"/>
        <v>713600</v>
      </c>
      <c r="T127" s="319">
        <f t="shared" si="11"/>
        <v>-184100</v>
      </c>
      <c r="U127" s="294"/>
      <c r="V127" s="294"/>
      <c r="W127" s="294"/>
      <c r="X127" s="294"/>
      <c r="Y127" s="294"/>
      <c r="Z127" s="294"/>
      <c r="AA127" s="294"/>
      <c r="AB127" s="294"/>
    </row>
    <row r="128">
      <c r="A128" s="69" t="s">
        <v>296</v>
      </c>
      <c r="B128" s="337">
        <v>141.2</v>
      </c>
      <c r="C128" s="328" t="str">
        <f t="shared" si="3"/>
        <v>DOWN</v>
      </c>
      <c r="D128" s="69" t="s">
        <v>296</v>
      </c>
      <c r="E128" s="338">
        <v>7136.0</v>
      </c>
      <c r="F128" s="328" t="str">
        <f t="shared" si="8"/>
        <v>UP</v>
      </c>
      <c r="G128" s="298">
        <f t="shared" si="18"/>
        <v>0.01978699552</v>
      </c>
      <c r="H128" s="332">
        <f t="shared" si="5"/>
        <v>0.01978699552</v>
      </c>
      <c r="I128" s="302">
        <f t="shared" si="6"/>
        <v>-6994.8</v>
      </c>
      <c r="J128" s="333">
        <f t="shared" si="7"/>
        <v>0.1115545663</v>
      </c>
      <c r="K128" s="334">
        <f t="shared" si="13"/>
        <v>161.0285714</v>
      </c>
      <c r="L128" s="335">
        <f t="shared" si="14"/>
        <v>-0.1404289761</v>
      </c>
      <c r="M128" s="336">
        <f t="shared" si="15"/>
        <v>7162.571429</v>
      </c>
      <c r="N128" s="335">
        <f t="shared" si="19"/>
        <v>-0.003723574632</v>
      </c>
      <c r="O128" s="299">
        <f t="shared" si="17"/>
        <v>-0.1367054015</v>
      </c>
      <c r="P128" s="294"/>
      <c r="Q128" s="319">
        <f t="shared" si="9"/>
        <v>529875</v>
      </c>
      <c r="R128" s="294"/>
      <c r="S128" s="319">
        <f t="shared" si="10"/>
        <v>711500</v>
      </c>
      <c r="T128" s="319">
        <f t="shared" si="11"/>
        <v>-181625</v>
      </c>
      <c r="U128" s="294"/>
      <c r="V128" s="294"/>
      <c r="W128" s="294"/>
      <c r="X128" s="294"/>
      <c r="Y128" s="294"/>
      <c r="Z128" s="294"/>
      <c r="AA128" s="294"/>
      <c r="AB128" s="294"/>
    </row>
    <row r="129">
      <c r="A129" s="69" t="s">
        <v>297</v>
      </c>
      <c r="B129" s="337">
        <v>141.3</v>
      </c>
      <c r="C129" s="328" t="str">
        <f t="shared" si="3"/>
        <v>UP</v>
      </c>
      <c r="D129" s="69" t="s">
        <v>297</v>
      </c>
      <c r="E129" s="338">
        <v>7115.0</v>
      </c>
      <c r="F129" s="328" t="str">
        <f t="shared" si="8"/>
        <v>DOWN</v>
      </c>
      <c r="G129" s="298">
        <f t="shared" si="18"/>
        <v>0.01985945186</v>
      </c>
      <c r="H129" s="347">
        <f t="shared" si="5"/>
        <v>0.01985945186</v>
      </c>
      <c r="I129" s="348">
        <f t="shared" si="6"/>
        <v>-6973.7</v>
      </c>
      <c r="J129" s="333">
        <f t="shared" si="7"/>
        <v>0.1080542346</v>
      </c>
      <c r="K129" s="334">
        <f t="shared" si="13"/>
        <v>159.0428571</v>
      </c>
      <c r="L129" s="335">
        <f t="shared" si="14"/>
        <v>-0.1255686988</v>
      </c>
      <c r="M129" s="336">
        <f t="shared" si="15"/>
        <v>7158.166667</v>
      </c>
      <c r="N129" s="335">
        <f t="shared" si="19"/>
        <v>-0.006066994612</v>
      </c>
      <c r="O129" s="299">
        <f t="shared" si="17"/>
        <v>-0.1195017042</v>
      </c>
      <c r="P129" s="294"/>
      <c r="Q129" s="319">
        <f t="shared" si="9"/>
        <v>556875</v>
      </c>
      <c r="R129" s="294"/>
      <c r="S129" s="319">
        <f t="shared" si="10"/>
        <v>718900</v>
      </c>
      <c r="T129" s="319">
        <f t="shared" si="11"/>
        <v>-162025</v>
      </c>
      <c r="U129" s="294"/>
      <c r="V129" s="294"/>
      <c r="W129" s="294"/>
      <c r="X129" s="294"/>
      <c r="Y129" s="294"/>
      <c r="Z129" s="294"/>
      <c r="AA129" s="294"/>
      <c r="AB129" s="294"/>
    </row>
    <row r="130">
      <c r="A130" s="339">
        <v>45630.0</v>
      </c>
      <c r="B130" s="337">
        <v>148.5</v>
      </c>
      <c r="C130" s="328" t="str">
        <f t="shared" si="3"/>
        <v>UP</v>
      </c>
      <c r="D130" s="339">
        <v>45630.0</v>
      </c>
      <c r="E130" s="338">
        <v>7189.0</v>
      </c>
      <c r="F130" s="328" t="str">
        <f t="shared" si="8"/>
        <v>UP</v>
      </c>
      <c r="G130" s="298">
        <f t="shared" si="18"/>
        <v>0.02065655863</v>
      </c>
      <c r="H130" s="308" t="s">
        <v>138</v>
      </c>
      <c r="I130" s="349">
        <f>AVERAGE(I20:I127)</f>
        <v>-6322.349074</v>
      </c>
      <c r="J130" s="301"/>
      <c r="K130" s="350"/>
      <c r="L130" s="350"/>
      <c r="M130" s="288"/>
      <c r="N130" s="288"/>
      <c r="O130" s="288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  <c r="AA130" s="294"/>
      <c r="AB130" s="294"/>
    </row>
    <row r="131">
      <c r="A131" s="339">
        <v>45600.0</v>
      </c>
      <c r="B131" s="69">
        <v>147.7</v>
      </c>
      <c r="C131" s="328" t="str">
        <f t="shared" si="3"/>
        <v>DOWN</v>
      </c>
      <c r="D131" s="339">
        <v>45600.0</v>
      </c>
      <c r="E131" s="337">
        <v>7109.0</v>
      </c>
      <c r="F131" s="328" t="str">
        <f t="shared" si="8"/>
        <v>DOWN</v>
      </c>
      <c r="G131" s="298">
        <f t="shared" si="18"/>
        <v>0.02077648052</v>
      </c>
      <c r="H131" s="308" t="s">
        <v>139</v>
      </c>
      <c r="I131" s="351" t="str">
        <f>_xlfn.STDEV.P(I17:I129)</f>
        <v>#VALUE!</v>
      </c>
      <c r="J131" s="301"/>
      <c r="K131" s="350"/>
      <c r="L131" s="350"/>
      <c r="M131" s="288"/>
      <c r="N131" s="288"/>
      <c r="O131" s="288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  <c r="AA131" s="294"/>
      <c r="AB131" s="294"/>
    </row>
    <row r="132">
      <c r="A132" s="339">
        <v>45569.0</v>
      </c>
      <c r="B132" s="69">
        <v>157.7</v>
      </c>
      <c r="C132" s="328" t="str">
        <f t="shared" si="3"/>
        <v>UP</v>
      </c>
      <c r="D132" s="339">
        <v>45569.0</v>
      </c>
      <c r="E132" s="337">
        <v>7157.0</v>
      </c>
      <c r="F132" s="328" t="str">
        <f t="shared" si="8"/>
        <v>UP</v>
      </c>
      <c r="G132" s="298">
        <f t="shared" si="18"/>
        <v>0.02203437194</v>
      </c>
      <c r="H132" s="350"/>
      <c r="I132" s="350"/>
      <c r="J132" s="350"/>
      <c r="K132" s="350"/>
      <c r="L132" s="350"/>
      <c r="M132" s="288"/>
      <c r="N132" s="288"/>
      <c r="O132" s="288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  <c r="AA132" s="294"/>
      <c r="AB132" s="294"/>
    </row>
    <row r="133">
      <c r="A133" s="339">
        <v>45539.0</v>
      </c>
      <c r="B133" s="69">
        <v>155.1</v>
      </c>
      <c r="C133" s="328" t="str">
        <f t="shared" si="3"/>
        <v>DOWN</v>
      </c>
      <c r="D133" s="339">
        <v>45539.0</v>
      </c>
      <c r="E133" s="352">
        <v>7103.0</v>
      </c>
      <c r="F133" s="328" t="str">
        <f t="shared" si="8"/>
        <v>DOWN</v>
      </c>
      <c r="G133" s="298">
        <f t="shared" si="18"/>
        <v>0.02183584401</v>
      </c>
      <c r="H133" s="350"/>
      <c r="I133" s="350"/>
      <c r="J133" s="350"/>
      <c r="K133" s="350"/>
      <c r="L133" s="350"/>
      <c r="M133" s="288"/>
      <c r="N133" s="288"/>
      <c r="O133" s="288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  <c r="AA133" s="294"/>
      <c r="AB133" s="294"/>
    </row>
    <row r="134">
      <c r="A134" s="339">
        <v>45508.0</v>
      </c>
      <c r="B134" s="69">
        <v>154.1</v>
      </c>
      <c r="C134" s="328" t="str">
        <f t="shared" si="3"/>
        <v>DOWN</v>
      </c>
      <c r="D134" s="339">
        <v>45508.0</v>
      </c>
      <c r="E134" s="337">
        <v>7178.0</v>
      </c>
      <c r="F134" s="328" t="str">
        <f t="shared" si="8"/>
        <v>UP</v>
      </c>
      <c r="G134" s="298">
        <f t="shared" si="18"/>
        <v>0.02146837559</v>
      </c>
      <c r="H134" s="350"/>
      <c r="I134" s="350"/>
      <c r="J134" s="350"/>
      <c r="K134" s="350"/>
      <c r="L134" s="350"/>
      <c r="M134" s="288"/>
      <c r="N134" s="288"/>
      <c r="O134" s="288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  <c r="AA134" s="294"/>
      <c r="AB134" s="294"/>
    </row>
    <row r="135">
      <c r="A135" s="339">
        <v>45416.0</v>
      </c>
      <c r="B135" s="69">
        <v>151.5</v>
      </c>
      <c r="C135" s="328" t="str">
        <f t="shared" si="3"/>
        <v>DOWN</v>
      </c>
      <c r="D135" s="339">
        <v>45416.0</v>
      </c>
      <c r="E135" s="337">
        <v>7282.0</v>
      </c>
      <c r="F135" s="328" t="str">
        <f t="shared" si="8"/>
        <v>UP</v>
      </c>
      <c r="G135" s="298">
        <f t="shared" si="18"/>
        <v>0.02080472398</v>
      </c>
      <c r="H135" s="350"/>
      <c r="I135" s="350"/>
      <c r="J135" s="350"/>
      <c r="K135" s="350"/>
      <c r="L135" s="350"/>
      <c r="M135" s="288"/>
      <c r="N135" s="288"/>
      <c r="O135" s="288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  <c r="AA135" s="294"/>
      <c r="AB135" s="294"/>
    </row>
    <row r="136">
      <c r="A136" s="339">
        <v>45386.0</v>
      </c>
      <c r="B136" s="69">
        <v>149.5</v>
      </c>
      <c r="C136" s="328" t="str">
        <f t="shared" si="3"/>
        <v>DOWN</v>
      </c>
      <c r="D136" s="339">
        <v>45386.0</v>
      </c>
      <c r="E136" s="337">
        <v>7120.0</v>
      </c>
      <c r="F136" s="328" t="str">
        <f t="shared" si="8"/>
        <v>DOWN</v>
      </c>
      <c r="G136" s="298">
        <f t="shared" si="18"/>
        <v>0.02099719101</v>
      </c>
      <c r="H136" s="350"/>
      <c r="I136" s="350"/>
      <c r="J136" s="350"/>
      <c r="K136" s="350"/>
      <c r="L136" s="350"/>
      <c r="M136" s="288"/>
      <c r="N136" s="288"/>
      <c r="O136" s="288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94"/>
      <c r="AB136" s="294"/>
    </row>
    <row r="137">
      <c r="A137" s="353"/>
      <c r="B137" s="288"/>
      <c r="C137" s="288"/>
      <c r="D137" s="288"/>
      <c r="E137" s="288"/>
      <c r="F137" s="350"/>
      <c r="G137" s="289"/>
      <c r="H137" s="350"/>
      <c r="I137" s="350"/>
      <c r="J137" s="350"/>
      <c r="K137" s="350"/>
      <c r="L137" s="350"/>
      <c r="M137" s="288"/>
      <c r="N137" s="288"/>
      <c r="O137" s="288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  <c r="AA137" s="294"/>
      <c r="AB137" s="294"/>
    </row>
    <row r="138">
      <c r="A138" s="353"/>
      <c r="B138" s="288"/>
      <c r="C138" s="288"/>
      <c r="D138" s="353"/>
      <c r="E138" s="288"/>
      <c r="F138" s="350"/>
      <c r="G138" s="289"/>
      <c r="H138" s="350"/>
      <c r="I138" s="350"/>
      <c r="J138" s="350"/>
      <c r="K138" s="350"/>
      <c r="L138" s="350"/>
      <c r="M138" s="288"/>
      <c r="N138" s="288"/>
      <c r="O138" s="288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  <c r="AA138" s="294"/>
      <c r="AB138" s="294"/>
    </row>
    <row r="139">
      <c r="A139" s="353"/>
      <c r="B139" s="288"/>
      <c r="C139" s="288"/>
      <c r="D139" s="353"/>
      <c r="E139" s="288"/>
      <c r="F139" s="350"/>
      <c r="G139" s="289"/>
      <c r="H139" s="350"/>
      <c r="I139" s="350"/>
      <c r="J139" s="350"/>
      <c r="K139" s="350"/>
      <c r="L139" s="350"/>
      <c r="M139" s="288"/>
      <c r="N139" s="288"/>
      <c r="O139" s="288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  <c r="AA139" s="294"/>
      <c r="AB139" s="294"/>
    </row>
    <row r="140">
      <c r="A140" s="353"/>
      <c r="B140" s="288"/>
      <c r="C140" s="288"/>
      <c r="D140" s="353"/>
      <c r="E140" s="288"/>
      <c r="F140" s="350"/>
      <c r="G140" s="289"/>
      <c r="H140" s="350"/>
      <c r="I140" s="350"/>
      <c r="J140" s="350"/>
      <c r="K140" s="350"/>
      <c r="L140" s="350"/>
      <c r="M140" s="288"/>
      <c r="N140" s="288"/>
      <c r="O140" s="288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  <c r="AA140" s="294"/>
      <c r="AB140" s="294"/>
    </row>
    <row r="141">
      <c r="A141" s="353"/>
      <c r="B141" s="288"/>
      <c r="C141" s="288"/>
      <c r="D141" s="353"/>
      <c r="E141" s="288"/>
      <c r="F141" s="350"/>
      <c r="G141" s="289"/>
      <c r="H141" s="350"/>
      <c r="I141" s="350"/>
      <c r="J141" s="350"/>
      <c r="K141" s="350"/>
      <c r="L141" s="350"/>
      <c r="M141" s="288"/>
      <c r="N141" s="288"/>
      <c r="O141" s="288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  <c r="AA141" s="294"/>
      <c r="AB141" s="294"/>
    </row>
    <row r="142">
      <c r="A142" s="353"/>
      <c r="B142" s="288"/>
      <c r="C142" s="288"/>
      <c r="D142" s="353"/>
      <c r="E142" s="288"/>
      <c r="F142" s="350"/>
      <c r="G142" s="289"/>
      <c r="H142" s="350"/>
      <c r="I142" s="350"/>
      <c r="J142" s="350"/>
      <c r="K142" s="350"/>
      <c r="L142" s="350"/>
      <c r="M142" s="288"/>
      <c r="N142" s="288"/>
      <c r="O142" s="288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94"/>
      <c r="AB142" s="294"/>
    </row>
    <row r="143">
      <c r="A143" s="353"/>
      <c r="B143" s="288"/>
      <c r="C143" s="288"/>
      <c r="D143" s="353"/>
      <c r="E143" s="288"/>
      <c r="F143" s="350"/>
      <c r="G143" s="289"/>
      <c r="H143" s="350"/>
      <c r="I143" s="350"/>
      <c r="J143" s="350"/>
      <c r="K143" s="350"/>
      <c r="L143" s="350"/>
      <c r="M143" s="288"/>
      <c r="N143" s="288"/>
      <c r="O143" s="288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94"/>
      <c r="AB143" s="294"/>
    </row>
    <row r="144">
      <c r="A144" s="353"/>
      <c r="B144" s="288"/>
      <c r="C144" s="288"/>
      <c r="D144" s="353"/>
      <c r="E144" s="288"/>
      <c r="F144" s="350"/>
      <c r="G144" s="289"/>
      <c r="H144" s="350"/>
      <c r="I144" s="350"/>
      <c r="J144" s="350"/>
      <c r="K144" s="350"/>
      <c r="L144" s="350"/>
      <c r="M144" s="288"/>
      <c r="N144" s="288"/>
      <c r="O144" s="288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  <c r="AA144" s="294"/>
      <c r="AB144" s="294"/>
    </row>
    <row r="145">
      <c r="A145" s="353"/>
      <c r="B145" s="288"/>
      <c r="C145" s="288"/>
      <c r="D145" s="353"/>
      <c r="E145" s="288"/>
      <c r="F145" s="350"/>
      <c r="G145" s="289"/>
      <c r="H145" s="350"/>
      <c r="I145" s="350"/>
      <c r="J145" s="350"/>
      <c r="K145" s="350"/>
      <c r="L145" s="350"/>
      <c r="M145" s="288"/>
      <c r="N145" s="288"/>
      <c r="O145" s="288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  <c r="AA145" s="294"/>
      <c r="AB145" s="294"/>
    </row>
    <row r="146">
      <c r="A146" s="353"/>
      <c r="B146" s="288"/>
      <c r="C146" s="288"/>
      <c r="D146" s="353"/>
      <c r="E146" s="288"/>
      <c r="F146" s="350"/>
      <c r="G146" s="289"/>
      <c r="H146" s="350"/>
      <c r="I146" s="350"/>
      <c r="J146" s="350"/>
      <c r="K146" s="350"/>
      <c r="L146" s="350"/>
      <c r="M146" s="288"/>
      <c r="N146" s="288"/>
      <c r="O146" s="288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  <c r="AA146" s="294"/>
      <c r="AB146" s="294"/>
    </row>
    <row r="147">
      <c r="A147" s="353"/>
      <c r="B147" s="288"/>
      <c r="C147" s="288"/>
      <c r="D147" s="353"/>
      <c r="E147" s="288"/>
      <c r="F147" s="350"/>
      <c r="G147" s="289"/>
      <c r="H147" s="350"/>
      <c r="I147" s="350"/>
      <c r="J147" s="350"/>
      <c r="K147" s="350"/>
      <c r="L147" s="350"/>
      <c r="M147" s="288"/>
      <c r="N147" s="288"/>
      <c r="O147" s="288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  <c r="AA147" s="294"/>
      <c r="AB147" s="294"/>
    </row>
    <row r="148">
      <c r="A148" s="353"/>
      <c r="B148" s="288"/>
      <c r="C148" s="288"/>
      <c r="D148" s="353"/>
      <c r="E148" s="288"/>
      <c r="F148" s="350"/>
      <c r="G148" s="289"/>
      <c r="H148" s="350"/>
      <c r="I148" s="350"/>
      <c r="J148" s="350"/>
      <c r="K148" s="350"/>
      <c r="L148" s="350"/>
      <c r="M148" s="350"/>
      <c r="N148" s="288"/>
      <c r="O148" s="288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294"/>
    </row>
    <row r="149">
      <c r="A149" s="353"/>
      <c r="B149" s="288"/>
      <c r="C149" s="288"/>
      <c r="D149" s="353"/>
      <c r="E149" s="288"/>
      <c r="F149" s="350"/>
      <c r="G149" s="289"/>
      <c r="H149" s="350"/>
      <c r="I149" s="350"/>
      <c r="J149" s="350"/>
      <c r="K149" s="350"/>
      <c r="L149" s="350"/>
      <c r="M149" s="350"/>
      <c r="N149" s="288"/>
      <c r="O149" s="288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294"/>
    </row>
    <row r="150">
      <c r="A150" s="353"/>
      <c r="B150" s="288"/>
      <c r="C150" s="288"/>
      <c r="D150" s="353"/>
      <c r="E150" s="288"/>
      <c r="F150" s="350"/>
      <c r="G150" s="289"/>
      <c r="H150" s="350"/>
      <c r="I150" s="350"/>
      <c r="J150" s="350"/>
      <c r="K150" s="350"/>
      <c r="L150" s="350"/>
      <c r="M150" s="350"/>
      <c r="N150" s="288"/>
      <c r="O150" s="288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294"/>
    </row>
    <row r="151">
      <c r="A151" s="353"/>
      <c r="B151" s="288"/>
      <c r="C151" s="288"/>
      <c r="D151" s="353"/>
      <c r="E151" s="288"/>
      <c r="F151" s="350"/>
      <c r="G151" s="289"/>
      <c r="H151" s="350"/>
      <c r="I151" s="350"/>
      <c r="J151" s="350"/>
      <c r="K151" s="350"/>
      <c r="L151" s="350"/>
      <c r="M151" s="350"/>
      <c r="N151" s="288"/>
      <c r="O151" s="288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  <c r="AA151" s="294"/>
      <c r="AB151" s="294"/>
    </row>
    <row r="152">
      <c r="A152" s="353"/>
      <c r="B152" s="288"/>
      <c r="C152" s="288"/>
      <c r="D152" s="353"/>
      <c r="E152" s="288"/>
      <c r="F152" s="350"/>
      <c r="G152" s="289"/>
      <c r="H152" s="350"/>
      <c r="I152" s="350"/>
      <c r="J152" s="350"/>
      <c r="K152" s="350"/>
      <c r="L152" s="350"/>
      <c r="M152" s="350"/>
      <c r="N152" s="288"/>
      <c r="O152" s="288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  <c r="AA152" s="294"/>
      <c r="AB152" s="294"/>
    </row>
    <row r="153">
      <c r="A153" s="353"/>
      <c r="B153" s="288"/>
      <c r="C153" s="288"/>
      <c r="D153" s="353"/>
      <c r="E153" s="288"/>
      <c r="F153" s="350"/>
      <c r="G153" s="289"/>
      <c r="H153" s="350"/>
      <c r="I153" s="350"/>
      <c r="J153" s="350"/>
      <c r="K153" s="350"/>
      <c r="L153" s="350"/>
      <c r="M153" s="350"/>
      <c r="N153" s="288"/>
      <c r="O153" s="288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  <c r="AA153" s="294"/>
      <c r="AB153" s="294"/>
    </row>
    <row r="154">
      <c r="A154" s="353"/>
      <c r="B154" s="288"/>
      <c r="C154" s="288"/>
      <c r="D154" s="353"/>
      <c r="E154" s="288"/>
      <c r="F154" s="350"/>
      <c r="G154" s="289"/>
      <c r="H154" s="350"/>
      <c r="I154" s="350"/>
      <c r="J154" s="350"/>
      <c r="K154" s="350"/>
      <c r="L154" s="350"/>
      <c r="M154" s="350"/>
      <c r="N154" s="288"/>
      <c r="O154" s="288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94"/>
      <c r="AB154" s="294"/>
    </row>
    <row r="155">
      <c r="A155" s="353"/>
      <c r="B155" s="288"/>
      <c r="C155" s="288"/>
      <c r="D155" s="353"/>
      <c r="E155" s="288"/>
      <c r="F155" s="350"/>
      <c r="G155" s="289"/>
      <c r="H155" s="350"/>
      <c r="I155" s="350"/>
      <c r="J155" s="350"/>
      <c r="K155" s="350"/>
      <c r="L155" s="350"/>
      <c r="M155" s="350"/>
      <c r="N155" s="288"/>
      <c r="O155" s="288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94"/>
      <c r="AB155" s="294"/>
    </row>
    <row r="156">
      <c r="A156" s="353"/>
      <c r="B156" s="288"/>
      <c r="C156" s="288"/>
      <c r="D156" s="353"/>
      <c r="E156" s="288"/>
      <c r="F156" s="350"/>
      <c r="G156" s="289"/>
      <c r="H156" s="350"/>
      <c r="I156" s="350"/>
      <c r="J156" s="350"/>
      <c r="K156" s="350"/>
      <c r="L156" s="350"/>
      <c r="M156" s="350"/>
      <c r="N156" s="288"/>
      <c r="O156" s="288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  <c r="AA156" s="294"/>
      <c r="AB156" s="294"/>
    </row>
    <row r="157">
      <c r="A157" s="353"/>
      <c r="B157" s="288"/>
      <c r="C157" s="288"/>
      <c r="D157" s="353"/>
      <c r="E157" s="288"/>
      <c r="F157" s="350"/>
      <c r="G157" s="289"/>
      <c r="H157" s="350"/>
      <c r="I157" s="350"/>
      <c r="J157" s="350"/>
      <c r="K157" s="350"/>
      <c r="L157" s="350"/>
      <c r="M157" s="350"/>
      <c r="N157" s="288"/>
      <c r="O157" s="288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  <c r="AA157" s="294"/>
      <c r="AB157" s="294"/>
    </row>
    <row r="158">
      <c r="A158" s="353"/>
      <c r="B158" s="288"/>
      <c r="C158" s="288"/>
      <c r="D158" s="353"/>
      <c r="E158" s="288"/>
      <c r="F158" s="350"/>
      <c r="G158" s="289"/>
      <c r="H158" s="350"/>
      <c r="I158" s="350"/>
      <c r="J158" s="350"/>
      <c r="K158" s="350"/>
      <c r="L158" s="350"/>
      <c r="M158" s="350"/>
      <c r="N158" s="288"/>
      <c r="O158" s="288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  <c r="AA158" s="294"/>
      <c r="AB158" s="294"/>
    </row>
    <row r="159">
      <c r="A159" s="353"/>
      <c r="B159" s="288"/>
      <c r="C159" s="288"/>
      <c r="D159" s="353"/>
      <c r="E159" s="288"/>
      <c r="F159" s="350"/>
      <c r="G159" s="289"/>
      <c r="H159" s="350"/>
      <c r="I159" s="350"/>
      <c r="J159" s="350"/>
      <c r="K159" s="350"/>
      <c r="L159" s="350"/>
      <c r="M159" s="350"/>
      <c r="N159" s="288"/>
      <c r="O159" s="288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  <c r="AA159" s="294"/>
      <c r="AB159" s="294"/>
    </row>
    <row r="160">
      <c r="A160" s="353"/>
      <c r="B160" s="288"/>
      <c r="C160" s="288"/>
      <c r="D160" s="353"/>
      <c r="E160" s="288"/>
      <c r="F160" s="350"/>
      <c r="G160" s="289"/>
      <c r="H160" s="350"/>
      <c r="I160" s="350"/>
      <c r="J160" s="350"/>
      <c r="K160" s="350"/>
      <c r="L160" s="350"/>
      <c r="M160" s="350"/>
      <c r="N160" s="288"/>
      <c r="O160" s="288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94"/>
      <c r="AB160" s="294"/>
    </row>
    <row r="161">
      <c r="A161" s="353"/>
      <c r="B161" s="288"/>
      <c r="C161" s="288"/>
      <c r="D161" s="353"/>
      <c r="E161" s="288"/>
      <c r="F161" s="350"/>
      <c r="G161" s="289"/>
      <c r="H161" s="350"/>
      <c r="I161" s="350"/>
      <c r="J161" s="350"/>
      <c r="K161" s="350"/>
      <c r="L161" s="350"/>
      <c r="M161" s="350"/>
      <c r="N161" s="288"/>
      <c r="O161" s="288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94"/>
      <c r="AB161" s="294"/>
    </row>
    <row r="162">
      <c r="A162" s="353"/>
      <c r="B162" s="288"/>
      <c r="C162" s="288"/>
      <c r="D162" s="353"/>
      <c r="E162" s="288"/>
      <c r="F162" s="350"/>
      <c r="G162" s="289"/>
      <c r="H162" s="350"/>
      <c r="I162" s="350"/>
      <c r="J162" s="350"/>
      <c r="K162" s="350"/>
      <c r="L162" s="350"/>
      <c r="M162" s="350"/>
      <c r="N162" s="288"/>
      <c r="O162" s="288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  <c r="AA162" s="294"/>
      <c r="AB162" s="294"/>
    </row>
    <row r="163">
      <c r="A163" s="353"/>
      <c r="B163" s="288"/>
      <c r="C163" s="288"/>
      <c r="D163" s="353"/>
      <c r="E163" s="288"/>
      <c r="F163" s="350"/>
      <c r="G163" s="289"/>
      <c r="H163" s="350"/>
      <c r="I163" s="350"/>
      <c r="J163" s="350"/>
      <c r="K163" s="350"/>
      <c r="L163" s="350"/>
      <c r="M163" s="350"/>
      <c r="N163" s="288"/>
      <c r="O163" s="288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  <c r="AA163" s="294"/>
      <c r="AB163" s="294"/>
    </row>
    <row r="164">
      <c r="A164" s="353"/>
      <c r="B164" s="288"/>
      <c r="C164" s="288"/>
      <c r="D164" s="353"/>
      <c r="E164" s="288"/>
      <c r="F164" s="350"/>
      <c r="G164" s="289"/>
      <c r="H164" s="350"/>
      <c r="I164" s="350"/>
      <c r="J164" s="350"/>
      <c r="K164" s="350"/>
      <c r="L164" s="350"/>
      <c r="M164" s="350"/>
      <c r="N164" s="288"/>
      <c r="O164" s="288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  <c r="AA164" s="294"/>
      <c r="AB164" s="294"/>
    </row>
    <row r="165">
      <c r="A165" s="353"/>
      <c r="B165" s="288"/>
      <c r="C165" s="288"/>
      <c r="D165" s="353"/>
      <c r="E165" s="288"/>
      <c r="F165" s="350"/>
      <c r="G165" s="289"/>
      <c r="H165" s="350"/>
      <c r="I165" s="350"/>
      <c r="J165" s="350"/>
      <c r="K165" s="350"/>
      <c r="L165" s="350"/>
      <c r="M165" s="350"/>
      <c r="N165" s="288"/>
      <c r="O165" s="288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94"/>
      <c r="AB165" s="294"/>
    </row>
    <row r="166">
      <c r="A166" s="353"/>
      <c r="B166" s="288"/>
      <c r="C166" s="288"/>
      <c r="D166" s="353"/>
      <c r="E166" s="288"/>
      <c r="F166" s="350"/>
      <c r="G166" s="289"/>
      <c r="H166" s="350"/>
      <c r="I166" s="350"/>
      <c r="J166" s="350"/>
      <c r="K166" s="350"/>
      <c r="L166" s="350"/>
      <c r="M166" s="350"/>
      <c r="N166" s="288"/>
      <c r="O166" s="288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94"/>
      <c r="AB166" s="294"/>
    </row>
    <row r="167">
      <c r="A167" s="353"/>
      <c r="B167" s="288"/>
      <c r="C167" s="288"/>
      <c r="D167" s="353"/>
      <c r="E167" s="288"/>
      <c r="F167" s="350"/>
      <c r="G167" s="289"/>
      <c r="H167" s="350"/>
      <c r="I167" s="350"/>
      <c r="J167" s="350"/>
      <c r="K167" s="350"/>
      <c r="L167" s="350"/>
      <c r="M167" s="350"/>
      <c r="N167" s="288"/>
      <c r="O167" s="288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  <c r="AA167" s="294"/>
      <c r="AB167" s="294"/>
    </row>
    <row r="168">
      <c r="A168" s="353"/>
      <c r="B168" s="288"/>
      <c r="C168" s="288"/>
      <c r="D168" s="353"/>
      <c r="E168" s="288"/>
      <c r="F168" s="350"/>
      <c r="G168" s="289"/>
      <c r="H168" s="350"/>
      <c r="I168" s="350"/>
      <c r="J168" s="350"/>
      <c r="K168" s="350"/>
      <c r="L168" s="350"/>
      <c r="M168" s="350"/>
      <c r="N168" s="288"/>
      <c r="O168" s="288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  <c r="AA168" s="294"/>
      <c r="AB168" s="294"/>
    </row>
    <row r="169">
      <c r="A169" s="353"/>
      <c r="B169" s="288"/>
      <c r="C169" s="288"/>
      <c r="D169" s="353"/>
      <c r="E169" s="288"/>
      <c r="F169" s="350"/>
      <c r="G169" s="289"/>
      <c r="H169" s="350"/>
      <c r="I169" s="350"/>
      <c r="J169" s="350"/>
      <c r="K169" s="350"/>
      <c r="L169" s="350"/>
      <c r="M169" s="350"/>
      <c r="N169" s="288"/>
      <c r="O169" s="288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  <c r="AA169" s="294"/>
      <c r="AB169" s="294"/>
    </row>
    <row r="170">
      <c r="A170" s="353"/>
      <c r="B170" s="288"/>
      <c r="C170" s="288"/>
      <c r="D170" s="353"/>
      <c r="E170" s="288"/>
      <c r="F170" s="350"/>
      <c r="G170" s="289"/>
      <c r="H170" s="350"/>
      <c r="I170" s="350"/>
      <c r="J170" s="350"/>
      <c r="K170" s="350"/>
      <c r="L170" s="350"/>
      <c r="M170" s="350"/>
      <c r="N170" s="288"/>
      <c r="O170" s="288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94"/>
      <c r="AB170" s="294"/>
    </row>
    <row r="171">
      <c r="A171" s="353"/>
      <c r="B171" s="288"/>
      <c r="C171" s="288"/>
      <c r="D171" s="353"/>
      <c r="E171" s="288"/>
      <c r="F171" s="350"/>
      <c r="G171" s="289"/>
      <c r="H171" s="350"/>
      <c r="I171" s="350"/>
      <c r="J171" s="350"/>
      <c r="K171" s="350"/>
      <c r="L171" s="350"/>
      <c r="M171" s="350"/>
      <c r="N171" s="288"/>
      <c r="O171" s="288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94"/>
      <c r="AB171" s="294"/>
    </row>
    <row r="172">
      <c r="A172" s="353"/>
      <c r="B172" s="288"/>
      <c r="C172" s="288"/>
      <c r="D172" s="353"/>
      <c r="E172" s="288"/>
      <c r="F172" s="350"/>
      <c r="G172" s="289"/>
      <c r="H172" s="350"/>
      <c r="I172" s="350"/>
      <c r="J172" s="350"/>
      <c r="K172" s="350"/>
      <c r="L172" s="350"/>
      <c r="M172" s="350"/>
      <c r="N172" s="288"/>
      <c r="O172" s="288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  <c r="AA172" s="294"/>
      <c r="AB172" s="294"/>
    </row>
    <row r="173">
      <c r="A173" s="353"/>
      <c r="B173" s="288"/>
      <c r="C173" s="288"/>
      <c r="D173" s="353"/>
      <c r="E173" s="288"/>
      <c r="F173" s="350"/>
      <c r="G173" s="289"/>
      <c r="H173" s="350"/>
      <c r="I173" s="350"/>
      <c r="J173" s="350"/>
      <c r="K173" s="350"/>
      <c r="L173" s="350"/>
      <c r="M173" s="350"/>
      <c r="N173" s="288"/>
      <c r="O173" s="288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294"/>
    </row>
    <row r="174">
      <c r="A174" s="353"/>
      <c r="B174" s="288"/>
      <c r="C174" s="288"/>
      <c r="D174" s="353"/>
      <c r="E174" s="288"/>
      <c r="F174" s="350"/>
      <c r="G174" s="289"/>
      <c r="H174" s="350"/>
      <c r="I174" s="350"/>
      <c r="J174" s="350"/>
      <c r="K174" s="350"/>
      <c r="L174" s="350"/>
      <c r="M174" s="350"/>
      <c r="N174" s="288"/>
      <c r="O174" s="288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294"/>
    </row>
    <row r="175">
      <c r="A175" s="353"/>
      <c r="B175" s="288"/>
      <c r="C175" s="288"/>
      <c r="D175" s="353"/>
      <c r="E175" s="288"/>
      <c r="F175" s="350"/>
      <c r="G175" s="289"/>
      <c r="H175" s="350"/>
      <c r="I175" s="350"/>
      <c r="J175" s="350"/>
      <c r="K175" s="350"/>
      <c r="L175" s="350"/>
      <c r="M175" s="350"/>
      <c r="N175" s="288"/>
      <c r="O175" s="288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294"/>
    </row>
    <row r="176">
      <c r="A176" s="353"/>
      <c r="B176" s="288"/>
      <c r="C176" s="288"/>
      <c r="D176" s="353"/>
      <c r="E176" s="288"/>
      <c r="F176" s="350"/>
      <c r="G176" s="289"/>
      <c r="H176" s="350"/>
      <c r="I176" s="350"/>
      <c r="J176" s="350"/>
      <c r="K176" s="350"/>
      <c r="L176" s="350"/>
      <c r="M176" s="350"/>
      <c r="N176" s="288"/>
      <c r="O176" s="288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94"/>
      <c r="AB176" s="294"/>
    </row>
    <row r="177">
      <c r="A177" s="353"/>
      <c r="B177" s="288"/>
      <c r="C177" s="288"/>
      <c r="D177" s="353"/>
      <c r="E177" s="288"/>
      <c r="F177" s="350"/>
      <c r="G177" s="289"/>
      <c r="H177" s="350"/>
      <c r="I177" s="350"/>
      <c r="J177" s="350"/>
      <c r="K177" s="350"/>
      <c r="L177" s="350"/>
      <c r="M177" s="350"/>
      <c r="N177" s="288"/>
      <c r="O177" s="288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94"/>
      <c r="AB177" s="294"/>
    </row>
    <row r="178">
      <c r="A178" s="353"/>
      <c r="B178" s="288"/>
      <c r="C178" s="288"/>
      <c r="D178" s="353"/>
      <c r="E178" s="288"/>
      <c r="F178" s="350"/>
      <c r="G178" s="289"/>
      <c r="H178" s="350"/>
      <c r="I178" s="350"/>
      <c r="J178" s="350"/>
      <c r="K178" s="350"/>
      <c r="L178" s="350"/>
      <c r="M178" s="350"/>
      <c r="N178" s="288"/>
      <c r="O178" s="288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  <c r="AA178" s="294"/>
      <c r="AB178" s="294"/>
    </row>
    <row r="179">
      <c r="A179" s="353"/>
      <c r="B179" s="288"/>
      <c r="C179" s="288"/>
      <c r="D179" s="353"/>
      <c r="E179" s="288"/>
      <c r="F179" s="350"/>
      <c r="G179" s="289"/>
      <c r="H179" s="350"/>
      <c r="I179" s="350"/>
      <c r="J179" s="350"/>
      <c r="K179" s="350"/>
      <c r="L179" s="350"/>
      <c r="M179" s="350"/>
      <c r="N179" s="288"/>
      <c r="O179" s="288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  <c r="AA179" s="294"/>
      <c r="AB179" s="294"/>
    </row>
    <row r="180">
      <c r="A180" s="353"/>
      <c r="B180" s="288"/>
      <c r="C180" s="288"/>
      <c r="D180" s="353"/>
      <c r="E180" s="288"/>
      <c r="F180" s="350"/>
      <c r="G180" s="289"/>
      <c r="H180" s="350"/>
      <c r="I180" s="350"/>
      <c r="J180" s="350"/>
      <c r="K180" s="350"/>
      <c r="L180" s="350"/>
      <c r="M180" s="350"/>
      <c r="N180" s="288"/>
      <c r="O180" s="288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  <c r="AA180" s="294"/>
      <c r="AB180" s="294"/>
    </row>
    <row r="181">
      <c r="A181" s="353"/>
      <c r="B181" s="288"/>
      <c r="C181" s="288"/>
      <c r="D181" s="353"/>
      <c r="E181" s="288"/>
      <c r="F181" s="350"/>
      <c r="G181" s="289"/>
      <c r="H181" s="350"/>
      <c r="I181" s="350"/>
      <c r="J181" s="350"/>
      <c r="K181" s="350"/>
      <c r="L181" s="350"/>
      <c r="M181" s="350"/>
      <c r="N181" s="288"/>
      <c r="O181" s="288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94"/>
      <c r="AB181" s="294"/>
    </row>
    <row r="182">
      <c r="A182" s="353"/>
      <c r="B182" s="288"/>
      <c r="C182" s="288"/>
      <c r="D182" s="353"/>
      <c r="E182" s="288"/>
      <c r="F182" s="350"/>
      <c r="G182" s="289"/>
      <c r="H182" s="350"/>
      <c r="I182" s="350"/>
      <c r="J182" s="350"/>
      <c r="K182" s="350"/>
      <c r="L182" s="350"/>
      <c r="M182" s="350"/>
      <c r="N182" s="288"/>
      <c r="O182" s="288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  <c r="AA182" s="294"/>
      <c r="AB182" s="294"/>
    </row>
    <row r="183">
      <c r="A183" s="353"/>
      <c r="B183" s="288"/>
      <c r="C183" s="288"/>
      <c r="D183" s="353"/>
      <c r="E183" s="288"/>
      <c r="F183" s="350"/>
      <c r="G183" s="289"/>
      <c r="H183" s="350"/>
      <c r="I183" s="350"/>
      <c r="J183" s="350"/>
      <c r="K183" s="350"/>
      <c r="L183" s="350"/>
      <c r="M183" s="350"/>
      <c r="N183" s="288"/>
      <c r="O183" s="288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  <c r="AA183" s="294"/>
      <c r="AB183" s="294"/>
    </row>
    <row r="184">
      <c r="A184" s="353"/>
      <c r="B184" s="288"/>
      <c r="C184" s="288"/>
      <c r="D184" s="353"/>
      <c r="E184" s="288"/>
      <c r="F184" s="350"/>
      <c r="G184" s="289"/>
      <c r="H184" s="350"/>
      <c r="I184" s="350"/>
      <c r="J184" s="350"/>
      <c r="K184" s="350"/>
      <c r="L184" s="350"/>
      <c r="M184" s="350"/>
      <c r="N184" s="288"/>
      <c r="O184" s="288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  <c r="AA184" s="294"/>
      <c r="AB184" s="294"/>
    </row>
    <row r="185">
      <c r="A185" s="353"/>
      <c r="B185" s="288"/>
      <c r="C185" s="288"/>
      <c r="D185" s="353"/>
      <c r="E185" s="288"/>
      <c r="F185" s="350"/>
      <c r="G185" s="289"/>
      <c r="H185" s="350"/>
      <c r="I185" s="350"/>
      <c r="J185" s="350"/>
      <c r="K185" s="350"/>
      <c r="L185" s="350"/>
      <c r="M185" s="350"/>
      <c r="N185" s="288"/>
      <c r="O185" s="288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94"/>
      <c r="AB185" s="294"/>
    </row>
    <row r="186">
      <c r="A186" s="353"/>
      <c r="B186" s="288"/>
      <c r="C186" s="288"/>
      <c r="D186" s="353"/>
      <c r="E186" s="288"/>
      <c r="F186" s="350"/>
      <c r="G186" s="289"/>
      <c r="H186" s="350"/>
      <c r="I186" s="350"/>
      <c r="J186" s="350"/>
      <c r="K186" s="350"/>
      <c r="L186" s="350"/>
      <c r="M186" s="350"/>
      <c r="N186" s="288"/>
      <c r="O186" s="288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94"/>
      <c r="AB186" s="294"/>
    </row>
    <row r="187">
      <c r="A187" s="353"/>
      <c r="B187" s="288"/>
      <c r="C187" s="288"/>
      <c r="D187" s="353"/>
      <c r="E187" s="288"/>
      <c r="F187" s="350"/>
      <c r="G187" s="289"/>
      <c r="H187" s="350"/>
      <c r="I187" s="350"/>
      <c r="J187" s="350"/>
      <c r="K187" s="350"/>
      <c r="L187" s="350"/>
      <c r="M187" s="350"/>
      <c r="N187" s="288"/>
      <c r="O187" s="288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  <c r="AA187" s="294"/>
      <c r="AB187" s="294"/>
    </row>
    <row r="188">
      <c r="A188" s="353"/>
      <c r="B188" s="288"/>
      <c r="C188" s="288"/>
      <c r="D188" s="353"/>
      <c r="E188" s="288"/>
      <c r="F188" s="350"/>
      <c r="G188" s="289"/>
      <c r="H188" s="350"/>
      <c r="I188" s="350"/>
      <c r="J188" s="350"/>
      <c r="K188" s="350"/>
      <c r="L188" s="350"/>
      <c r="M188" s="350"/>
      <c r="N188" s="288"/>
      <c r="O188" s="288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294"/>
      <c r="AB188" s="294"/>
    </row>
    <row r="189">
      <c r="A189" s="353"/>
      <c r="B189" s="288"/>
      <c r="C189" s="288"/>
      <c r="D189" s="353"/>
      <c r="E189" s="288"/>
      <c r="F189" s="350"/>
      <c r="G189" s="289"/>
      <c r="H189" s="350"/>
      <c r="I189" s="350"/>
      <c r="J189" s="350"/>
      <c r="K189" s="350"/>
      <c r="L189" s="350"/>
      <c r="M189" s="350"/>
      <c r="N189" s="288"/>
      <c r="O189" s="288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  <c r="AA189" s="294"/>
      <c r="AB189" s="294"/>
    </row>
    <row r="190">
      <c r="A190" s="353"/>
      <c r="B190" s="288"/>
      <c r="C190" s="288"/>
      <c r="D190" s="353"/>
      <c r="E190" s="288"/>
      <c r="F190" s="350"/>
      <c r="G190" s="289"/>
      <c r="H190" s="350"/>
      <c r="I190" s="350"/>
      <c r="J190" s="350"/>
      <c r="K190" s="350"/>
      <c r="L190" s="350"/>
      <c r="M190" s="350"/>
      <c r="N190" s="288"/>
      <c r="O190" s="288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  <c r="AA190" s="294"/>
      <c r="AB190" s="294"/>
    </row>
    <row r="191">
      <c r="A191" s="353"/>
      <c r="B191" s="288"/>
      <c r="C191" s="288"/>
      <c r="D191" s="353"/>
      <c r="E191" s="288"/>
      <c r="F191" s="350"/>
      <c r="G191" s="289"/>
      <c r="H191" s="350"/>
      <c r="I191" s="350"/>
      <c r="J191" s="350"/>
      <c r="K191" s="350"/>
      <c r="L191" s="350"/>
      <c r="M191" s="350"/>
      <c r="N191" s="288"/>
      <c r="O191" s="288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94"/>
      <c r="AB191" s="294"/>
    </row>
    <row r="192">
      <c r="A192" s="353"/>
      <c r="B192" s="288"/>
      <c r="C192" s="288"/>
      <c r="D192" s="353"/>
      <c r="E192" s="288"/>
      <c r="F192" s="350"/>
      <c r="G192" s="289"/>
      <c r="H192" s="350"/>
      <c r="I192" s="350"/>
      <c r="J192" s="350"/>
      <c r="K192" s="350"/>
      <c r="L192" s="350"/>
      <c r="M192" s="350"/>
      <c r="N192" s="288"/>
      <c r="O192" s="288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94"/>
      <c r="AB192" s="294"/>
    </row>
    <row r="193">
      <c r="A193" s="353"/>
      <c r="B193" s="288"/>
      <c r="C193" s="288"/>
      <c r="D193" s="353"/>
      <c r="E193" s="288"/>
      <c r="F193" s="350"/>
      <c r="G193" s="289"/>
      <c r="H193" s="350"/>
      <c r="I193" s="350"/>
      <c r="J193" s="350"/>
      <c r="K193" s="350"/>
      <c r="L193" s="350"/>
      <c r="M193" s="350"/>
      <c r="N193" s="288"/>
      <c r="O193" s="288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  <c r="AA193" s="294"/>
      <c r="AB193" s="294"/>
    </row>
    <row r="194">
      <c r="A194" s="353"/>
      <c r="B194" s="288"/>
      <c r="C194" s="288"/>
      <c r="D194" s="353"/>
      <c r="E194" s="288"/>
      <c r="F194" s="350"/>
      <c r="G194" s="289"/>
      <c r="H194" s="350"/>
      <c r="I194" s="350"/>
      <c r="J194" s="350"/>
      <c r="K194" s="350"/>
      <c r="L194" s="350"/>
      <c r="M194" s="350"/>
      <c r="N194" s="288"/>
      <c r="O194" s="288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  <c r="AA194" s="294"/>
      <c r="AB194" s="294"/>
    </row>
    <row r="195">
      <c r="A195" s="353"/>
      <c r="B195" s="288"/>
      <c r="C195" s="288"/>
      <c r="D195" s="353"/>
      <c r="E195" s="288"/>
      <c r="F195" s="350"/>
      <c r="G195" s="289"/>
      <c r="H195" s="350"/>
      <c r="I195" s="350"/>
      <c r="J195" s="350"/>
      <c r="K195" s="350"/>
      <c r="L195" s="350"/>
      <c r="M195" s="350"/>
      <c r="N195" s="288"/>
      <c r="O195" s="288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  <c r="AA195" s="294"/>
      <c r="AB195" s="294"/>
    </row>
    <row r="196">
      <c r="A196" s="353"/>
      <c r="B196" s="288"/>
      <c r="C196" s="288"/>
      <c r="D196" s="353"/>
      <c r="E196" s="288"/>
      <c r="F196" s="350"/>
      <c r="G196" s="289"/>
      <c r="H196" s="350"/>
      <c r="I196" s="350"/>
      <c r="J196" s="350"/>
      <c r="K196" s="350"/>
      <c r="L196" s="350"/>
      <c r="M196" s="350"/>
      <c r="N196" s="288"/>
      <c r="O196" s="288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294"/>
      <c r="AB196" s="294"/>
    </row>
    <row r="197">
      <c r="A197" s="353"/>
      <c r="B197" s="288"/>
      <c r="C197" s="288"/>
      <c r="D197" s="353"/>
      <c r="E197" s="288"/>
      <c r="F197" s="350"/>
      <c r="G197" s="289"/>
      <c r="H197" s="350"/>
      <c r="I197" s="350"/>
      <c r="J197" s="350"/>
      <c r="K197" s="350"/>
      <c r="L197" s="350"/>
      <c r="M197" s="350"/>
      <c r="N197" s="288"/>
      <c r="O197" s="288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94"/>
      <c r="AB197" s="294"/>
    </row>
    <row r="198">
      <c r="A198" s="353"/>
      <c r="B198" s="288"/>
      <c r="C198" s="288"/>
      <c r="D198" s="353"/>
      <c r="E198" s="288"/>
      <c r="F198" s="350"/>
      <c r="G198" s="289"/>
      <c r="H198" s="350"/>
      <c r="I198" s="350"/>
      <c r="J198" s="350"/>
      <c r="K198" s="350"/>
      <c r="L198" s="350"/>
      <c r="M198" s="350"/>
      <c r="N198" s="288"/>
      <c r="O198" s="288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4"/>
      <c r="AB198" s="294"/>
    </row>
    <row r="199">
      <c r="A199" s="353"/>
      <c r="B199" s="288"/>
      <c r="C199" s="288"/>
      <c r="D199" s="353"/>
      <c r="E199" s="288"/>
      <c r="F199" s="350"/>
      <c r="G199" s="289"/>
      <c r="H199" s="350"/>
      <c r="I199" s="350"/>
      <c r="J199" s="350"/>
      <c r="K199" s="350"/>
      <c r="L199" s="350"/>
      <c r="M199" s="350"/>
      <c r="N199" s="288"/>
      <c r="O199" s="288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294"/>
    </row>
    <row r="200">
      <c r="A200" s="353"/>
      <c r="B200" s="288"/>
      <c r="C200" s="288"/>
      <c r="D200" s="353"/>
      <c r="E200" s="288"/>
      <c r="F200" s="350"/>
      <c r="G200" s="289"/>
      <c r="H200" s="350"/>
      <c r="I200" s="350"/>
      <c r="J200" s="350"/>
      <c r="K200" s="350"/>
      <c r="L200" s="350"/>
      <c r="M200" s="350"/>
      <c r="N200" s="288"/>
      <c r="O200" s="288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294"/>
    </row>
    <row r="201">
      <c r="A201" s="353"/>
      <c r="B201" s="288"/>
      <c r="C201" s="288"/>
      <c r="D201" s="353"/>
      <c r="E201" s="288"/>
      <c r="F201" s="350"/>
      <c r="G201" s="289"/>
      <c r="H201" s="350"/>
      <c r="I201" s="350"/>
      <c r="J201" s="350"/>
      <c r="K201" s="350"/>
      <c r="L201" s="350"/>
      <c r="M201" s="350"/>
      <c r="N201" s="288"/>
      <c r="O201" s="288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  <c r="AA201" s="294"/>
      <c r="AB201" s="294"/>
    </row>
    <row r="202">
      <c r="A202" s="353"/>
      <c r="B202" s="288"/>
      <c r="C202" s="288"/>
      <c r="D202" s="353"/>
      <c r="E202" s="288"/>
      <c r="F202" s="350"/>
      <c r="G202" s="289"/>
      <c r="H202" s="350"/>
      <c r="I202" s="350"/>
      <c r="J202" s="350"/>
      <c r="K202" s="350"/>
      <c r="L202" s="350"/>
      <c r="M202" s="350"/>
      <c r="N202" s="288"/>
      <c r="O202" s="288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  <c r="AA202" s="294"/>
      <c r="AB202" s="294"/>
    </row>
    <row r="203">
      <c r="A203" s="353"/>
      <c r="B203" s="288"/>
      <c r="C203" s="288"/>
      <c r="D203" s="353"/>
      <c r="E203" s="288"/>
      <c r="F203" s="350"/>
      <c r="G203" s="289"/>
      <c r="H203" s="350"/>
      <c r="I203" s="350"/>
      <c r="J203" s="350"/>
      <c r="K203" s="350"/>
      <c r="L203" s="350"/>
      <c r="M203" s="350"/>
      <c r="N203" s="288"/>
      <c r="O203" s="288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  <c r="AA203" s="294"/>
      <c r="AB203" s="294"/>
    </row>
    <row r="204">
      <c r="A204" s="353"/>
      <c r="B204" s="288"/>
      <c r="C204" s="288"/>
      <c r="D204" s="353"/>
      <c r="E204" s="288"/>
      <c r="F204" s="350"/>
      <c r="G204" s="289"/>
      <c r="H204" s="350"/>
      <c r="I204" s="350"/>
      <c r="J204" s="350"/>
      <c r="K204" s="350"/>
      <c r="L204" s="350"/>
      <c r="M204" s="350"/>
      <c r="N204" s="288"/>
      <c r="O204" s="288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  <c r="AA204" s="294"/>
      <c r="AB204" s="294"/>
    </row>
    <row r="205">
      <c r="A205" s="353"/>
      <c r="B205" s="288"/>
      <c r="C205" s="288"/>
      <c r="D205" s="353"/>
      <c r="E205" s="288"/>
      <c r="F205" s="350"/>
      <c r="G205" s="289"/>
      <c r="H205" s="350"/>
      <c r="I205" s="350"/>
      <c r="J205" s="350"/>
      <c r="K205" s="350"/>
      <c r="L205" s="350"/>
      <c r="M205" s="350"/>
      <c r="N205" s="288"/>
      <c r="O205" s="288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294"/>
      <c r="AB205" s="294"/>
    </row>
    <row r="206">
      <c r="A206" s="353"/>
      <c r="B206" s="288"/>
      <c r="C206" s="288"/>
      <c r="D206" s="353"/>
      <c r="E206" s="288"/>
      <c r="F206" s="350"/>
      <c r="G206" s="289"/>
      <c r="H206" s="350"/>
      <c r="I206" s="350"/>
      <c r="J206" s="350"/>
      <c r="K206" s="350"/>
      <c r="L206" s="350"/>
      <c r="M206" s="350"/>
      <c r="N206" s="288"/>
      <c r="O206" s="288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94"/>
      <c r="AB206" s="294"/>
    </row>
    <row r="207">
      <c r="A207" s="353"/>
      <c r="B207" s="288"/>
      <c r="C207" s="288"/>
      <c r="D207" s="353"/>
      <c r="E207" s="288"/>
      <c r="F207" s="350"/>
      <c r="G207" s="289"/>
      <c r="H207" s="350"/>
      <c r="I207" s="350"/>
      <c r="J207" s="350"/>
      <c r="K207" s="350"/>
      <c r="L207" s="350"/>
      <c r="M207" s="350"/>
      <c r="N207" s="288"/>
      <c r="O207" s="288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94"/>
      <c r="AB207" s="294"/>
    </row>
    <row r="208">
      <c r="A208" s="353"/>
      <c r="B208" s="288"/>
      <c r="C208" s="288"/>
      <c r="D208" s="353"/>
      <c r="E208" s="288"/>
      <c r="F208" s="350"/>
      <c r="G208" s="289"/>
      <c r="H208" s="350"/>
      <c r="I208" s="350"/>
      <c r="J208" s="350"/>
      <c r="K208" s="350"/>
      <c r="L208" s="350"/>
      <c r="M208" s="350"/>
      <c r="N208" s="288"/>
      <c r="O208" s="288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  <c r="AA208" s="294"/>
      <c r="AB208" s="294"/>
    </row>
    <row r="209">
      <c r="A209" s="353"/>
      <c r="B209" s="288"/>
      <c r="C209" s="288"/>
      <c r="D209" s="353"/>
      <c r="E209" s="288"/>
      <c r="F209" s="350"/>
      <c r="G209" s="289"/>
      <c r="H209" s="350"/>
      <c r="I209" s="350"/>
      <c r="J209" s="350"/>
      <c r="K209" s="350"/>
      <c r="L209" s="350"/>
      <c r="M209" s="350"/>
      <c r="N209" s="288"/>
      <c r="O209" s="288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  <c r="AA209" s="294"/>
      <c r="AB209" s="294"/>
    </row>
    <row r="210">
      <c r="A210" s="353"/>
      <c r="B210" s="288"/>
      <c r="C210" s="288"/>
      <c r="D210" s="353"/>
      <c r="E210" s="288"/>
      <c r="F210" s="350"/>
      <c r="G210" s="289"/>
      <c r="H210" s="350"/>
      <c r="I210" s="350"/>
      <c r="J210" s="350"/>
      <c r="K210" s="350"/>
      <c r="L210" s="350"/>
      <c r="M210" s="350"/>
      <c r="N210" s="288"/>
      <c r="O210" s="288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  <c r="AA210" s="294"/>
      <c r="AB210" s="294"/>
    </row>
    <row r="211">
      <c r="A211" s="353"/>
      <c r="B211" s="288"/>
      <c r="C211" s="288"/>
      <c r="D211" s="353"/>
      <c r="E211" s="288"/>
      <c r="F211" s="350"/>
      <c r="G211" s="289"/>
      <c r="H211" s="350"/>
      <c r="I211" s="350"/>
      <c r="J211" s="350"/>
      <c r="K211" s="350"/>
      <c r="L211" s="350"/>
      <c r="M211" s="350"/>
      <c r="N211" s="288"/>
      <c r="O211" s="288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94"/>
      <c r="AB211" s="294"/>
    </row>
    <row r="212">
      <c r="A212" s="353"/>
      <c r="B212" s="288"/>
      <c r="C212" s="288"/>
      <c r="D212" s="353"/>
      <c r="E212" s="288"/>
      <c r="F212" s="350"/>
      <c r="G212" s="289"/>
      <c r="H212" s="350"/>
      <c r="I212" s="350"/>
      <c r="J212" s="350"/>
      <c r="K212" s="350"/>
      <c r="L212" s="350"/>
      <c r="M212" s="350"/>
      <c r="N212" s="288"/>
      <c r="O212" s="288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  <c r="AA212" s="294"/>
      <c r="AB212" s="294"/>
    </row>
    <row r="213">
      <c r="A213" s="353"/>
      <c r="B213" s="288"/>
      <c r="C213" s="288"/>
      <c r="D213" s="353"/>
      <c r="E213" s="288"/>
      <c r="F213" s="350"/>
      <c r="G213" s="289"/>
      <c r="H213" s="350"/>
      <c r="I213" s="350"/>
      <c r="J213" s="350"/>
      <c r="K213" s="350"/>
      <c r="L213" s="350"/>
      <c r="M213" s="350"/>
      <c r="N213" s="288"/>
      <c r="O213" s="288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  <c r="AA213" s="294"/>
      <c r="AB213" s="294"/>
    </row>
    <row r="214">
      <c r="A214" s="353"/>
      <c r="B214" s="288"/>
      <c r="C214" s="288"/>
      <c r="D214" s="353"/>
      <c r="E214" s="288"/>
      <c r="F214" s="350"/>
      <c r="G214" s="289"/>
      <c r="H214" s="350"/>
      <c r="I214" s="350"/>
      <c r="J214" s="350"/>
      <c r="K214" s="350"/>
      <c r="L214" s="350"/>
      <c r="M214" s="350"/>
      <c r="N214" s="288"/>
      <c r="O214" s="288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  <c r="AA214" s="294"/>
      <c r="AB214" s="294"/>
    </row>
    <row r="215">
      <c r="A215" s="353"/>
      <c r="B215" s="288"/>
      <c r="C215" s="288"/>
      <c r="D215" s="353"/>
      <c r="E215" s="288"/>
      <c r="F215" s="350"/>
      <c r="G215" s="289"/>
      <c r="H215" s="350"/>
      <c r="I215" s="350"/>
      <c r="J215" s="350"/>
      <c r="K215" s="350"/>
      <c r="L215" s="350"/>
      <c r="M215" s="350"/>
      <c r="N215" s="288"/>
      <c r="O215" s="288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  <c r="AA215" s="294"/>
      <c r="AB215" s="294"/>
    </row>
    <row r="216">
      <c r="A216" s="353"/>
      <c r="B216" s="288"/>
      <c r="C216" s="288"/>
      <c r="D216" s="353"/>
      <c r="E216" s="288"/>
      <c r="F216" s="350"/>
      <c r="G216" s="289"/>
      <c r="H216" s="350"/>
      <c r="I216" s="350"/>
      <c r="J216" s="350"/>
      <c r="K216" s="350"/>
      <c r="L216" s="350"/>
      <c r="M216" s="350"/>
      <c r="N216" s="288"/>
      <c r="O216" s="288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  <c r="AA216" s="294"/>
      <c r="AB216" s="294"/>
    </row>
    <row r="217">
      <c r="A217" s="353"/>
      <c r="B217" s="288"/>
      <c r="C217" s="288"/>
      <c r="D217" s="353"/>
      <c r="E217" s="288"/>
      <c r="F217" s="350"/>
      <c r="G217" s="289"/>
      <c r="H217" s="350"/>
      <c r="I217" s="350"/>
      <c r="J217" s="350"/>
      <c r="K217" s="350"/>
      <c r="L217" s="350"/>
      <c r="M217" s="350"/>
      <c r="N217" s="288"/>
      <c r="O217" s="288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94"/>
      <c r="AB217" s="294"/>
    </row>
    <row r="218">
      <c r="A218" s="353"/>
      <c r="B218" s="288"/>
      <c r="C218" s="288"/>
      <c r="D218" s="353"/>
      <c r="E218" s="288"/>
      <c r="F218" s="350"/>
      <c r="G218" s="289"/>
      <c r="H218" s="350"/>
      <c r="I218" s="350"/>
      <c r="J218" s="350"/>
      <c r="K218" s="350"/>
      <c r="L218" s="350"/>
      <c r="M218" s="350"/>
      <c r="N218" s="288"/>
      <c r="O218" s="288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94"/>
      <c r="AB218" s="294"/>
    </row>
    <row r="219">
      <c r="A219" s="353"/>
      <c r="B219" s="288"/>
      <c r="C219" s="288"/>
      <c r="D219" s="353"/>
      <c r="E219" s="288"/>
      <c r="F219" s="350"/>
      <c r="G219" s="289"/>
      <c r="H219" s="350"/>
      <c r="I219" s="350"/>
      <c r="J219" s="350"/>
      <c r="K219" s="350"/>
      <c r="L219" s="350"/>
      <c r="M219" s="350"/>
      <c r="N219" s="288"/>
      <c r="O219" s="288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4"/>
      <c r="AB219" s="294"/>
    </row>
    <row r="220">
      <c r="A220" s="353"/>
      <c r="B220" s="288"/>
      <c r="C220" s="288"/>
      <c r="D220" s="353"/>
      <c r="E220" s="288"/>
      <c r="F220" s="350"/>
      <c r="G220" s="289"/>
      <c r="H220" s="350"/>
      <c r="I220" s="350"/>
      <c r="J220" s="350"/>
      <c r="K220" s="350"/>
      <c r="L220" s="350"/>
      <c r="M220" s="350"/>
      <c r="N220" s="288"/>
      <c r="O220" s="288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  <c r="AA220" s="294"/>
      <c r="AB220" s="294"/>
    </row>
    <row r="221">
      <c r="A221" s="353"/>
      <c r="B221" s="288"/>
      <c r="C221" s="288"/>
      <c r="D221" s="353"/>
      <c r="E221" s="288"/>
      <c r="F221" s="350"/>
      <c r="G221" s="289"/>
      <c r="H221" s="350"/>
      <c r="I221" s="350"/>
      <c r="J221" s="350"/>
      <c r="K221" s="350"/>
      <c r="L221" s="350"/>
      <c r="M221" s="350"/>
      <c r="N221" s="288"/>
      <c r="O221" s="288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  <c r="AA221" s="294"/>
      <c r="AB221" s="294"/>
    </row>
    <row r="222">
      <c r="A222" s="353"/>
      <c r="B222" s="288"/>
      <c r="C222" s="288"/>
      <c r="D222" s="353"/>
      <c r="E222" s="288"/>
      <c r="F222" s="350"/>
      <c r="G222" s="289"/>
      <c r="H222" s="350"/>
      <c r="I222" s="350"/>
      <c r="J222" s="350"/>
      <c r="K222" s="350"/>
      <c r="L222" s="350"/>
      <c r="M222" s="350"/>
      <c r="N222" s="288"/>
      <c r="O222" s="288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  <c r="AA222" s="294"/>
      <c r="AB222" s="294"/>
    </row>
    <row r="223">
      <c r="A223" s="353"/>
      <c r="B223" s="288"/>
      <c r="C223" s="288"/>
      <c r="D223" s="353"/>
      <c r="E223" s="288"/>
      <c r="F223" s="350"/>
      <c r="G223" s="289"/>
      <c r="H223" s="350"/>
      <c r="I223" s="350"/>
      <c r="J223" s="350"/>
      <c r="K223" s="350"/>
      <c r="L223" s="350"/>
      <c r="M223" s="350"/>
      <c r="N223" s="288"/>
      <c r="O223" s="288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94"/>
      <c r="AB223" s="294"/>
    </row>
    <row r="224">
      <c r="A224" s="353"/>
      <c r="B224" s="288"/>
      <c r="C224" s="288"/>
      <c r="D224" s="353"/>
      <c r="E224" s="288"/>
      <c r="F224" s="350"/>
      <c r="G224" s="289"/>
      <c r="H224" s="350"/>
      <c r="I224" s="350"/>
      <c r="J224" s="350"/>
      <c r="K224" s="350"/>
      <c r="L224" s="350"/>
      <c r="M224" s="350"/>
      <c r="N224" s="288"/>
      <c r="O224" s="288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294"/>
    </row>
    <row r="225">
      <c r="A225" s="353"/>
      <c r="B225" s="288"/>
      <c r="C225" s="288"/>
      <c r="D225" s="353"/>
      <c r="E225" s="288"/>
      <c r="F225" s="350"/>
      <c r="G225" s="289"/>
      <c r="H225" s="350"/>
      <c r="I225" s="350"/>
      <c r="J225" s="350"/>
      <c r="K225" s="350"/>
      <c r="L225" s="350"/>
      <c r="M225" s="350"/>
      <c r="N225" s="288"/>
      <c r="O225" s="288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294"/>
    </row>
    <row r="226">
      <c r="A226" s="353"/>
      <c r="B226" s="288"/>
      <c r="C226" s="288"/>
      <c r="D226" s="353"/>
      <c r="E226" s="288"/>
      <c r="F226" s="350"/>
      <c r="G226" s="289"/>
      <c r="H226" s="350"/>
      <c r="I226" s="350"/>
      <c r="J226" s="350"/>
      <c r="K226" s="350"/>
      <c r="L226" s="350"/>
      <c r="M226" s="350"/>
      <c r="N226" s="288"/>
      <c r="O226" s="288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294"/>
    </row>
    <row r="227">
      <c r="A227" s="353"/>
      <c r="B227" s="288"/>
      <c r="C227" s="288"/>
      <c r="D227" s="353"/>
      <c r="E227" s="288"/>
      <c r="F227" s="350"/>
      <c r="G227" s="289"/>
      <c r="H227" s="350"/>
      <c r="I227" s="350"/>
      <c r="J227" s="350"/>
      <c r="K227" s="350"/>
      <c r="L227" s="350"/>
      <c r="M227" s="350"/>
      <c r="N227" s="288"/>
      <c r="O227" s="288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294"/>
    </row>
    <row r="228">
      <c r="A228" s="353"/>
      <c r="B228" s="288"/>
      <c r="C228" s="288"/>
      <c r="D228" s="353"/>
      <c r="E228" s="288"/>
      <c r="F228" s="350"/>
      <c r="G228" s="289"/>
      <c r="H228" s="350"/>
      <c r="I228" s="350"/>
      <c r="J228" s="350"/>
      <c r="K228" s="350"/>
      <c r="L228" s="350"/>
      <c r="M228" s="350"/>
      <c r="N228" s="288"/>
      <c r="O228" s="288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294"/>
      <c r="AB228" s="294"/>
    </row>
    <row r="229">
      <c r="A229" s="353"/>
      <c r="B229" s="288"/>
      <c r="C229" s="288"/>
      <c r="D229" s="353"/>
      <c r="E229" s="288"/>
      <c r="F229" s="350"/>
      <c r="G229" s="289"/>
      <c r="H229" s="350"/>
      <c r="I229" s="350"/>
      <c r="J229" s="350"/>
      <c r="K229" s="350"/>
      <c r="L229" s="350"/>
      <c r="M229" s="350"/>
      <c r="N229" s="288"/>
      <c r="O229" s="288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94"/>
      <c r="AB229" s="294"/>
    </row>
    <row r="230">
      <c r="A230" s="353"/>
      <c r="B230" s="288"/>
      <c r="C230" s="288"/>
      <c r="D230" s="353"/>
      <c r="E230" s="288"/>
      <c r="F230" s="350"/>
      <c r="G230" s="289"/>
      <c r="H230" s="350"/>
      <c r="I230" s="350"/>
      <c r="J230" s="350"/>
      <c r="K230" s="350"/>
      <c r="L230" s="350"/>
      <c r="M230" s="350"/>
      <c r="N230" s="288"/>
      <c r="O230" s="288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94"/>
      <c r="AB230" s="294"/>
    </row>
    <row r="231">
      <c r="A231" s="353"/>
      <c r="B231" s="288"/>
      <c r="C231" s="288"/>
      <c r="D231" s="353"/>
      <c r="E231" s="288"/>
      <c r="F231" s="350"/>
      <c r="G231" s="289"/>
      <c r="H231" s="350"/>
      <c r="I231" s="350"/>
      <c r="J231" s="350"/>
      <c r="K231" s="350"/>
      <c r="L231" s="350"/>
      <c r="M231" s="350"/>
      <c r="N231" s="288"/>
      <c r="O231" s="288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294"/>
      <c r="AB231" s="294"/>
    </row>
    <row r="232">
      <c r="A232" s="353"/>
      <c r="B232" s="288"/>
      <c r="C232" s="288"/>
      <c r="D232" s="353"/>
      <c r="E232" s="288"/>
      <c r="F232" s="350"/>
      <c r="G232" s="289"/>
      <c r="H232" s="350"/>
      <c r="I232" s="350"/>
      <c r="J232" s="350"/>
      <c r="K232" s="350"/>
      <c r="L232" s="350"/>
      <c r="M232" s="350"/>
      <c r="N232" s="288"/>
      <c r="O232" s="288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  <c r="AA232" s="294"/>
      <c r="AB232" s="294"/>
    </row>
    <row r="233">
      <c r="A233" s="353"/>
      <c r="B233" s="288"/>
      <c r="C233" s="288"/>
      <c r="D233" s="353"/>
      <c r="E233" s="288"/>
      <c r="F233" s="350"/>
      <c r="G233" s="289"/>
      <c r="H233" s="350"/>
      <c r="I233" s="350"/>
      <c r="J233" s="350"/>
      <c r="K233" s="350"/>
      <c r="L233" s="350"/>
      <c r="M233" s="350"/>
      <c r="N233" s="288"/>
      <c r="O233" s="288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294"/>
      <c r="AB233" s="294"/>
    </row>
    <row r="234">
      <c r="A234" s="353"/>
      <c r="B234" s="288"/>
      <c r="C234" s="288"/>
      <c r="D234" s="353"/>
      <c r="E234" s="288"/>
      <c r="F234" s="350"/>
      <c r="G234" s="289"/>
      <c r="H234" s="350"/>
      <c r="I234" s="350"/>
      <c r="J234" s="350"/>
      <c r="K234" s="350"/>
      <c r="L234" s="350"/>
      <c r="M234" s="350"/>
      <c r="N234" s="288"/>
      <c r="O234" s="288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294"/>
      <c r="AB234" s="294"/>
    </row>
    <row r="235">
      <c r="A235" s="353"/>
      <c r="B235" s="288"/>
      <c r="C235" s="288"/>
      <c r="D235" s="353"/>
      <c r="E235" s="288"/>
      <c r="F235" s="350"/>
      <c r="G235" s="289"/>
      <c r="H235" s="350"/>
      <c r="I235" s="350"/>
      <c r="J235" s="350"/>
      <c r="K235" s="350"/>
      <c r="L235" s="350"/>
      <c r="M235" s="350"/>
      <c r="N235" s="288"/>
      <c r="O235" s="288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94"/>
      <c r="AB235" s="294"/>
    </row>
    <row r="236">
      <c r="A236" s="353"/>
      <c r="B236" s="288"/>
      <c r="C236" s="288"/>
      <c r="D236" s="353"/>
      <c r="E236" s="288"/>
      <c r="F236" s="350"/>
      <c r="G236" s="289"/>
      <c r="H236" s="350"/>
      <c r="I236" s="350"/>
      <c r="J236" s="350"/>
      <c r="K236" s="350"/>
      <c r="L236" s="350"/>
      <c r="M236" s="350"/>
      <c r="N236" s="288"/>
      <c r="O236" s="288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94"/>
      <c r="AB236" s="294"/>
    </row>
    <row r="237">
      <c r="A237" s="353"/>
      <c r="B237" s="288"/>
      <c r="C237" s="288"/>
      <c r="D237" s="353"/>
      <c r="E237" s="288"/>
      <c r="F237" s="350"/>
      <c r="G237" s="289"/>
      <c r="H237" s="350"/>
      <c r="I237" s="350"/>
      <c r="J237" s="350"/>
      <c r="K237" s="350"/>
      <c r="L237" s="350"/>
      <c r="M237" s="350"/>
      <c r="N237" s="288"/>
      <c r="O237" s="288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294"/>
      <c r="AB237" s="294"/>
    </row>
    <row r="238">
      <c r="A238" s="353"/>
      <c r="B238" s="288"/>
      <c r="C238" s="288"/>
      <c r="D238" s="353"/>
      <c r="E238" s="288"/>
      <c r="F238" s="350"/>
      <c r="G238" s="289"/>
      <c r="H238" s="350"/>
      <c r="I238" s="350"/>
      <c r="J238" s="350"/>
      <c r="K238" s="350"/>
      <c r="L238" s="350"/>
      <c r="M238" s="350"/>
      <c r="N238" s="288"/>
      <c r="O238" s="288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  <c r="AA238" s="294"/>
      <c r="AB238" s="294"/>
    </row>
    <row r="239">
      <c r="A239" s="353"/>
      <c r="B239" s="288"/>
      <c r="C239" s="288"/>
      <c r="D239" s="353"/>
      <c r="E239" s="288"/>
      <c r="F239" s="350"/>
      <c r="G239" s="289"/>
      <c r="H239" s="350"/>
      <c r="I239" s="350"/>
      <c r="J239" s="350"/>
      <c r="K239" s="350"/>
      <c r="L239" s="350"/>
      <c r="M239" s="350"/>
      <c r="N239" s="288"/>
      <c r="O239" s="288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  <c r="AA239" s="294"/>
      <c r="AB239" s="294"/>
    </row>
    <row r="240">
      <c r="A240" s="353"/>
      <c r="B240" s="288"/>
      <c r="C240" s="288"/>
      <c r="D240" s="353"/>
      <c r="E240" s="288"/>
      <c r="F240" s="350"/>
      <c r="G240" s="289"/>
      <c r="H240" s="350"/>
      <c r="I240" s="350"/>
      <c r="J240" s="350"/>
      <c r="K240" s="350"/>
      <c r="L240" s="350"/>
      <c r="M240" s="350"/>
      <c r="N240" s="288"/>
      <c r="O240" s="288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94"/>
      <c r="AB240" s="294"/>
    </row>
    <row r="241">
      <c r="A241" s="353"/>
      <c r="B241" s="288"/>
      <c r="C241" s="288"/>
      <c r="D241" s="353"/>
      <c r="E241" s="288"/>
      <c r="F241" s="350"/>
      <c r="G241" s="289"/>
      <c r="H241" s="350"/>
      <c r="I241" s="350"/>
      <c r="J241" s="350"/>
      <c r="K241" s="350"/>
      <c r="L241" s="350"/>
      <c r="M241" s="350"/>
      <c r="N241" s="288"/>
      <c r="O241" s="288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  <c r="AA241" s="294"/>
      <c r="AB241" s="294"/>
    </row>
    <row r="242">
      <c r="A242" s="353"/>
      <c r="B242" s="288"/>
      <c r="C242" s="288"/>
      <c r="D242" s="353"/>
      <c r="E242" s="288"/>
      <c r="F242" s="350"/>
      <c r="G242" s="289"/>
      <c r="H242" s="350"/>
      <c r="I242" s="350"/>
      <c r="J242" s="350"/>
      <c r="K242" s="350"/>
      <c r="L242" s="350"/>
      <c r="M242" s="350"/>
      <c r="N242" s="288"/>
      <c r="O242" s="288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</row>
    <row r="243">
      <c r="A243" s="353"/>
      <c r="B243" s="288"/>
      <c r="C243" s="288"/>
      <c r="D243" s="353"/>
      <c r="E243" s="288"/>
      <c r="F243" s="350"/>
      <c r="G243" s="289"/>
      <c r="H243" s="350"/>
      <c r="I243" s="350"/>
      <c r="J243" s="350"/>
      <c r="K243" s="350"/>
      <c r="L243" s="350"/>
      <c r="M243" s="350"/>
      <c r="N243" s="288"/>
      <c r="O243" s="288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  <c r="AA243" s="294"/>
      <c r="AB243" s="294"/>
    </row>
    <row r="244">
      <c r="A244" s="353"/>
      <c r="B244" s="288"/>
      <c r="C244" s="288"/>
      <c r="D244" s="353"/>
      <c r="E244" s="288"/>
      <c r="F244" s="350"/>
      <c r="G244" s="289"/>
      <c r="H244" s="350"/>
      <c r="I244" s="350"/>
      <c r="J244" s="350"/>
      <c r="K244" s="350"/>
      <c r="L244" s="350"/>
      <c r="M244" s="350"/>
      <c r="N244" s="288"/>
      <c r="O244" s="288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</row>
    <row r="245">
      <c r="A245" s="353"/>
      <c r="B245" s="288"/>
      <c r="C245" s="288"/>
      <c r="D245" s="353"/>
      <c r="E245" s="288"/>
      <c r="F245" s="350"/>
      <c r="G245" s="289"/>
      <c r="H245" s="350"/>
      <c r="I245" s="350"/>
      <c r="J245" s="350"/>
      <c r="K245" s="350"/>
      <c r="L245" s="350"/>
      <c r="M245" s="350"/>
      <c r="N245" s="288"/>
      <c r="O245" s="288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94"/>
      <c r="AB245" s="294"/>
    </row>
    <row r="246">
      <c r="A246" s="353"/>
      <c r="B246" s="288"/>
      <c r="C246" s="288"/>
      <c r="D246" s="353"/>
      <c r="E246" s="288"/>
      <c r="F246" s="350"/>
      <c r="G246" s="289"/>
      <c r="H246" s="350"/>
      <c r="I246" s="350"/>
      <c r="J246" s="350"/>
      <c r="K246" s="350"/>
      <c r="L246" s="350"/>
      <c r="M246" s="350"/>
      <c r="N246" s="288"/>
      <c r="O246" s="288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94"/>
      <c r="AB246" s="294"/>
    </row>
    <row r="247">
      <c r="A247" s="353"/>
      <c r="B247" s="288"/>
      <c r="C247" s="288"/>
      <c r="D247" s="353"/>
      <c r="E247" s="288"/>
      <c r="F247" s="350"/>
      <c r="G247" s="289"/>
      <c r="H247" s="350"/>
      <c r="I247" s="350"/>
      <c r="J247" s="350"/>
      <c r="K247" s="350"/>
      <c r="L247" s="350"/>
      <c r="M247" s="350"/>
      <c r="N247" s="288"/>
      <c r="O247" s="288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294"/>
      <c r="AB247" s="294"/>
    </row>
    <row r="248">
      <c r="A248" s="353"/>
      <c r="B248" s="288"/>
      <c r="C248" s="288"/>
      <c r="D248" s="353"/>
      <c r="E248" s="288"/>
      <c r="F248" s="350"/>
      <c r="G248" s="289"/>
      <c r="H248" s="350"/>
      <c r="I248" s="350"/>
      <c r="J248" s="350"/>
      <c r="K248" s="350"/>
      <c r="L248" s="350"/>
      <c r="M248" s="350"/>
      <c r="N248" s="288"/>
      <c r="O248" s="288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</row>
    <row r="249">
      <c r="A249" s="353"/>
      <c r="B249" s="288"/>
      <c r="C249" s="288"/>
      <c r="D249" s="353"/>
      <c r="E249" s="288"/>
      <c r="F249" s="350"/>
      <c r="G249" s="289"/>
      <c r="H249" s="350"/>
      <c r="I249" s="350"/>
      <c r="J249" s="350"/>
      <c r="K249" s="350"/>
      <c r="L249" s="350"/>
      <c r="M249" s="350"/>
      <c r="N249" s="288"/>
      <c r="O249" s="288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  <c r="AA249" s="294"/>
      <c r="AB249" s="294"/>
    </row>
    <row r="250">
      <c r="A250" s="353"/>
      <c r="B250" s="288"/>
      <c r="C250" s="288"/>
      <c r="D250" s="353"/>
      <c r="E250" s="288"/>
      <c r="F250" s="350"/>
      <c r="G250" s="289"/>
      <c r="H250" s="350"/>
      <c r="I250" s="350"/>
      <c r="J250" s="350"/>
      <c r="K250" s="350"/>
      <c r="L250" s="350"/>
      <c r="M250" s="350"/>
      <c r="N250" s="288"/>
      <c r="O250" s="288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</row>
    <row r="251">
      <c r="A251" s="353"/>
      <c r="B251" s="288"/>
      <c r="C251" s="288"/>
      <c r="D251" s="353"/>
      <c r="E251" s="288"/>
      <c r="F251" s="350"/>
      <c r="G251" s="289"/>
      <c r="H251" s="350"/>
      <c r="I251" s="350"/>
      <c r="J251" s="350"/>
      <c r="K251" s="350"/>
      <c r="L251" s="350"/>
      <c r="M251" s="350"/>
      <c r="N251" s="288"/>
      <c r="O251" s="288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</row>
    <row r="252">
      <c r="A252" s="353"/>
      <c r="B252" s="288"/>
      <c r="C252" s="288"/>
      <c r="D252" s="353"/>
      <c r="E252" s="288"/>
      <c r="F252" s="350"/>
      <c r="G252" s="289"/>
      <c r="H252" s="350"/>
      <c r="I252" s="350"/>
      <c r="J252" s="350"/>
      <c r="K252" s="350"/>
      <c r="L252" s="350"/>
      <c r="M252" s="350"/>
      <c r="N252" s="288"/>
      <c r="O252" s="288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</row>
    <row r="253">
      <c r="A253" s="353"/>
      <c r="B253" s="288"/>
      <c r="C253" s="288"/>
      <c r="D253" s="353"/>
      <c r="E253" s="288"/>
      <c r="F253" s="350"/>
      <c r="G253" s="289"/>
      <c r="H253" s="350"/>
      <c r="I253" s="350"/>
      <c r="J253" s="350"/>
      <c r="K253" s="350"/>
      <c r="L253" s="350"/>
      <c r="M253" s="350"/>
      <c r="N253" s="288"/>
      <c r="O253" s="288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</row>
    <row r="254">
      <c r="A254" s="353"/>
      <c r="B254" s="288"/>
      <c r="C254" s="288"/>
      <c r="D254" s="353"/>
      <c r="E254" s="288"/>
      <c r="F254" s="350"/>
      <c r="G254" s="289"/>
      <c r="H254" s="350"/>
      <c r="I254" s="350"/>
      <c r="J254" s="350"/>
      <c r="K254" s="350"/>
      <c r="L254" s="350"/>
      <c r="M254" s="350"/>
      <c r="N254" s="288"/>
      <c r="O254" s="288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</row>
    <row r="255">
      <c r="A255" s="353"/>
      <c r="B255" s="288"/>
      <c r="C255" s="288"/>
      <c r="D255" s="353"/>
      <c r="E255" s="288"/>
      <c r="F255" s="350"/>
      <c r="G255" s="289"/>
      <c r="H255" s="350"/>
      <c r="I255" s="350"/>
      <c r="J255" s="350"/>
      <c r="K255" s="350"/>
      <c r="L255" s="350"/>
      <c r="M255" s="350"/>
      <c r="N255" s="288"/>
      <c r="O255" s="288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</row>
    <row r="256">
      <c r="A256" s="353"/>
      <c r="B256" s="288"/>
      <c r="C256" s="288"/>
      <c r="D256" s="353"/>
      <c r="E256" s="288"/>
      <c r="F256" s="350"/>
      <c r="G256" s="289"/>
      <c r="H256" s="350"/>
      <c r="I256" s="350"/>
      <c r="J256" s="350"/>
      <c r="K256" s="350"/>
      <c r="L256" s="350"/>
      <c r="M256" s="350"/>
      <c r="N256" s="288"/>
      <c r="O256" s="288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294"/>
    </row>
    <row r="257">
      <c r="A257" s="353"/>
      <c r="B257" s="288"/>
      <c r="C257" s="288"/>
      <c r="D257" s="353"/>
      <c r="E257" s="288"/>
      <c r="F257" s="350"/>
      <c r="G257" s="289"/>
      <c r="H257" s="350"/>
      <c r="I257" s="350"/>
      <c r="J257" s="350"/>
      <c r="K257" s="350"/>
      <c r="L257" s="350"/>
      <c r="M257" s="350"/>
      <c r="N257" s="288"/>
      <c r="O257" s="288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294"/>
    </row>
    <row r="258">
      <c r="A258" s="353"/>
      <c r="B258" s="288"/>
      <c r="C258" s="288"/>
      <c r="D258" s="353"/>
      <c r="E258" s="288"/>
      <c r="F258" s="350"/>
      <c r="G258" s="289"/>
      <c r="H258" s="350"/>
      <c r="I258" s="350"/>
      <c r="J258" s="350"/>
      <c r="K258" s="350"/>
      <c r="L258" s="350"/>
      <c r="M258" s="350"/>
      <c r="N258" s="288"/>
      <c r="O258" s="288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294"/>
    </row>
    <row r="259">
      <c r="A259" s="353"/>
      <c r="B259" s="288"/>
      <c r="C259" s="288"/>
      <c r="D259" s="353"/>
      <c r="E259" s="288"/>
      <c r="F259" s="350"/>
      <c r="G259" s="289"/>
      <c r="H259" s="350"/>
      <c r="I259" s="350"/>
      <c r="J259" s="350"/>
      <c r="K259" s="350"/>
      <c r="L259" s="350"/>
      <c r="M259" s="350"/>
      <c r="N259" s="288"/>
      <c r="O259" s="288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  <c r="AA259" s="294"/>
      <c r="AB259" s="294"/>
    </row>
    <row r="260">
      <c r="A260" s="353"/>
      <c r="B260" s="288"/>
      <c r="C260" s="288"/>
      <c r="D260" s="353"/>
      <c r="E260" s="288"/>
      <c r="F260" s="350"/>
      <c r="G260" s="289"/>
      <c r="H260" s="350"/>
      <c r="I260" s="350"/>
      <c r="J260" s="350"/>
      <c r="K260" s="350"/>
      <c r="L260" s="350"/>
      <c r="M260" s="350"/>
      <c r="N260" s="288"/>
      <c r="O260" s="288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  <c r="AA260" s="294"/>
      <c r="AB260" s="294"/>
    </row>
    <row r="261">
      <c r="A261" s="353"/>
      <c r="B261" s="288"/>
      <c r="C261" s="288"/>
      <c r="D261" s="353"/>
      <c r="E261" s="288"/>
      <c r="F261" s="350"/>
      <c r="G261" s="289"/>
      <c r="H261" s="350"/>
      <c r="I261" s="350"/>
      <c r="J261" s="350"/>
      <c r="K261" s="350"/>
      <c r="L261" s="350"/>
      <c r="M261" s="350"/>
      <c r="N261" s="288"/>
      <c r="O261" s="288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94"/>
      <c r="AB261" s="294"/>
    </row>
    <row r="262">
      <c r="A262" s="353"/>
      <c r="B262" s="288"/>
      <c r="C262" s="288"/>
      <c r="D262" s="353"/>
      <c r="E262" s="288"/>
      <c r="F262" s="350"/>
      <c r="G262" s="289"/>
      <c r="H262" s="350"/>
      <c r="I262" s="350"/>
      <c r="J262" s="350"/>
      <c r="K262" s="350"/>
      <c r="L262" s="350"/>
      <c r="M262" s="350"/>
      <c r="N262" s="288"/>
      <c r="O262" s="288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  <c r="AA262" s="294"/>
      <c r="AB262" s="294"/>
    </row>
    <row r="263">
      <c r="A263" s="353"/>
      <c r="B263" s="288"/>
      <c r="C263" s="288"/>
      <c r="D263" s="353"/>
      <c r="E263" s="288"/>
      <c r="F263" s="350"/>
      <c r="G263" s="289"/>
      <c r="H263" s="350"/>
      <c r="I263" s="350"/>
      <c r="J263" s="350"/>
      <c r="K263" s="350"/>
      <c r="L263" s="350"/>
      <c r="M263" s="350"/>
      <c r="N263" s="288"/>
      <c r="O263" s="288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  <c r="AA263" s="294"/>
      <c r="AB263" s="294"/>
    </row>
    <row r="264">
      <c r="A264" s="353"/>
      <c r="B264" s="288"/>
      <c r="C264" s="288"/>
      <c r="D264" s="353"/>
      <c r="E264" s="288"/>
      <c r="F264" s="350"/>
      <c r="G264" s="289"/>
      <c r="H264" s="350"/>
      <c r="I264" s="350"/>
      <c r="J264" s="350"/>
      <c r="K264" s="350"/>
      <c r="L264" s="350"/>
      <c r="M264" s="350"/>
      <c r="N264" s="288"/>
      <c r="O264" s="288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  <c r="AA264" s="294"/>
      <c r="AB264" s="294"/>
    </row>
    <row r="265">
      <c r="A265" s="353"/>
      <c r="B265" s="288"/>
      <c r="C265" s="288"/>
      <c r="D265" s="353"/>
      <c r="E265" s="288"/>
      <c r="F265" s="350"/>
      <c r="G265" s="289"/>
      <c r="H265" s="350"/>
      <c r="I265" s="350"/>
      <c r="J265" s="350"/>
      <c r="K265" s="350"/>
      <c r="L265" s="350"/>
      <c r="M265" s="350"/>
      <c r="N265" s="288"/>
      <c r="O265" s="288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  <c r="AA265" s="294"/>
      <c r="AB265" s="294"/>
    </row>
    <row r="266">
      <c r="A266" s="353"/>
      <c r="B266" s="288"/>
      <c r="C266" s="288"/>
      <c r="D266" s="353"/>
      <c r="E266" s="288"/>
      <c r="F266" s="350"/>
      <c r="G266" s="289"/>
      <c r="H266" s="350"/>
      <c r="I266" s="350"/>
      <c r="J266" s="350"/>
      <c r="K266" s="350"/>
      <c r="L266" s="350"/>
      <c r="M266" s="350"/>
      <c r="N266" s="288"/>
      <c r="O266" s="288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  <c r="AA266" s="294"/>
      <c r="AB266" s="294"/>
    </row>
    <row r="267">
      <c r="A267" s="353"/>
      <c r="B267" s="288"/>
      <c r="C267" s="288"/>
      <c r="D267" s="353"/>
      <c r="E267" s="288"/>
      <c r="F267" s="350"/>
      <c r="G267" s="289"/>
      <c r="H267" s="350"/>
      <c r="I267" s="350"/>
      <c r="J267" s="350"/>
      <c r="K267" s="350"/>
      <c r="L267" s="350"/>
      <c r="M267" s="350"/>
      <c r="N267" s="288"/>
      <c r="O267" s="288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94"/>
      <c r="AB267" s="294"/>
    </row>
    <row r="268">
      <c r="A268" s="353"/>
      <c r="B268" s="288"/>
      <c r="C268" s="288"/>
      <c r="D268" s="353"/>
      <c r="E268" s="288"/>
      <c r="F268" s="350"/>
      <c r="G268" s="289"/>
      <c r="H268" s="350"/>
      <c r="I268" s="350"/>
      <c r="J268" s="350"/>
      <c r="K268" s="350"/>
      <c r="L268" s="350"/>
      <c r="M268" s="350"/>
      <c r="N268" s="288"/>
      <c r="O268" s="288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  <c r="AA268" s="294"/>
      <c r="AB268" s="294"/>
    </row>
    <row r="269">
      <c r="A269" s="353"/>
      <c r="B269" s="288"/>
      <c r="C269" s="288"/>
      <c r="D269" s="353"/>
      <c r="E269" s="288"/>
      <c r="F269" s="350"/>
      <c r="G269" s="289"/>
      <c r="H269" s="350"/>
      <c r="I269" s="350"/>
      <c r="J269" s="350"/>
      <c r="K269" s="350"/>
      <c r="L269" s="350"/>
      <c r="M269" s="350"/>
      <c r="N269" s="288"/>
      <c r="O269" s="288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  <c r="AA269" s="294"/>
      <c r="AB269" s="294"/>
    </row>
    <row r="270">
      <c r="A270" s="353"/>
      <c r="B270" s="288"/>
      <c r="C270" s="288"/>
      <c r="D270" s="353"/>
      <c r="E270" s="288"/>
      <c r="F270" s="350"/>
      <c r="G270" s="289"/>
      <c r="H270" s="350"/>
      <c r="I270" s="350"/>
      <c r="J270" s="350"/>
      <c r="K270" s="350"/>
      <c r="L270" s="350"/>
      <c r="M270" s="350"/>
      <c r="N270" s="288"/>
      <c r="O270" s="288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  <c r="AA270" s="294"/>
      <c r="AB270" s="294"/>
    </row>
    <row r="271">
      <c r="A271" s="353"/>
      <c r="B271" s="288"/>
      <c r="C271" s="288"/>
      <c r="D271" s="353"/>
      <c r="E271" s="288"/>
      <c r="F271" s="350"/>
      <c r="G271" s="289"/>
      <c r="H271" s="350"/>
      <c r="I271" s="350"/>
      <c r="J271" s="350"/>
      <c r="K271" s="350"/>
      <c r="L271" s="350"/>
      <c r="M271" s="350"/>
      <c r="N271" s="288"/>
      <c r="O271" s="288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  <c r="AA271" s="294"/>
      <c r="AB271" s="294"/>
    </row>
    <row r="272">
      <c r="A272" s="353"/>
      <c r="B272" s="288"/>
      <c r="C272" s="288"/>
      <c r="D272" s="353"/>
      <c r="E272" s="288"/>
      <c r="F272" s="350"/>
      <c r="G272" s="289"/>
      <c r="H272" s="350"/>
      <c r="I272" s="350"/>
      <c r="J272" s="350"/>
      <c r="K272" s="350"/>
      <c r="L272" s="350"/>
      <c r="M272" s="350"/>
      <c r="N272" s="288"/>
      <c r="O272" s="288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  <c r="AA272" s="294"/>
      <c r="AB272" s="294"/>
    </row>
    <row r="273">
      <c r="A273" s="353"/>
      <c r="B273" s="288"/>
      <c r="C273" s="288"/>
      <c r="D273" s="353"/>
      <c r="E273" s="288"/>
      <c r="F273" s="350"/>
      <c r="G273" s="289"/>
      <c r="H273" s="350"/>
      <c r="I273" s="350"/>
      <c r="J273" s="350"/>
      <c r="K273" s="350"/>
      <c r="L273" s="350"/>
      <c r="M273" s="350"/>
      <c r="N273" s="288"/>
      <c r="O273" s="288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  <c r="AA273" s="294"/>
      <c r="AB273" s="294"/>
    </row>
    <row r="274">
      <c r="A274" s="353"/>
      <c r="B274" s="288"/>
      <c r="C274" s="288"/>
      <c r="D274" s="353"/>
      <c r="E274" s="288"/>
      <c r="F274" s="350"/>
      <c r="G274" s="289"/>
      <c r="H274" s="350"/>
      <c r="I274" s="350"/>
      <c r="J274" s="350"/>
      <c r="K274" s="350"/>
      <c r="L274" s="350"/>
      <c r="M274" s="350"/>
      <c r="N274" s="288"/>
      <c r="O274" s="288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  <c r="AA274" s="294"/>
      <c r="AB274" s="294"/>
    </row>
    <row r="275">
      <c r="A275" s="353"/>
      <c r="B275" s="288"/>
      <c r="C275" s="288"/>
      <c r="D275" s="353"/>
      <c r="E275" s="288"/>
      <c r="F275" s="350"/>
      <c r="G275" s="289"/>
      <c r="H275" s="350"/>
      <c r="I275" s="350"/>
      <c r="J275" s="350"/>
      <c r="K275" s="350"/>
      <c r="L275" s="350"/>
      <c r="M275" s="350"/>
      <c r="N275" s="288"/>
      <c r="O275" s="288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  <c r="AA275" s="294"/>
      <c r="AB275" s="294"/>
    </row>
    <row r="276">
      <c r="A276" s="353"/>
      <c r="B276" s="288"/>
      <c r="C276" s="288"/>
      <c r="D276" s="353"/>
      <c r="E276" s="288"/>
      <c r="F276" s="350"/>
      <c r="G276" s="289"/>
      <c r="H276" s="350"/>
      <c r="I276" s="350"/>
      <c r="J276" s="350"/>
      <c r="K276" s="350"/>
      <c r="L276" s="350"/>
      <c r="M276" s="350"/>
      <c r="N276" s="288"/>
      <c r="O276" s="288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  <c r="AA276" s="294"/>
      <c r="AB276" s="294"/>
    </row>
    <row r="277">
      <c r="A277" s="353"/>
      <c r="B277" s="288"/>
      <c r="C277" s="288"/>
      <c r="D277" s="353"/>
      <c r="E277" s="288"/>
      <c r="F277" s="350"/>
      <c r="G277" s="289"/>
      <c r="H277" s="350"/>
      <c r="I277" s="350"/>
      <c r="J277" s="350"/>
      <c r="K277" s="350"/>
      <c r="L277" s="350"/>
      <c r="M277" s="350"/>
      <c r="N277" s="288"/>
      <c r="O277" s="288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  <c r="AA277" s="294"/>
      <c r="AB277" s="294"/>
    </row>
    <row r="278">
      <c r="A278" s="353"/>
      <c r="B278" s="288"/>
      <c r="C278" s="288"/>
      <c r="D278" s="353"/>
      <c r="E278" s="288"/>
      <c r="F278" s="350"/>
      <c r="G278" s="289"/>
      <c r="H278" s="350"/>
      <c r="I278" s="350"/>
      <c r="J278" s="350"/>
      <c r="K278" s="350"/>
      <c r="L278" s="350"/>
      <c r="M278" s="350"/>
      <c r="N278" s="288"/>
      <c r="O278" s="288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  <c r="AA278" s="294"/>
      <c r="AB278" s="294"/>
    </row>
    <row r="279">
      <c r="A279" s="353"/>
      <c r="B279" s="288"/>
      <c r="C279" s="288"/>
      <c r="D279" s="353"/>
      <c r="E279" s="288"/>
      <c r="F279" s="350"/>
      <c r="G279" s="289"/>
      <c r="H279" s="350"/>
      <c r="I279" s="350"/>
      <c r="J279" s="350"/>
      <c r="K279" s="350"/>
      <c r="L279" s="350"/>
      <c r="M279" s="350"/>
      <c r="N279" s="288"/>
      <c r="O279" s="288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  <c r="AA279" s="294"/>
      <c r="AB279" s="294"/>
    </row>
    <row r="280">
      <c r="A280" s="353"/>
      <c r="B280" s="288"/>
      <c r="C280" s="288"/>
      <c r="D280" s="353"/>
      <c r="E280" s="288"/>
      <c r="F280" s="350"/>
      <c r="G280" s="289"/>
      <c r="H280" s="350"/>
      <c r="I280" s="350"/>
      <c r="J280" s="350"/>
      <c r="K280" s="350"/>
      <c r="L280" s="350"/>
      <c r="M280" s="350"/>
      <c r="N280" s="288"/>
      <c r="O280" s="288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  <c r="AA280" s="294"/>
      <c r="AB280" s="294"/>
    </row>
    <row r="281">
      <c r="A281" s="353"/>
      <c r="B281" s="288"/>
      <c r="C281" s="288"/>
      <c r="D281" s="353"/>
      <c r="E281" s="288"/>
      <c r="F281" s="350"/>
      <c r="G281" s="289"/>
      <c r="H281" s="350"/>
      <c r="I281" s="350"/>
      <c r="J281" s="350"/>
      <c r="K281" s="350"/>
      <c r="L281" s="350"/>
      <c r="M281" s="350"/>
      <c r="N281" s="288"/>
      <c r="O281" s="288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  <c r="AA281" s="294"/>
      <c r="AB281" s="294"/>
    </row>
    <row r="282">
      <c r="A282" s="353"/>
      <c r="B282" s="288"/>
      <c r="C282" s="288"/>
      <c r="D282" s="353"/>
      <c r="E282" s="288"/>
      <c r="F282" s="350"/>
      <c r="G282" s="289"/>
      <c r="H282" s="350"/>
      <c r="I282" s="350"/>
      <c r="J282" s="350"/>
      <c r="K282" s="350"/>
      <c r="L282" s="350"/>
      <c r="M282" s="350"/>
      <c r="N282" s="288"/>
      <c r="O282" s="288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  <c r="AA282" s="294"/>
      <c r="AB282" s="294"/>
    </row>
    <row r="283">
      <c r="A283" s="353"/>
      <c r="B283" s="288"/>
      <c r="C283" s="288"/>
      <c r="D283" s="353"/>
      <c r="E283" s="288"/>
      <c r="F283" s="350"/>
      <c r="G283" s="289"/>
      <c r="H283" s="350"/>
      <c r="I283" s="350"/>
      <c r="J283" s="350"/>
      <c r="K283" s="350"/>
      <c r="L283" s="350"/>
      <c r="M283" s="350"/>
      <c r="N283" s="288"/>
      <c r="O283" s="288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</row>
    <row r="284">
      <c r="A284" s="353"/>
      <c r="B284" s="288"/>
      <c r="C284" s="288"/>
      <c r="D284" s="353"/>
      <c r="E284" s="288"/>
      <c r="F284" s="350"/>
      <c r="G284" s="289"/>
      <c r="H284" s="350"/>
      <c r="I284" s="350"/>
      <c r="J284" s="350"/>
      <c r="K284" s="350"/>
      <c r="L284" s="350"/>
      <c r="M284" s="350"/>
      <c r="N284" s="288"/>
      <c r="O284" s="288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  <c r="AA284" s="294"/>
      <c r="AB284" s="294"/>
    </row>
    <row r="285">
      <c r="A285" s="353"/>
      <c r="B285" s="288"/>
      <c r="C285" s="288"/>
      <c r="D285" s="353"/>
      <c r="E285" s="288"/>
      <c r="F285" s="350"/>
      <c r="G285" s="289"/>
      <c r="H285" s="350"/>
      <c r="I285" s="350"/>
      <c r="J285" s="350"/>
      <c r="K285" s="350"/>
      <c r="L285" s="350"/>
      <c r="M285" s="350"/>
      <c r="N285" s="288"/>
      <c r="O285" s="288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294"/>
    </row>
    <row r="286">
      <c r="A286" s="353"/>
      <c r="B286" s="288"/>
      <c r="C286" s="288"/>
      <c r="D286" s="353"/>
      <c r="E286" s="288"/>
      <c r="F286" s="350"/>
      <c r="G286" s="289"/>
      <c r="H286" s="350"/>
      <c r="I286" s="350"/>
      <c r="J286" s="350"/>
      <c r="K286" s="350"/>
      <c r="L286" s="350"/>
      <c r="M286" s="350"/>
      <c r="N286" s="288"/>
      <c r="O286" s="288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</row>
    <row r="287">
      <c r="A287" s="353"/>
      <c r="B287" s="288"/>
      <c r="C287" s="288"/>
      <c r="D287" s="353"/>
      <c r="E287" s="288"/>
      <c r="F287" s="350"/>
      <c r="G287" s="289"/>
      <c r="H287" s="350"/>
      <c r="I287" s="350"/>
      <c r="J287" s="350"/>
      <c r="K287" s="350"/>
      <c r="L287" s="350"/>
      <c r="M287" s="350"/>
      <c r="N287" s="288"/>
      <c r="O287" s="288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294"/>
    </row>
    <row r="288">
      <c r="A288" s="353"/>
      <c r="B288" s="288"/>
      <c r="C288" s="288"/>
      <c r="D288" s="353"/>
      <c r="E288" s="288"/>
      <c r="F288" s="350"/>
      <c r="G288" s="289"/>
      <c r="H288" s="350"/>
      <c r="I288" s="350"/>
      <c r="J288" s="350"/>
      <c r="K288" s="350"/>
      <c r="L288" s="350"/>
      <c r="M288" s="350"/>
      <c r="N288" s="288"/>
      <c r="O288" s="288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294"/>
    </row>
    <row r="289">
      <c r="A289" s="353"/>
      <c r="B289" s="288"/>
      <c r="C289" s="288"/>
      <c r="D289" s="353"/>
      <c r="E289" s="288"/>
      <c r="F289" s="350"/>
      <c r="G289" s="289"/>
      <c r="H289" s="350"/>
      <c r="I289" s="350"/>
      <c r="J289" s="350"/>
      <c r="K289" s="350"/>
      <c r="L289" s="350"/>
      <c r="M289" s="350"/>
      <c r="N289" s="288"/>
      <c r="O289" s="288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294"/>
    </row>
    <row r="290">
      <c r="A290" s="353"/>
      <c r="B290" s="288"/>
      <c r="C290" s="288"/>
      <c r="D290" s="353"/>
      <c r="E290" s="288"/>
      <c r="F290" s="350"/>
      <c r="G290" s="289"/>
      <c r="H290" s="350"/>
      <c r="I290" s="350"/>
      <c r="J290" s="350"/>
      <c r="K290" s="350"/>
      <c r="L290" s="350"/>
      <c r="M290" s="350"/>
      <c r="N290" s="288"/>
      <c r="O290" s="288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  <c r="AA290" s="294"/>
      <c r="AB290" s="294"/>
    </row>
    <row r="291">
      <c r="A291" s="353"/>
      <c r="B291" s="288"/>
      <c r="C291" s="288"/>
      <c r="D291" s="353"/>
      <c r="E291" s="288"/>
      <c r="F291" s="350"/>
      <c r="G291" s="289"/>
      <c r="H291" s="350"/>
      <c r="I291" s="350"/>
      <c r="J291" s="350"/>
      <c r="K291" s="350"/>
      <c r="L291" s="350"/>
      <c r="M291" s="350"/>
      <c r="N291" s="288"/>
      <c r="O291" s="288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  <c r="AA291" s="294"/>
      <c r="AB291" s="294"/>
    </row>
    <row r="292">
      <c r="A292" s="353"/>
      <c r="B292" s="288"/>
      <c r="C292" s="288"/>
      <c r="D292" s="353"/>
      <c r="E292" s="288"/>
      <c r="F292" s="350"/>
      <c r="G292" s="289"/>
      <c r="H292" s="350"/>
      <c r="I292" s="350"/>
      <c r="J292" s="350"/>
      <c r="K292" s="350"/>
      <c r="L292" s="350"/>
      <c r="M292" s="350"/>
      <c r="N292" s="288"/>
      <c r="O292" s="288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  <c r="AA292" s="294"/>
      <c r="AB292" s="294"/>
    </row>
    <row r="293">
      <c r="A293" s="353"/>
      <c r="B293" s="288"/>
      <c r="C293" s="288"/>
      <c r="D293" s="353"/>
      <c r="E293" s="288"/>
      <c r="F293" s="350"/>
      <c r="G293" s="289"/>
      <c r="H293" s="350"/>
      <c r="I293" s="350"/>
      <c r="J293" s="350"/>
      <c r="K293" s="350"/>
      <c r="L293" s="350"/>
      <c r="M293" s="350"/>
      <c r="N293" s="288"/>
      <c r="O293" s="288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  <c r="AA293" s="294"/>
      <c r="AB293" s="294"/>
    </row>
    <row r="294">
      <c r="A294" s="353"/>
      <c r="B294" s="288"/>
      <c r="C294" s="288"/>
      <c r="D294" s="353"/>
      <c r="E294" s="288"/>
      <c r="F294" s="350"/>
      <c r="G294" s="289"/>
      <c r="H294" s="350"/>
      <c r="I294" s="350"/>
      <c r="J294" s="350"/>
      <c r="K294" s="350"/>
      <c r="L294" s="350"/>
      <c r="M294" s="350"/>
      <c r="N294" s="288"/>
      <c r="O294" s="288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  <c r="AA294" s="294"/>
      <c r="AB294" s="294"/>
    </row>
    <row r="295">
      <c r="A295" s="353"/>
      <c r="B295" s="288"/>
      <c r="C295" s="288"/>
      <c r="D295" s="353"/>
      <c r="E295" s="288"/>
      <c r="F295" s="350"/>
      <c r="G295" s="289"/>
      <c r="H295" s="350"/>
      <c r="I295" s="350"/>
      <c r="J295" s="350"/>
      <c r="K295" s="350"/>
      <c r="L295" s="350"/>
      <c r="M295" s="350"/>
      <c r="N295" s="288"/>
      <c r="O295" s="288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  <c r="AA295" s="294"/>
      <c r="AB295" s="294"/>
    </row>
    <row r="296">
      <c r="A296" s="353"/>
      <c r="B296" s="288"/>
      <c r="C296" s="288"/>
      <c r="D296" s="353"/>
      <c r="E296" s="288"/>
      <c r="F296" s="350"/>
      <c r="G296" s="289"/>
      <c r="H296" s="350"/>
      <c r="I296" s="350"/>
      <c r="J296" s="350"/>
      <c r="K296" s="350"/>
      <c r="L296" s="350"/>
      <c r="M296" s="350"/>
      <c r="N296" s="288"/>
      <c r="O296" s="288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  <c r="AA296" s="294"/>
      <c r="AB296" s="294"/>
    </row>
    <row r="297">
      <c r="A297" s="353"/>
      <c r="B297" s="288"/>
      <c r="C297" s="288"/>
      <c r="D297" s="353"/>
      <c r="E297" s="288"/>
      <c r="F297" s="350"/>
      <c r="G297" s="289"/>
      <c r="H297" s="350"/>
      <c r="I297" s="350"/>
      <c r="J297" s="350"/>
      <c r="K297" s="350"/>
      <c r="L297" s="350"/>
      <c r="M297" s="350"/>
      <c r="N297" s="288"/>
      <c r="O297" s="288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  <c r="AA297" s="294"/>
      <c r="AB297" s="294"/>
    </row>
    <row r="298">
      <c r="A298" s="353"/>
      <c r="B298" s="288"/>
      <c r="C298" s="288"/>
      <c r="D298" s="353"/>
      <c r="E298" s="288"/>
      <c r="F298" s="350"/>
      <c r="G298" s="289"/>
      <c r="H298" s="350"/>
      <c r="I298" s="350"/>
      <c r="J298" s="350"/>
      <c r="K298" s="350"/>
      <c r="L298" s="350"/>
      <c r="M298" s="350"/>
      <c r="N298" s="288"/>
      <c r="O298" s="288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</row>
    <row r="299">
      <c r="A299" s="353"/>
      <c r="B299" s="288"/>
      <c r="C299" s="288"/>
      <c r="D299" s="353"/>
      <c r="E299" s="288"/>
      <c r="F299" s="350"/>
      <c r="G299" s="289"/>
      <c r="H299" s="350"/>
      <c r="I299" s="350"/>
      <c r="J299" s="350"/>
      <c r="K299" s="350"/>
      <c r="L299" s="350"/>
      <c r="M299" s="350"/>
      <c r="N299" s="288"/>
      <c r="O299" s="288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  <c r="AA299" s="294"/>
      <c r="AB299" s="294"/>
    </row>
    <row r="300">
      <c r="A300" s="353"/>
      <c r="B300" s="288"/>
      <c r="C300" s="288"/>
      <c r="D300" s="353"/>
      <c r="E300" s="288"/>
      <c r="F300" s="350"/>
      <c r="G300" s="289"/>
      <c r="H300" s="350"/>
      <c r="I300" s="350"/>
      <c r="J300" s="350"/>
      <c r="K300" s="350"/>
      <c r="L300" s="350"/>
      <c r="M300" s="350"/>
      <c r="N300" s="288"/>
      <c r="O300" s="288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  <c r="AA300" s="294"/>
      <c r="AB300" s="294"/>
    </row>
    <row r="301">
      <c r="A301" s="353"/>
      <c r="B301" s="288"/>
      <c r="C301" s="288"/>
      <c r="D301" s="353"/>
      <c r="E301" s="288"/>
      <c r="F301" s="350"/>
      <c r="G301" s="289"/>
      <c r="H301" s="350"/>
      <c r="I301" s="350"/>
      <c r="J301" s="350"/>
      <c r="K301" s="350"/>
      <c r="L301" s="350"/>
      <c r="M301" s="350"/>
      <c r="N301" s="288"/>
      <c r="O301" s="288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  <c r="AA301" s="294"/>
      <c r="AB301" s="294"/>
    </row>
    <row r="302">
      <c r="A302" s="353"/>
      <c r="B302" s="288"/>
      <c r="C302" s="288"/>
      <c r="D302" s="353"/>
      <c r="E302" s="288"/>
      <c r="F302" s="350"/>
      <c r="G302" s="289"/>
      <c r="H302" s="350"/>
      <c r="I302" s="350"/>
      <c r="J302" s="350"/>
      <c r="K302" s="350"/>
      <c r="L302" s="350"/>
      <c r="M302" s="350"/>
      <c r="N302" s="288"/>
      <c r="O302" s="288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  <c r="AA302" s="294"/>
      <c r="AB302" s="294"/>
    </row>
    <row r="303">
      <c r="A303" s="353"/>
      <c r="B303" s="288"/>
      <c r="C303" s="288"/>
      <c r="D303" s="353"/>
      <c r="E303" s="288"/>
      <c r="F303" s="350"/>
      <c r="G303" s="289"/>
      <c r="H303" s="350"/>
      <c r="I303" s="350"/>
      <c r="J303" s="350"/>
      <c r="K303" s="350"/>
      <c r="L303" s="350"/>
      <c r="M303" s="350"/>
      <c r="N303" s="288"/>
      <c r="O303" s="288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  <c r="AA303" s="294"/>
      <c r="AB303" s="294"/>
    </row>
    <row r="304">
      <c r="A304" s="353"/>
      <c r="B304" s="288"/>
      <c r="C304" s="288"/>
      <c r="D304" s="353"/>
      <c r="E304" s="288"/>
      <c r="F304" s="350"/>
      <c r="G304" s="289"/>
      <c r="H304" s="350"/>
      <c r="I304" s="350"/>
      <c r="J304" s="350"/>
      <c r="K304" s="350"/>
      <c r="L304" s="350"/>
      <c r="M304" s="350"/>
      <c r="N304" s="288"/>
      <c r="O304" s="288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  <c r="AA304" s="294"/>
      <c r="AB304" s="294"/>
    </row>
    <row r="305">
      <c r="A305" s="353"/>
      <c r="B305" s="288"/>
      <c r="C305" s="288"/>
      <c r="D305" s="353"/>
      <c r="E305" s="288"/>
      <c r="F305" s="350"/>
      <c r="G305" s="289"/>
      <c r="H305" s="350"/>
      <c r="I305" s="350"/>
      <c r="J305" s="350"/>
      <c r="K305" s="350"/>
      <c r="L305" s="350"/>
      <c r="M305" s="350"/>
      <c r="N305" s="288"/>
      <c r="O305" s="288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  <c r="AA305" s="294"/>
      <c r="AB305" s="294"/>
    </row>
    <row r="306">
      <c r="A306" s="353"/>
      <c r="B306" s="288"/>
      <c r="C306" s="288"/>
      <c r="D306" s="353"/>
      <c r="E306" s="288"/>
      <c r="F306" s="350"/>
      <c r="G306" s="289"/>
      <c r="H306" s="350"/>
      <c r="I306" s="350"/>
      <c r="J306" s="350"/>
      <c r="K306" s="350"/>
      <c r="L306" s="350"/>
      <c r="M306" s="350"/>
      <c r="N306" s="288"/>
      <c r="O306" s="288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  <c r="AA306" s="294"/>
      <c r="AB306" s="294"/>
    </row>
    <row r="307">
      <c r="A307" s="353"/>
      <c r="B307" s="288"/>
      <c r="C307" s="288"/>
      <c r="D307" s="353"/>
      <c r="E307" s="288"/>
      <c r="F307" s="350"/>
      <c r="G307" s="289"/>
      <c r="H307" s="350"/>
      <c r="I307" s="350"/>
      <c r="J307" s="350"/>
      <c r="K307" s="350"/>
      <c r="L307" s="350"/>
      <c r="M307" s="350"/>
      <c r="N307" s="288"/>
      <c r="O307" s="288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  <c r="AA307" s="294"/>
      <c r="AB307" s="294"/>
    </row>
    <row r="308">
      <c r="A308" s="353"/>
      <c r="B308" s="288"/>
      <c r="C308" s="288"/>
      <c r="D308" s="353"/>
      <c r="E308" s="288"/>
      <c r="F308" s="350"/>
      <c r="G308" s="289"/>
      <c r="H308" s="350"/>
      <c r="I308" s="350"/>
      <c r="J308" s="350"/>
      <c r="K308" s="350"/>
      <c r="L308" s="350"/>
      <c r="M308" s="350"/>
      <c r="N308" s="288"/>
      <c r="O308" s="288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  <c r="AA308" s="294"/>
      <c r="AB308" s="294"/>
    </row>
    <row r="309">
      <c r="A309" s="353"/>
      <c r="B309" s="288"/>
      <c r="C309" s="288"/>
      <c r="D309" s="353"/>
      <c r="E309" s="288"/>
      <c r="F309" s="350"/>
      <c r="G309" s="289"/>
      <c r="H309" s="350"/>
      <c r="I309" s="350"/>
      <c r="J309" s="350"/>
      <c r="K309" s="350"/>
      <c r="L309" s="350"/>
      <c r="M309" s="350"/>
      <c r="N309" s="288"/>
      <c r="O309" s="288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  <c r="AA309" s="294"/>
      <c r="AB309" s="294"/>
    </row>
    <row r="310">
      <c r="A310" s="353"/>
      <c r="B310" s="288"/>
      <c r="C310" s="288"/>
      <c r="D310" s="353"/>
      <c r="E310" s="288"/>
      <c r="F310" s="350"/>
      <c r="G310" s="289"/>
      <c r="H310" s="350"/>
      <c r="I310" s="350"/>
      <c r="J310" s="350"/>
      <c r="K310" s="350"/>
      <c r="L310" s="350"/>
      <c r="M310" s="350"/>
      <c r="N310" s="288"/>
      <c r="O310" s="288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  <c r="AA310" s="294"/>
      <c r="AB310" s="294"/>
    </row>
    <row r="311">
      <c r="A311" s="353"/>
      <c r="B311" s="288"/>
      <c r="C311" s="288"/>
      <c r="D311" s="353"/>
      <c r="E311" s="288"/>
      <c r="F311" s="350"/>
      <c r="G311" s="289"/>
      <c r="H311" s="350"/>
      <c r="I311" s="350"/>
      <c r="J311" s="350"/>
      <c r="K311" s="350"/>
      <c r="L311" s="350"/>
      <c r="M311" s="350"/>
      <c r="N311" s="288"/>
      <c r="O311" s="288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  <c r="AA311" s="294"/>
      <c r="AB311" s="294"/>
    </row>
    <row r="312">
      <c r="A312" s="353"/>
      <c r="B312" s="288"/>
      <c r="C312" s="288"/>
      <c r="D312" s="353"/>
      <c r="E312" s="288"/>
      <c r="F312" s="350"/>
      <c r="G312" s="289"/>
      <c r="H312" s="350"/>
      <c r="I312" s="350"/>
      <c r="J312" s="350"/>
      <c r="K312" s="350"/>
      <c r="L312" s="350"/>
      <c r="M312" s="350"/>
      <c r="N312" s="288"/>
      <c r="O312" s="288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  <c r="AA312" s="294"/>
      <c r="AB312" s="294"/>
    </row>
    <row r="313">
      <c r="A313" s="353"/>
      <c r="B313" s="288"/>
      <c r="C313" s="288"/>
      <c r="D313" s="353"/>
      <c r="E313" s="288"/>
      <c r="F313" s="350"/>
      <c r="G313" s="289"/>
      <c r="H313" s="350"/>
      <c r="I313" s="350"/>
      <c r="J313" s="350"/>
      <c r="K313" s="350"/>
      <c r="L313" s="350"/>
      <c r="M313" s="350"/>
      <c r="N313" s="288"/>
      <c r="O313" s="288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  <c r="AA313" s="294"/>
      <c r="AB313" s="294"/>
    </row>
    <row r="314">
      <c r="A314" s="353"/>
      <c r="B314" s="288"/>
      <c r="C314" s="288"/>
      <c r="D314" s="353"/>
      <c r="E314" s="288"/>
      <c r="F314" s="350"/>
      <c r="G314" s="289"/>
      <c r="H314" s="350"/>
      <c r="I314" s="350"/>
      <c r="J314" s="350"/>
      <c r="K314" s="350"/>
      <c r="L314" s="350"/>
      <c r="M314" s="350"/>
      <c r="N314" s="288"/>
      <c r="O314" s="288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  <c r="AA314" s="294"/>
      <c r="AB314" s="294"/>
    </row>
    <row r="315">
      <c r="A315" s="353"/>
      <c r="B315" s="288"/>
      <c r="C315" s="288"/>
      <c r="D315" s="353"/>
      <c r="E315" s="288"/>
      <c r="F315" s="350"/>
      <c r="G315" s="289"/>
      <c r="H315" s="350"/>
      <c r="I315" s="350"/>
      <c r="J315" s="350"/>
      <c r="K315" s="350"/>
      <c r="L315" s="350"/>
      <c r="M315" s="350"/>
      <c r="N315" s="288"/>
      <c r="O315" s="288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  <c r="AA315" s="294"/>
      <c r="AB315" s="294"/>
    </row>
    <row r="316">
      <c r="A316" s="353"/>
      <c r="B316" s="288"/>
      <c r="C316" s="288"/>
      <c r="D316" s="353"/>
      <c r="E316" s="288"/>
      <c r="F316" s="350"/>
      <c r="G316" s="289"/>
      <c r="H316" s="350"/>
      <c r="I316" s="350"/>
      <c r="J316" s="350"/>
      <c r="K316" s="350"/>
      <c r="L316" s="350"/>
      <c r="M316" s="350"/>
      <c r="N316" s="288"/>
      <c r="O316" s="288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  <c r="AA316" s="294"/>
      <c r="AB316" s="294"/>
    </row>
    <row r="317">
      <c r="A317" s="353"/>
      <c r="B317" s="288"/>
      <c r="C317" s="288"/>
      <c r="D317" s="353"/>
      <c r="E317" s="288"/>
      <c r="F317" s="350"/>
      <c r="G317" s="289"/>
      <c r="H317" s="350"/>
      <c r="I317" s="350"/>
      <c r="J317" s="350"/>
      <c r="K317" s="350"/>
      <c r="L317" s="350"/>
      <c r="M317" s="350"/>
      <c r="N317" s="288"/>
      <c r="O317" s="288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  <c r="AA317" s="294"/>
      <c r="AB317" s="294"/>
    </row>
    <row r="318">
      <c r="A318" s="353"/>
      <c r="B318" s="288"/>
      <c r="C318" s="288"/>
      <c r="D318" s="353"/>
      <c r="E318" s="288"/>
      <c r="F318" s="350"/>
      <c r="G318" s="289"/>
      <c r="H318" s="350"/>
      <c r="I318" s="350"/>
      <c r="J318" s="350"/>
      <c r="K318" s="350"/>
      <c r="L318" s="350"/>
      <c r="M318" s="350"/>
      <c r="N318" s="288"/>
      <c r="O318" s="288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  <c r="AA318" s="294"/>
      <c r="AB318" s="294"/>
    </row>
    <row r="319">
      <c r="A319" s="353"/>
      <c r="B319" s="288"/>
      <c r="C319" s="288"/>
      <c r="D319" s="353"/>
      <c r="E319" s="288"/>
      <c r="F319" s="350"/>
      <c r="G319" s="289"/>
      <c r="H319" s="350"/>
      <c r="I319" s="350"/>
      <c r="J319" s="350"/>
      <c r="K319" s="350"/>
      <c r="L319" s="350"/>
      <c r="M319" s="350"/>
      <c r="N319" s="288"/>
      <c r="O319" s="288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  <c r="AA319" s="294"/>
      <c r="AB319" s="294"/>
    </row>
    <row r="320">
      <c r="A320" s="353"/>
      <c r="B320" s="288"/>
      <c r="C320" s="288"/>
      <c r="D320" s="353"/>
      <c r="E320" s="288"/>
      <c r="F320" s="350"/>
      <c r="G320" s="289"/>
      <c r="H320" s="350"/>
      <c r="I320" s="350"/>
      <c r="J320" s="350"/>
      <c r="K320" s="350"/>
      <c r="L320" s="350"/>
      <c r="M320" s="350"/>
      <c r="N320" s="288"/>
      <c r="O320" s="288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  <c r="AA320" s="294"/>
      <c r="AB320" s="294"/>
    </row>
    <row r="321">
      <c r="A321" s="353"/>
      <c r="B321" s="288"/>
      <c r="C321" s="288"/>
      <c r="D321" s="353"/>
      <c r="E321" s="288"/>
      <c r="F321" s="350"/>
      <c r="G321" s="289"/>
      <c r="H321" s="350"/>
      <c r="I321" s="350"/>
      <c r="J321" s="350"/>
      <c r="K321" s="350"/>
      <c r="L321" s="350"/>
      <c r="M321" s="350"/>
      <c r="N321" s="288"/>
      <c r="O321" s="288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  <c r="AA321" s="294"/>
      <c r="AB321" s="294"/>
    </row>
    <row r="322">
      <c r="A322" s="353"/>
      <c r="B322" s="288"/>
      <c r="C322" s="288"/>
      <c r="D322" s="353"/>
      <c r="E322" s="288"/>
      <c r="F322" s="350"/>
      <c r="G322" s="289"/>
      <c r="H322" s="350"/>
      <c r="I322" s="350"/>
      <c r="J322" s="350"/>
      <c r="K322" s="350"/>
      <c r="L322" s="350"/>
      <c r="M322" s="350"/>
      <c r="N322" s="288"/>
      <c r="O322" s="288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  <c r="AA322" s="294"/>
      <c r="AB322" s="294"/>
    </row>
    <row r="323">
      <c r="A323" s="353"/>
      <c r="B323" s="288"/>
      <c r="C323" s="288"/>
      <c r="D323" s="353"/>
      <c r="E323" s="288"/>
      <c r="F323" s="350"/>
      <c r="G323" s="289"/>
      <c r="H323" s="350"/>
      <c r="I323" s="350"/>
      <c r="J323" s="350"/>
      <c r="K323" s="350"/>
      <c r="L323" s="350"/>
      <c r="M323" s="350"/>
      <c r="N323" s="288"/>
      <c r="O323" s="288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  <c r="AA323" s="294"/>
      <c r="AB323" s="294"/>
    </row>
    <row r="324">
      <c r="A324" s="353"/>
      <c r="B324" s="288"/>
      <c r="C324" s="288"/>
      <c r="D324" s="353"/>
      <c r="E324" s="288"/>
      <c r="F324" s="350"/>
      <c r="G324" s="289"/>
      <c r="H324" s="350"/>
      <c r="I324" s="350"/>
      <c r="J324" s="350"/>
      <c r="K324" s="350"/>
      <c r="L324" s="350"/>
      <c r="M324" s="350"/>
      <c r="N324" s="288"/>
      <c r="O324" s="288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  <c r="AA324" s="294"/>
      <c r="AB324" s="294"/>
    </row>
    <row r="325">
      <c r="A325" s="353"/>
      <c r="B325" s="288"/>
      <c r="C325" s="288"/>
      <c r="D325" s="353"/>
      <c r="E325" s="288"/>
      <c r="F325" s="350"/>
      <c r="G325" s="289"/>
      <c r="H325" s="350"/>
      <c r="I325" s="350"/>
      <c r="J325" s="350"/>
      <c r="K325" s="350"/>
      <c r="L325" s="350"/>
      <c r="M325" s="350"/>
      <c r="N325" s="288"/>
      <c r="O325" s="288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  <c r="AA325" s="294"/>
      <c r="AB325" s="294"/>
    </row>
    <row r="326">
      <c r="A326" s="353"/>
      <c r="B326" s="288"/>
      <c r="C326" s="288"/>
      <c r="D326" s="353"/>
      <c r="E326" s="288"/>
      <c r="F326" s="350"/>
      <c r="G326" s="289"/>
      <c r="H326" s="350"/>
      <c r="I326" s="350"/>
      <c r="J326" s="350"/>
      <c r="K326" s="350"/>
      <c r="L326" s="350"/>
      <c r="M326" s="350"/>
      <c r="N326" s="288"/>
      <c r="O326" s="288"/>
      <c r="P326" s="294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  <c r="AA326" s="294"/>
      <c r="AB326" s="294"/>
    </row>
    <row r="327">
      <c r="A327" s="353"/>
      <c r="B327" s="288"/>
      <c r="C327" s="288"/>
      <c r="D327" s="353"/>
      <c r="E327" s="288"/>
      <c r="F327" s="350"/>
      <c r="G327" s="289"/>
      <c r="H327" s="350"/>
      <c r="I327" s="350"/>
      <c r="J327" s="350"/>
      <c r="K327" s="350"/>
      <c r="L327" s="350"/>
      <c r="M327" s="350"/>
      <c r="N327" s="288"/>
      <c r="O327" s="288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  <c r="AA327" s="294"/>
      <c r="AB327" s="294"/>
    </row>
    <row r="328">
      <c r="A328" s="353"/>
      <c r="B328" s="288"/>
      <c r="C328" s="288"/>
      <c r="D328" s="353"/>
      <c r="E328" s="288"/>
      <c r="F328" s="350"/>
      <c r="G328" s="289"/>
      <c r="H328" s="350"/>
      <c r="I328" s="350"/>
      <c r="J328" s="350"/>
      <c r="K328" s="350"/>
      <c r="L328" s="350"/>
      <c r="M328" s="350"/>
      <c r="N328" s="288"/>
      <c r="O328" s="288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  <c r="AA328" s="294"/>
      <c r="AB328" s="294"/>
    </row>
    <row r="329">
      <c r="A329" s="353"/>
      <c r="B329" s="288"/>
      <c r="C329" s="288"/>
      <c r="D329" s="353"/>
      <c r="E329" s="288"/>
      <c r="F329" s="350"/>
      <c r="G329" s="289"/>
      <c r="H329" s="350"/>
      <c r="I329" s="350"/>
      <c r="J329" s="350"/>
      <c r="K329" s="350"/>
      <c r="L329" s="350"/>
      <c r="M329" s="350"/>
      <c r="N329" s="288"/>
      <c r="O329" s="288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  <c r="AA329" s="294"/>
      <c r="AB329" s="294"/>
    </row>
    <row r="330">
      <c r="A330" s="353"/>
      <c r="B330" s="288"/>
      <c r="C330" s="288"/>
      <c r="D330" s="353"/>
      <c r="E330" s="288"/>
      <c r="F330" s="350"/>
      <c r="G330" s="289"/>
      <c r="H330" s="350"/>
      <c r="I330" s="350"/>
      <c r="J330" s="350"/>
      <c r="K330" s="350"/>
      <c r="L330" s="350"/>
      <c r="M330" s="350"/>
      <c r="N330" s="288"/>
      <c r="O330" s="288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  <c r="AA330" s="294"/>
      <c r="AB330" s="294"/>
    </row>
    <row r="331">
      <c r="A331" s="353"/>
      <c r="B331" s="288"/>
      <c r="C331" s="288"/>
      <c r="D331" s="353"/>
      <c r="E331" s="288"/>
      <c r="F331" s="350"/>
      <c r="G331" s="289"/>
      <c r="H331" s="350"/>
      <c r="I331" s="350"/>
      <c r="J331" s="350"/>
      <c r="K331" s="350"/>
      <c r="L331" s="350"/>
      <c r="M331" s="350"/>
      <c r="N331" s="288"/>
      <c r="O331" s="288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  <c r="AA331" s="294"/>
      <c r="AB331" s="294"/>
    </row>
    <row r="332">
      <c r="A332" s="353"/>
      <c r="B332" s="288"/>
      <c r="C332" s="288"/>
      <c r="D332" s="353"/>
      <c r="E332" s="288"/>
      <c r="F332" s="350"/>
      <c r="G332" s="289"/>
      <c r="H332" s="350"/>
      <c r="I332" s="350"/>
      <c r="J332" s="350"/>
      <c r="K332" s="350"/>
      <c r="L332" s="350"/>
      <c r="M332" s="350"/>
      <c r="N332" s="288"/>
      <c r="O332" s="288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  <c r="AA332" s="294"/>
      <c r="AB332" s="294"/>
    </row>
    <row r="333">
      <c r="A333" s="353"/>
      <c r="B333" s="288"/>
      <c r="C333" s="288"/>
      <c r="D333" s="353"/>
      <c r="E333" s="288"/>
      <c r="F333" s="350"/>
      <c r="G333" s="289"/>
      <c r="H333" s="350"/>
      <c r="I333" s="350"/>
      <c r="J333" s="350"/>
      <c r="K333" s="350"/>
      <c r="L333" s="350"/>
      <c r="M333" s="350"/>
      <c r="N333" s="288"/>
      <c r="O333" s="288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  <c r="AA333" s="294"/>
      <c r="AB333" s="294"/>
    </row>
    <row r="334">
      <c r="A334" s="353"/>
      <c r="B334" s="288"/>
      <c r="C334" s="288"/>
      <c r="D334" s="353"/>
      <c r="E334" s="288"/>
      <c r="F334" s="350"/>
      <c r="G334" s="289"/>
      <c r="H334" s="350"/>
      <c r="I334" s="350"/>
      <c r="J334" s="350"/>
      <c r="K334" s="350"/>
      <c r="L334" s="350"/>
      <c r="M334" s="350"/>
      <c r="N334" s="288"/>
      <c r="O334" s="288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  <c r="AA334" s="294"/>
      <c r="AB334" s="294"/>
    </row>
    <row r="335">
      <c r="A335" s="353"/>
      <c r="B335" s="288"/>
      <c r="C335" s="288"/>
      <c r="D335" s="353"/>
      <c r="E335" s="288"/>
      <c r="F335" s="350"/>
      <c r="G335" s="289"/>
      <c r="H335" s="350"/>
      <c r="I335" s="350"/>
      <c r="J335" s="350"/>
      <c r="K335" s="350"/>
      <c r="L335" s="350"/>
      <c r="M335" s="350"/>
      <c r="N335" s="288"/>
      <c r="O335" s="288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  <c r="AA335" s="294"/>
      <c r="AB335" s="294"/>
    </row>
    <row r="336">
      <c r="A336" s="353"/>
      <c r="B336" s="288"/>
      <c r="C336" s="288"/>
      <c r="D336" s="353"/>
      <c r="E336" s="288"/>
      <c r="F336" s="350"/>
      <c r="G336" s="289"/>
      <c r="H336" s="350"/>
      <c r="I336" s="350"/>
      <c r="J336" s="350"/>
      <c r="K336" s="350"/>
      <c r="L336" s="350"/>
      <c r="M336" s="350"/>
      <c r="N336" s="288"/>
      <c r="O336" s="288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  <c r="AA336" s="294"/>
      <c r="AB336" s="294"/>
    </row>
    <row r="337">
      <c r="A337" s="353"/>
      <c r="B337" s="288"/>
      <c r="C337" s="288"/>
      <c r="D337" s="353"/>
      <c r="E337" s="288"/>
      <c r="F337" s="350"/>
      <c r="G337" s="289"/>
      <c r="H337" s="350"/>
      <c r="I337" s="350"/>
      <c r="J337" s="350"/>
      <c r="K337" s="350"/>
      <c r="L337" s="350"/>
      <c r="M337" s="350"/>
      <c r="N337" s="288"/>
      <c r="O337" s="288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  <c r="AA337" s="294"/>
      <c r="AB337" s="294"/>
    </row>
    <row r="338">
      <c r="A338" s="353"/>
      <c r="B338" s="288"/>
      <c r="C338" s="288"/>
      <c r="D338" s="353"/>
      <c r="E338" s="288"/>
      <c r="F338" s="350"/>
      <c r="G338" s="289"/>
      <c r="H338" s="350"/>
      <c r="I338" s="350"/>
      <c r="J338" s="350"/>
      <c r="K338" s="350"/>
      <c r="L338" s="350"/>
      <c r="M338" s="350"/>
      <c r="N338" s="288"/>
      <c r="O338" s="288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  <c r="AA338" s="294"/>
      <c r="AB338" s="294"/>
    </row>
    <row r="339">
      <c r="A339" s="353"/>
      <c r="B339" s="288"/>
      <c r="C339" s="288"/>
      <c r="D339" s="353"/>
      <c r="E339" s="288"/>
      <c r="F339" s="350"/>
      <c r="G339" s="289"/>
      <c r="H339" s="350"/>
      <c r="I339" s="350"/>
      <c r="J339" s="350"/>
      <c r="K339" s="350"/>
      <c r="L339" s="350"/>
      <c r="M339" s="350"/>
      <c r="N339" s="288"/>
      <c r="O339" s="288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  <c r="AA339" s="294"/>
      <c r="AB339" s="294"/>
    </row>
    <row r="340">
      <c r="A340" s="353"/>
      <c r="B340" s="288"/>
      <c r="C340" s="288"/>
      <c r="D340" s="353"/>
      <c r="E340" s="288"/>
      <c r="F340" s="350"/>
      <c r="G340" s="289"/>
      <c r="H340" s="350"/>
      <c r="I340" s="350"/>
      <c r="J340" s="350"/>
      <c r="K340" s="350"/>
      <c r="L340" s="350"/>
      <c r="M340" s="350"/>
      <c r="N340" s="288"/>
      <c r="O340" s="288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  <c r="AA340" s="294"/>
      <c r="AB340" s="294"/>
    </row>
    <row r="341">
      <c r="A341" s="353"/>
      <c r="B341" s="288"/>
      <c r="C341" s="288"/>
      <c r="D341" s="353"/>
      <c r="E341" s="288"/>
      <c r="F341" s="350"/>
      <c r="G341" s="289"/>
      <c r="H341" s="350"/>
      <c r="I341" s="350"/>
      <c r="J341" s="350"/>
      <c r="K341" s="350"/>
      <c r="L341" s="350"/>
      <c r="M341" s="350"/>
      <c r="N341" s="288"/>
      <c r="O341" s="288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  <c r="AA341" s="294"/>
      <c r="AB341" s="294"/>
    </row>
    <row r="342">
      <c r="A342" s="353"/>
      <c r="B342" s="288"/>
      <c r="C342" s="288"/>
      <c r="D342" s="353"/>
      <c r="E342" s="288"/>
      <c r="F342" s="350"/>
      <c r="G342" s="289"/>
      <c r="H342" s="350"/>
      <c r="I342" s="350"/>
      <c r="J342" s="350"/>
      <c r="K342" s="350"/>
      <c r="L342" s="350"/>
      <c r="M342" s="350"/>
      <c r="N342" s="288"/>
      <c r="O342" s="288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  <c r="AA342" s="294"/>
      <c r="AB342" s="294"/>
    </row>
    <row r="343">
      <c r="A343" s="353"/>
      <c r="B343" s="288"/>
      <c r="C343" s="288"/>
      <c r="D343" s="353"/>
      <c r="E343" s="288"/>
      <c r="F343" s="350"/>
      <c r="G343" s="289"/>
      <c r="H343" s="350"/>
      <c r="I343" s="350"/>
      <c r="J343" s="350"/>
      <c r="K343" s="350"/>
      <c r="L343" s="350"/>
      <c r="M343" s="350"/>
      <c r="N343" s="288"/>
      <c r="O343" s="288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</row>
    <row r="344">
      <c r="A344" s="353"/>
      <c r="B344" s="288"/>
      <c r="C344" s="288"/>
      <c r="D344" s="353"/>
      <c r="E344" s="288"/>
      <c r="F344" s="350"/>
      <c r="G344" s="289"/>
      <c r="H344" s="350"/>
      <c r="I344" s="350"/>
      <c r="J344" s="350"/>
      <c r="K344" s="350"/>
      <c r="L344" s="350"/>
      <c r="M344" s="350"/>
      <c r="N344" s="288"/>
      <c r="O344" s="288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  <c r="AA344" s="294"/>
      <c r="AB344" s="294"/>
    </row>
    <row r="345">
      <c r="A345" s="353"/>
      <c r="B345" s="288"/>
      <c r="C345" s="288"/>
      <c r="D345" s="353"/>
      <c r="E345" s="288"/>
      <c r="F345" s="350"/>
      <c r="G345" s="289"/>
      <c r="H345" s="350"/>
      <c r="I345" s="350"/>
      <c r="J345" s="350"/>
      <c r="K345" s="350"/>
      <c r="L345" s="350"/>
      <c r="M345" s="350"/>
      <c r="N345" s="288"/>
      <c r="O345" s="288"/>
      <c r="P345" s="294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  <c r="AA345" s="294"/>
      <c r="AB345" s="294"/>
    </row>
    <row r="346">
      <c r="A346" s="353"/>
      <c r="B346" s="288"/>
      <c r="C346" s="288"/>
      <c r="D346" s="353"/>
      <c r="E346" s="288"/>
      <c r="F346" s="350"/>
      <c r="G346" s="289"/>
      <c r="H346" s="350"/>
      <c r="I346" s="350"/>
      <c r="J346" s="350"/>
      <c r="K346" s="350"/>
      <c r="L346" s="350"/>
      <c r="M346" s="350"/>
      <c r="N346" s="288"/>
      <c r="O346" s="288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  <c r="AA346" s="294"/>
      <c r="AB346" s="294"/>
    </row>
    <row r="347">
      <c r="A347" s="353"/>
      <c r="B347" s="288"/>
      <c r="C347" s="288"/>
      <c r="D347" s="353"/>
      <c r="E347" s="288"/>
      <c r="F347" s="350"/>
      <c r="G347" s="289"/>
      <c r="H347" s="350"/>
      <c r="I347" s="350"/>
      <c r="J347" s="350"/>
      <c r="K347" s="350"/>
      <c r="L347" s="350"/>
      <c r="M347" s="350"/>
      <c r="N347" s="288"/>
      <c r="O347" s="288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  <c r="AA347" s="294"/>
      <c r="AB347" s="294"/>
    </row>
    <row r="348">
      <c r="A348" s="353"/>
      <c r="B348" s="288"/>
      <c r="C348" s="288"/>
      <c r="D348" s="353"/>
      <c r="E348" s="288"/>
      <c r="F348" s="350"/>
      <c r="G348" s="289"/>
      <c r="H348" s="350"/>
      <c r="I348" s="350"/>
      <c r="J348" s="350"/>
      <c r="K348" s="350"/>
      <c r="L348" s="350"/>
      <c r="M348" s="350"/>
      <c r="N348" s="288"/>
      <c r="O348" s="288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  <c r="AA348" s="294"/>
      <c r="AB348" s="294"/>
    </row>
    <row r="349">
      <c r="A349" s="353"/>
      <c r="B349" s="288"/>
      <c r="C349" s="288"/>
      <c r="D349" s="353"/>
      <c r="E349" s="288"/>
      <c r="F349" s="350"/>
      <c r="G349" s="289"/>
      <c r="H349" s="350"/>
      <c r="I349" s="350"/>
      <c r="J349" s="350"/>
      <c r="K349" s="350"/>
      <c r="L349" s="350"/>
      <c r="M349" s="350"/>
      <c r="N349" s="288"/>
      <c r="O349" s="288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  <c r="AA349" s="294"/>
      <c r="AB349" s="294"/>
    </row>
    <row r="350">
      <c r="A350" s="353"/>
      <c r="B350" s="288"/>
      <c r="C350" s="288"/>
      <c r="D350" s="353"/>
      <c r="E350" s="288"/>
      <c r="F350" s="350"/>
      <c r="G350" s="289"/>
      <c r="H350" s="350"/>
      <c r="I350" s="350"/>
      <c r="J350" s="350"/>
      <c r="K350" s="350"/>
      <c r="L350" s="350"/>
      <c r="M350" s="350"/>
      <c r="N350" s="288"/>
      <c r="O350" s="288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  <c r="AA350" s="294"/>
      <c r="AB350" s="294"/>
    </row>
    <row r="351">
      <c r="A351" s="353"/>
      <c r="B351" s="288"/>
      <c r="C351" s="288"/>
      <c r="D351" s="353"/>
      <c r="E351" s="288"/>
      <c r="F351" s="350"/>
      <c r="G351" s="289"/>
      <c r="H351" s="350"/>
      <c r="I351" s="350"/>
      <c r="J351" s="350"/>
      <c r="K351" s="350"/>
      <c r="L351" s="350"/>
      <c r="M351" s="350"/>
      <c r="N351" s="288"/>
      <c r="O351" s="288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  <c r="AA351" s="294"/>
      <c r="AB351" s="294"/>
    </row>
    <row r="352">
      <c r="A352" s="353"/>
      <c r="B352" s="288"/>
      <c r="C352" s="288"/>
      <c r="D352" s="353"/>
      <c r="E352" s="288"/>
      <c r="F352" s="350"/>
      <c r="G352" s="289"/>
      <c r="H352" s="350"/>
      <c r="I352" s="350"/>
      <c r="J352" s="350"/>
      <c r="K352" s="350"/>
      <c r="L352" s="350"/>
      <c r="M352" s="350"/>
      <c r="N352" s="288"/>
      <c r="O352" s="288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  <c r="AA352" s="294"/>
      <c r="AB352" s="294"/>
    </row>
    <row r="353">
      <c r="A353" s="353"/>
      <c r="B353" s="288"/>
      <c r="C353" s="288"/>
      <c r="D353" s="353"/>
      <c r="E353" s="288"/>
      <c r="F353" s="350"/>
      <c r="G353" s="289"/>
      <c r="H353" s="350"/>
      <c r="I353" s="350"/>
      <c r="J353" s="350"/>
      <c r="K353" s="350"/>
      <c r="L353" s="350"/>
      <c r="M353" s="350"/>
      <c r="N353" s="288"/>
      <c r="O353" s="288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  <c r="AA353" s="294"/>
      <c r="AB353" s="294"/>
    </row>
    <row r="354">
      <c r="A354" s="353"/>
      <c r="B354" s="288"/>
      <c r="C354" s="288"/>
      <c r="D354" s="353"/>
      <c r="E354" s="288"/>
      <c r="F354" s="350"/>
      <c r="G354" s="289"/>
      <c r="H354" s="350"/>
      <c r="I354" s="350"/>
      <c r="J354" s="350"/>
      <c r="K354" s="350"/>
      <c r="L354" s="350"/>
      <c r="M354" s="350"/>
      <c r="N354" s="288"/>
      <c r="O354" s="288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  <c r="AA354" s="294"/>
      <c r="AB354" s="294"/>
    </row>
    <row r="355">
      <c r="A355" s="353"/>
      <c r="B355" s="288"/>
      <c r="C355" s="288"/>
      <c r="D355" s="353"/>
      <c r="E355" s="288"/>
      <c r="F355" s="350"/>
      <c r="G355" s="289"/>
      <c r="H355" s="350"/>
      <c r="I355" s="350"/>
      <c r="J355" s="350"/>
      <c r="K355" s="350"/>
      <c r="L355" s="350"/>
      <c r="M355" s="350"/>
      <c r="N355" s="288"/>
      <c r="O355" s="288"/>
      <c r="P355" s="294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  <c r="AA355" s="294"/>
      <c r="AB355" s="294"/>
    </row>
    <row r="356">
      <c r="A356" s="353"/>
      <c r="B356" s="288"/>
      <c r="C356" s="288"/>
      <c r="D356" s="353"/>
      <c r="E356" s="288"/>
      <c r="F356" s="350"/>
      <c r="G356" s="289"/>
      <c r="H356" s="350"/>
      <c r="I356" s="350"/>
      <c r="J356" s="350"/>
      <c r="K356" s="350"/>
      <c r="L356" s="350"/>
      <c r="M356" s="350"/>
      <c r="N356" s="288"/>
      <c r="O356" s="288"/>
      <c r="P356" s="294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  <c r="AA356" s="294"/>
      <c r="AB356" s="294"/>
    </row>
    <row r="357">
      <c r="A357" s="353"/>
      <c r="B357" s="288"/>
      <c r="C357" s="288"/>
      <c r="D357" s="353"/>
      <c r="E357" s="288"/>
      <c r="F357" s="350"/>
      <c r="G357" s="289"/>
      <c r="H357" s="350"/>
      <c r="I357" s="350"/>
      <c r="J357" s="350"/>
      <c r="K357" s="350"/>
      <c r="L357" s="350"/>
      <c r="M357" s="350"/>
      <c r="N357" s="288"/>
      <c r="O357" s="288"/>
      <c r="P357" s="294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  <c r="AA357" s="294"/>
      <c r="AB357" s="294"/>
    </row>
    <row r="358">
      <c r="A358" s="353"/>
      <c r="B358" s="288"/>
      <c r="C358" s="288"/>
      <c r="D358" s="353"/>
      <c r="E358" s="288"/>
      <c r="F358" s="350"/>
      <c r="G358" s="289"/>
      <c r="H358" s="350"/>
      <c r="I358" s="350"/>
      <c r="J358" s="350"/>
      <c r="K358" s="350"/>
      <c r="L358" s="350"/>
      <c r="M358" s="350"/>
      <c r="N358" s="288"/>
      <c r="O358" s="288"/>
      <c r="P358" s="294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  <c r="AA358" s="294"/>
      <c r="AB358" s="294"/>
    </row>
    <row r="359">
      <c r="A359" s="353"/>
      <c r="B359" s="288"/>
      <c r="C359" s="288"/>
      <c r="D359" s="353"/>
      <c r="E359" s="288"/>
      <c r="F359" s="350"/>
      <c r="G359" s="289"/>
      <c r="H359" s="350"/>
      <c r="I359" s="350"/>
      <c r="J359" s="350"/>
      <c r="K359" s="350"/>
      <c r="L359" s="350"/>
      <c r="M359" s="350"/>
      <c r="N359" s="288"/>
      <c r="O359" s="288"/>
      <c r="P359" s="294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  <c r="AA359" s="294"/>
      <c r="AB359" s="294"/>
    </row>
    <row r="360">
      <c r="A360" s="353"/>
      <c r="B360" s="288"/>
      <c r="C360" s="288"/>
      <c r="D360" s="353"/>
      <c r="E360" s="288"/>
      <c r="F360" s="350"/>
      <c r="G360" s="289"/>
      <c r="H360" s="350"/>
      <c r="I360" s="350"/>
      <c r="J360" s="350"/>
      <c r="K360" s="350"/>
      <c r="L360" s="350"/>
      <c r="M360" s="350"/>
      <c r="N360" s="288"/>
      <c r="O360" s="288"/>
      <c r="P360" s="294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  <c r="AA360" s="294"/>
      <c r="AB360" s="294"/>
    </row>
    <row r="361">
      <c r="A361" s="353"/>
      <c r="B361" s="288"/>
      <c r="C361" s="288"/>
      <c r="D361" s="353"/>
      <c r="E361" s="288"/>
      <c r="F361" s="350"/>
      <c r="G361" s="289"/>
      <c r="H361" s="350"/>
      <c r="I361" s="350"/>
      <c r="J361" s="350"/>
      <c r="K361" s="350"/>
      <c r="L361" s="350"/>
      <c r="M361" s="350"/>
      <c r="N361" s="288"/>
      <c r="O361" s="288"/>
      <c r="P361" s="294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  <c r="AA361" s="294"/>
      <c r="AB361" s="294"/>
    </row>
    <row r="362">
      <c r="A362" s="353"/>
      <c r="B362" s="288"/>
      <c r="C362" s="288"/>
      <c r="D362" s="353"/>
      <c r="E362" s="288"/>
      <c r="F362" s="350"/>
      <c r="G362" s="289"/>
      <c r="H362" s="350"/>
      <c r="I362" s="350"/>
      <c r="J362" s="350"/>
      <c r="K362" s="350"/>
      <c r="L362" s="350"/>
      <c r="M362" s="350"/>
      <c r="N362" s="288"/>
      <c r="O362" s="288"/>
      <c r="P362" s="294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  <c r="AA362" s="294"/>
      <c r="AB362" s="294"/>
    </row>
    <row r="363">
      <c r="A363" s="353"/>
      <c r="B363" s="288"/>
      <c r="C363" s="288"/>
      <c r="D363" s="353"/>
      <c r="E363" s="288"/>
      <c r="F363" s="350"/>
      <c r="G363" s="289"/>
      <c r="H363" s="350"/>
      <c r="I363" s="350"/>
      <c r="J363" s="350"/>
      <c r="K363" s="350"/>
      <c r="L363" s="350"/>
      <c r="M363" s="350"/>
      <c r="N363" s="288"/>
      <c r="O363" s="288"/>
      <c r="P363" s="294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  <c r="AA363" s="294"/>
      <c r="AB363" s="294"/>
    </row>
    <row r="364">
      <c r="A364" s="353"/>
      <c r="B364" s="288"/>
      <c r="C364" s="288"/>
      <c r="D364" s="353"/>
      <c r="E364" s="288"/>
      <c r="F364" s="350"/>
      <c r="G364" s="289"/>
      <c r="H364" s="350"/>
      <c r="I364" s="350"/>
      <c r="J364" s="350"/>
      <c r="K364" s="350"/>
      <c r="L364" s="350"/>
      <c r="M364" s="350"/>
      <c r="N364" s="288"/>
      <c r="O364" s="288"/>
      <c r="P364" s="294"/>
      <c r="Q364" s="294"/>
      <c r="R364" s="294"/>
      <c r="S364" s="294"/>
      <c r="T364" s="294"/>
      <c r="U364" s="294"/>
      <c r="V364" s="294"/>
      <c r="W364" s="294"/>
      <c r="X364" s="294"/>
      <c r="Y364" s="294"/>
      <c r="Z364" s="294"/>
      <c r="AA364" s="294"/>
      <c r="AB364" s="294"/>
    </row>
    <row r="365">
      <c r="A365" s="353"/>
      <c r="B365" s="288"/>
      <c r="C365" s="288"/>
      <c r="D365" s="353"/>
      <c r="E365" s="288"/>
      <c r="F365" s="350"/>
      <c r="G365" s="289"/>
      <c r="H365" s="350"/>
      <c r="I365" s="350"/>
      <c r="J365" s="350"/>
      <c r="K365" s="350"/>
      <c r="L365" s="350"/>
      <c r="M365" s="350"/>
      <c r="N365" s="288"/>
      <c r="O365" s="288"/>
      <c r="P365" s="294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  <c r="AA365" s="294"/>
      <c r="AB365" s="294"/>
    </row>
    <row r="366">
      <c r="A366" s="353"/>
      <c r="B366" s="288"/>
      <c r="C366" s="288"/>
      <c r="D366" s="353"/>
      <c r="E366" s="288"/>
      <c r="F366" s="350"/>
      <c r="G366" s="289"/>
      <c r="H366" s="350"/>
      <c r="I366" s="350"/>
      <c r="J366" s="350"/>
      <c r="K366" s="350"/>
      <c r="L366" s="350"/>
      <c r="M366" s="350"/>
      <c r="N366" s="288"/>
      <c r="O366" s="288"/>
      <c r="P366" s="294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  <c r="AA366" s="294"/>
      <c r="AB366" s="294"/>
    </row>
    <row r="367">
      <c r="A367" s="353"/>
      <c r="B367" s="288"/>
      <c r="C367" s="288"/>
      <c r="D367" s="353"/>
      <c r="E367" s="288"/>
      <c r="F367" s="350"/>
      <c r="G367" s="289"/>
      <c r="H367" s="350"/>
      <c r="I367" s="350"/>
      <c r="J367" s="350"/>
      <c r="K367" s="350"/>
      <c r="L367" s="350"/>
      <c r="M367" s="350"/>
      <c r="N367" s="288"/>
      <c r="O367" s="288"/>
      <c r="P367" s="294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  <c r="AA367" s="294"/>
      <c r="AB367" s="294"/>
    </row>
    <row r="368">
      <c r="A368" s="353"/>
      <c r="B368" s="288"/>
      <c r="C368" s="288"/>
      <c r="D368" s="353"/>
      <c r="E368" s="288"/>
      <c r="F368" s="350"/>
      <c r="G368" s="289"/>
      <c r="H368" s="350"/>
      <c r="I368" s="350"/>
      <c r="J368" s="350"/>
      <c r="K368" s="350"/>
      <c r="L368" s="350"/>
      <c r="M368" s="350"/>
      <c r="N368" s="288"/>
      <c r="O368" s="288"/>
      <c r="P368" s="294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  <c r="AA368" s="294"/>
      <c r="AB368" s="294"/>
    </row>
    <row r="369">
      <c r="A369" s="353"/>
      <c r="B369" s="288"/>
      <c r="C369" s="288"/>
      <c r="D369" s="353"/>
      <c r="E369" s="288"/>
      <c r="F369" s="350"/>
      <c r="G369" s="289"/>
      <c r="H369" s="350"/>
      <c r="I369" s="350"/>
      <c r="J369" s="350"/>
      <c r="K369" s="350"/>
      <c r="L369" s="350"/>
      <c r="M369" s="350"/>
      <c r="N369" s="288"/>
      <c r="O369" s="288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  <c r="AA369" s="294"/>
      <c r="AB369" s="294"/>
    </row>
    <row r="370">
      <c r="A370" s="353"/>
      <c r="B370" s="288"/>
      <c r="C370" s="288"/>
      <c r="D370" s="353"/>
      <c r="E370" s="288"/>
      <c r="F370" s="350"/>
      <c r="G370" s="289"/>
      <c r="H370" s="350"/>
      <c r="I370" s="350"/>
      <c r="J370" s="350"/>
      <c r="K370" s="350"/>
      <c r="L370" s="350"/>
      <c r="M370" s="350"/>
      <c r="N370" s="288"/>
      <c r="O370" s="288"/>
      <c r="P370" s="294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  <c r="AA370" s="294"/>
      <c r="AB370" s="294"/>
    </row>
    <row r="371">
      <c r="A371" s="353"/>
      <c r="B371" s="288"/>
      <c r="C371" s="288"/>
      <c r="D371" s="353"/>
      <c r="E371" s="288"/>
      <c r="F371" s="350"/>
      <c r="G371" s="289"/>
      <c r="H371" s="350"/>
      <c r="I371" s="350"/>
      <c r="J371" s="350"/>
      <c r="K371" s="350"/>
      <c r="L371" s="350"/>
      <c r="M371" s="350"/>
      <c r="N371" s="288"/>
      <c r="O371" s="288"/>
      <c r="P371" s="294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  <c r="AA371" s="294"/>
      <c r="AB371" s="294"/>
    </row>
    <row r="372">
      <c r="A372" s="353"/>
      <c r="B372" s="288"/>
      <c r="C372" s="288"/>
      <c r="D372" s="353"/>
      <c r="E372" s="288"/>
      <c r="F372" s="350"/>
      <c r="G372" s="289"/>
      <c r="H372" s="350"/>
      <c r="I372" s="350"/>
      <c r="J372" s="350"/>
      <c r="K372" s="350"/>
      <c r="L372" s="350"/>
      <c r="M372" s="350"/>
      <c r="N372" s="288"/>
      <c r="O372" s="288"/>
      <c r="P372" s="294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  <c r="AA372" s="294"/>
      <c r="AB372" s="294"/>
    </row>
    <row r="373">
      <c r="A373" s="353"/>
      <c r="B373" s="288"/>
      <c r="C373" s="288"/>
      <c r="D373" s="353"/>
      <c r="E373" s="288"/>
      <c r="F373" s="350"/>
      <c r="G373" s="289"/>
      <c r="H373" s="350"/>
      <c r="I373" s="350"/>
      <c r="J373" s="350"/>
      <c r="K373" s="350"/>
      <c r="L373" s="350"/>
      <c r="M373" s="350"/>
      <c r="N373" s="288"/>
      <c r="O373" s="288"/>
      <c r="P373" s="294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  <c r="AA373" s="294"/>
      <c r="AB373" s="294"/>
    </row>
    <row r="374">
      <c r="A374" s="353"/>
      <c r="B374" s="288"/>
      <c r="C374" s="288"/>
      <c r="D374" s="353"/>
      <c r="E374" s="288"/>
      <c r="F374" s="350"/>
      <c r="G374" s="289"/>
      <c r="H374" s="350"/>
      <c r="I374" s="350"/>
      <c r="J374" s="350"/>
      <c r="K374" s="350"/>
      <c r="L374" s="350"/>
      <c r="M374" s="350"/>
      <c r="N374" s="288"/>
      <c r="O374" s="288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  <c r="AA374" s="294"/>
      <c r="AB374" s="294"/>
    </row>
    <row r="375">
      <c r="A375" s="353"/>
      <c r="B375" s="288"/>
      <c r="C375" s="288"/>
      <c r="D375" s="353"/>
      <c r="E375" s="288"/>
      <c r="F375" s="350"/>
      <c r="G375" s="289"/>
      <c r="H375" s="350"/>
      <c r="I375" s="350"/>
      <c r="J375" s="350"/>
      <c r="K375" s="350"/>
      <c r="L375" s="350"/>
      <c r="M375" s="350"/>
      <c r="N375" s="288"/>
      <c r="O375" s="288"/>
      <c r="P375" s="294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  <c r="AA375" s="294"/>
      <c r="AB375" s="294"/>
    </row>
    <row r="376">
      <c r="A376" s="353"/>
      <c r="B376" s="288"/>
      <c r="C376" s="288"/>
      <c r="D376" s="353"/>
      <c r="E376" s="288"/>
      <c r="F376" s="350"/>
      <c r="G376" s="289"/>
      <c r="H376" s="350"/>
      <c r="I376" s="350"/>
      <c r="J376" s="350"/>
      <c r="K376" s="350"/>
      <c r="L376" s="350"/>
      <c r="M376" s="350"/>
      <c r="N376" s="288"/>
      <c r="O376" s="288"/>
      <c r="P376" s="294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  <c r="AA376" s="294"/>
      <c r="AB376" s="294"/>
    </row>
    <row r="377">
      <c r="A377" s="353"/>
      <c r="B377" s="288"/>
      <c r="C377" s="288"/>
      <c r="D377" s="353"/>
      <c r="E377" s="288"/>
      <c r="F377" s="350"/>
      <c r="G377" s="289"/>
      <c r="H377" s="350"/>
      <c r="I377" s="350"/>
      <c r="J377" s="350"/>
      <c r="K377" s="350"/>
      <c r="L377" s="350"/>
      <c r="M377" s="350"/>
      <c r="N377" s="288"/>
      <c r="O377" s="288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  <c r="AA377" s="294"/>
      <c r="AB377" s="294"/>
    </row>
    <row r="378">
      <c r="A378" s="353"/>
      <c r="B378" s="288"/>
      <c r="C378" s="288"/>
      <c r="D378" s="353"/>
      <c r="E378" s="288"/>
      <c r="F378" s="350"/>
      <c r="G378" s="289"/>
      <c r="H378" s="350"/>
      <c r="I378" s="350"/>
      <c r="J378" s="350"/>
      <c r="K378" s="350"/>
      <c r="L378" s="350"/>
      <c r="M378" s="350"/>
      <c r="N378" s="288"/>
      <c r="O378" s="288"/>
      <c r="P378" s="294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  <c r="AA378" s="294"/>
      <c r="AB378" s="294"/>
    </row>
    <row r="379">
      <c r="A379" s="353"/>
      <c r="B379" s="288"/>
      <c r="C379" s="288"/>
      <c r="D379" s="353"/>
      <c r="E379" s="288"/>
      <c r="F379" s="350"/>
      <c r="G379" s="289"/>
      <c r="H379" s="350"/>
      <c r="I379" s="350"/>
      <c r="J379" s="350"/>
      <c r="K379" s="350"/>
      <c r="L379" s="350"/>
      <c r="M379" s="350"/>
      <c r="N379" s="288"/>
      <c r="O379" s="288"/>
      <c r="P379" s="294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  <c r="AA379" s="294"/>
      <c r="AB379" s="294"/>
    </row>
    <row r="380">
      <c r="A380" s="353"/>
      <c r="B380" s="288"/>
      <c r="C380" s="288"/>
      <c r="D380" s="353"/>
      <c r="E380" s="288"/>
      <c r="F380" s="350"/>
      <c r="G380" s="289"/>
      <c r="H380" s="350"/>
      <c r="I380" s="350"/>
      <c r="J380" s="350"/>
      <c r="K380" s="350"/>
      <c r="L380" s="350"/>
      <c r="M380" s="350"/>
      <c r="N380" s="288"/>
      <c r="O380" s="288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  <c r="AA380" s="294"/>
      <c r="AB380" s="294"/>
    </row>
    <row r="381">
      <c r="A381" s="353"/>
      <c r="B381" s="288"/>
      <c r="C381" s="288"/>
      <c r="D381" s="353"/>
      <c r="E381" s="288"/>
      <c r="F381" s="350"/>
      <c r="G381" s="289"/>
      <c r="H381" s="350"/>
      <c r="I381" s="350"/>
      <c r="J381" s="350"/>
      <c r="K381" s="350"/>
      <c r="L381" s="350"/>
      <c r="M381" s="350"/>
      <c r="N381" s="288"/>
      <c r="O381" s="288"/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  <c r="AA381" s="294"/>
      <c r="AB381" s="294"/>
    </row>
    <row r="382">
      <c r="A382" s="353"/>
      <c r="B382" s="288"/>
      <c r="C382" s="288"/>
      <c r="D382" s="353"/>
      <c r="E382" s="288"/>
      <c r="F382" s="350"/>
      <c r="G382" s="289"/>
      <c r="H382" s="350"/>
      <c r="I382" s="350"/>
      <c r="J382" s="350"/>
      <c r="K382" s="350"/>
      <c r="L382" s="350"/>
      <c r="M382" s="350"/>
      <c r="N382" s="288"/>
      <c r="O382" s="288"/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  <c r="AA382" s="294"/>
      <c r="AB382" s="294"/>
    </row>
    <row r="383">
      <c r="A383" s="353"/>
      <c r="B383" s="288"/>
      <c r="C383" s="288"/>
      <c r="D383" s="353"/>
      <c r="E383" s="288"/>
      <c r="F383" s="350"/>
      <c r="G383" s="289"/>
      <c r="H383" s="350"/>
      <c r="I383" s="350"/>
      <c r="J383" s="350"/>
      <c r="K383" s="350"/>
      <c r="L383" s="350"/>
      <c r="M383" s="350"/>
      <c r="N383" s="288"/>
      <c r="O383" s="288"/>
      <c r="P383" s="294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  <c r="AA383" s="294"/>
      <c r="AB383" s="294"/>
    </row>
    <row r="384">
      <c r="A384" s="353"/>
      <c r="B384" s="288"/>
      <c r="C384" s="288"/>
      <c r="D384" s="353"/>
      <c r="E384" s="288"/>
      <c r="F384" s="350"/>
      <c r="G384" s="289"/>
      <c r="H384" s="350"/>
      <c r="I384" s="350"/>
      <c r="J384" s="350"/>
      <c r="K384" s="350"/>
      <c r="L384" s="350"/>
      <c r="M384" s="350"/>
      <c r="N384" s="288"/>
      <c r="O384" s="288"/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  <c r="AA384" s="294"/>
      <c r="AB384" s="294"/>
    </row>
    <row r="385">
      <c r="A385" s="353"/>
      <c r="B385" s="288"/>
      <c r="C385" s="288"/>
      <c r="D385" s="353"/>
      <c r="E385" s="288"/>
      <c r="F385" s="350"/>
      <c r="G385" s="289"/>
      <c r="H385" s="350"/>
      <c r="I385" s="350"/>
      <c r="J385" s="350"/>
      <c r="K385" s="350"/>
      <c r="L385" s="350"/>
      <c r="M385" s="350"/>
      <c r="N385" s="288"/>
      <c r="O385" s="288"/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  <c r="AA385" s="294"/>
      <c r="AB385" s="294"/>
    </row>
    <row r="386">
      <c r="A386" s="353"/>
      <c r="B386" s="288"/>
      <c r="C386" s="288"/>
      <c r="D386" s="353"/>
      <c r="E386" s="288"/>
      <c r="F386" s="350"/>
      <c r="G386" s="289"/>
      <c r="H386" s="350"/>
      <c r="I386" s="350"/>
      <c r="J386" s="350"/>
      <c r="K386" s="350"/>
      <c r="L386" s="350"/>
      <c r="M386" s="350"/>
      <c r="N386" s="288"/>
      <c r="O386" s="288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  <c r="AA386" s="294"/>
      <c r="AB386" s="294"/>
    </row>
    <row r="387">
      <c r="A387" s="353"/>
      <c r="B387" s="288"/>
      <c r="C387" s="288"/>
      <c r="D387" s="353"/>
      <c r="E387" s="288"/>
      <c r="F387" s="350"/>
      <c r="G387" s="289"/>
      <c r="H387" s="350"/>
      <c r="I387" s="350"/>
      <c r="J387" s="350"/>
      <c r="K387" s="350"/>
      <c r="L387" s="350"/>
      <c r="M387" s="350"/>
      <c r="N387" s="288"/>
      <c r="O387" s="288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</row>
    <row r="388">
      <c r="A388" s="353"/>
      <c r="B388" s="288"/>
      <c r="C388" s="288"/>
      <c r="D388" s="353"/>
      <c r="E388" s="288"/>
      <c r="F388" s="350"/>
      <c r="G388" s="289"/>
      <c r="H388" s="350"/>
      <c r="I388" s="350"/>
      <c r="J388" s="350"/>
      <c r="K388" s="350"/>
      <c r="L388" s="350"/>
      <c r="M388" s="350"/>
      <c r="N388" s="288"/>
      <c r="O388" s="288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  <c r="AA388" s="294"/>
      <c r="AB388" s="294"/>
    </row>
    <row r="389">
      <c r="A389" s="353"/>
      <c r="B389" s="288"/>
      <c r="C389" s="288"/>
      <c r="D389" s="353"/>
      <c r="E389" s="288"/>
      <c r="F389" s="350"/>
      <c r="G389" s="289"/>
      <c r="H389" s="350"/>
      <c r="I389" s="350"/>
      <c r="J389" s="350"/>
      <c r="K389" s="350"/>
      <c r="L389" s="350"/>
      <c r="M389" s="350"/>
      <c r="N389" s="288"/>
      <c r="O389" s="288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  <c r="AA389" s="294"/>
      <c r="AB389" s="294"/>
    </row>
    <row r="390">
      <c r="A390" s="353"/>
      <c r="B390" s="288"/>
      <c r="C390" s="288"/>
      <c r="D390" s="353"/>
      <c r="E390" s="288"/>
      <c r="F390" s="350"/>
      <c r="G390" s="289"/>
      <c r="H390" s="350"/>
      <c r="I390" s="350"/>
      <c r="J390" s="350"/>
      <c r="K390" s="350"/>
      <c r="L390" s="350"/>
      <c r="M390" s="350"/>
      <c r="N390" s="288"/>
      <c r="O390" s="288"/>
      <c r="P390" s="294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  <c r="AA390" s="294"/>
      <c r="AB390" s="294"/>
    </row>
    <row r="391">
      <c r="A391" s="353"/>
      <c r="B391" s="288"/>
      <c r="C391" s="288"/>
      <c r="D391" s="353"/>
      <c r="E391" s="288"/>
      <c r="F391" s="350"/>
      <c r="G391" s="289"/>
      <c r="H391" s="350"/>
      <c r="I391" s="350"/>
      <c r="J391" s="350"/>
      <c r="K391" s="350"/>
      <c r="L391" s="350"/>
      <c r="M391" s="350"/>
      <c r="N391" s="288"/>
      <c r="O391" s="288"/>
      <c r="P391" s="294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  <c r="AA391" s="294"/>
      <c r="AB391" s="294"/>
    </row>
    <row r="392">
      <c r="A392" s="353"/>
      <c r="B392" s="288"/>
      <c r="C392" s="288"/>
      <c r="D392" s="353"/>
      <c r="E392" s="288"/>
      <c r="F392" s="350"/>
      <c r="G392" s="289"/>
      <c r="H392" s="350"/>
      <c r="I392" s="350"/>
      <c r="J392" s="350"/>
      <c r="K392" s="350"/>
      <c r="L392" s="350"/>
      <c r="M392" s="350"/>
      <c r="N392" s="288"/>
      <c r="O392" s="288"/>
      <c r="P392" s="294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  <c r="AA392" s="294"/>
      <c r="AB392" s="294"/>
    </row>
    <row r="393">
      <c r="A393" s="353"/>
      <c r="B393" s="288"/>
      <c r="C393" s="288"/>
      <c r="D393" s="353"/>
      <c r="E393" s="288"/>
      <c r="F393" s="350"/>
      <c r="G393" s="289"/>
      <c r="H393" s="350"/>
      <c r="I393" s="350"/>
      <c r="J393" s="350"/>
      <c r="K393" s="350"/>
      <c r="L393" s="350"/>
      <c r="M393" s="350"/>
      <c r="N393" s="288"/>
      <c r="O393" s="288"/>
      <c r="P393" s="294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  <c r="AA393" s="294"/>
      <c r="AB393" s="294"/>
    </row>
    <row r="394">
      <c r="A394" s="353"/>
      <c r="B394" s="288"/>
      <c r="C394" s="288"/>
      <c r="D394" s="353"/>
      <c r="E394" s="288"/>
      <c r="F394" s="350"/>
      <c r="G394" s="289"/>
      <c r="H394" s="350"/>
      <c r="I394" s="350"/>
      <c r="J394" s="350"/>
      <c r="K394" s="350"/>
      <c r="L394" s="350"/>
      <c r="M394" s="350"/>
      <c r="N394" s="288"/>
      <c r="O394" s="288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  <c r="AA394" s="294"/>
      <c r="AB394" s="294"/>
    </row>
    <row r="395">
      <c r="A395" s="353"/>
      <c r="B395" s="288"/>
      <c r="C395" s="288"/>
      <c r="D395" s="353"/>
      <c r="E395" s="288"/>
      <c r="F395" s="350"/>
      <c r="G395" s="289"/>
      <c r="H395" s="350"/>
      <c r="I395" s="350"/>
      <c r="J395" s="350"/>
      <c r="K395" s="350"/>
      <c r="L395" s="350"/>
      <c r="M395" s="350"/>
      <c r="N395" s="288"/>
      <c r="O395" s="288"/>
      <c r="P395" s="294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  <c r="AA395" s="294"/>
      <c r="AB395" s="294"/>
    </row>
    <row r="396">
      <c r="A396" s="353"/>
      <c r="B396" s="288"/>
      <c r="C396" s="288"/>
      <c r="D396" s="353"/>
      <c r="E396" s="288"/>
      <c r="F396" s="350"/>
      <c r="G396" s="289"/>
      <c r="H396" s="350"/>
      <c r="I396" s="350"/>
      <c r="J396" s="350"/>
      <c r="K396" s="350"/>
      <c r="L396" s="350"/>
      <c r="M396" s="350"/>
      <c r="N396" s="288"/>
      <c r="O396" s="288"/>
      <c r="P396" s="294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  <c r="AA396" s="294"/>
      <c r="AB396" s="294"/>
    </row>
    <row r="397">
      <c r="A397" s="353"/>
      <c r="B397" s="288"/>
      <c r="C397" s="288"/>
      <c r="D397" s="353"/>
      <c r="E397" s="288"/>
      <c r="F397" s="350"/>
      <c r="G397" s="289"/>
      <c r="H397" s="350"/>
      <c r="I397" s="350"/>
      <c r="J397" s="350"/>
      <c r="K397" s="350"/>
      <c r="L397" s="350"/>
      <c r="M397" s="350"/>
      <c r="N397" s="288"/>
      <c r="O397" s="288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  <c r="AA397" s="294"/>
      <c r="AB397" s="294"/>
    </row>
    <row r="398">
      <c r="A398" s="353"/>
      <c r="B398" s="288"/>
      <c r="C398" s="288"/>
      <c r="D398" s="353"/>
      <c r="E398" s="288"/>
      <c r="F398" s="350"/>
      <c r="G398" s="289"/>
      <c r="H398" s="350"/>
      <c r="I398" s="350"/>
      <c r="J398" s="350"/>
      <c r="K398" s="350"/>
      <c r="L398" s="350"/>
      <c r="M398" s="350"/>
      <c r="N398" s="288"/>
      <c r="O398" s="288"/>
      <c r="P398" s="294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  <c r="AA398" s="294"/>
      <c r="AB398" s="294"/>
    </row>
    <row r="399">
      <c r="A399" s="353"/>
      <c r="B399" s="288"/>
      <c r="C399" s="288"/>
      <c r="D399" s="353"/>
      <c r="E399" s="288"/>
      <c r="F399" s="350"/>
      <c r="G399" s="289"/>
      <c r="H399" s="350"/>
      <c r="I399" s="350"/>
      <c r="J399" s="350"/>
      <c r="K399" s="350"/>
      <c r="L399" s="350"/>
      <c r="M399" s="350"/>
      <c r="N399" s="288"/>
      <c r="O399" s="288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  <c r="AA399" s="294"/>
      <c r="AB399" s="294"/>
    </row>
    <row r="400">
      <c r="A400" s="353"/>
      <c r="B400" s="288"/>
      <c r="C400" s="288"/>
      <c r="D400" s="353"/>
      <c r="E400" s="288"/>
      <c r="F400" s="350"/>
      <c r="G400" s="289"/>
      <c r="H400" s="350"/>
      <c r="I400" s="350"/>
      <c r="J400" s="350"/>
      <c r="K400" s="350"/>
      <c r="L400" s="350"/>
      <c r="M400" s="350"/>
      <c r="N400" s="288"/>
      <c r="O400" s="288"/>
      <c r="P400" s="294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  <c r="AA400" s="294"/>
      <c r="AB400" s="294"/>
    </row>
    <row r="401">
      <c r="A401" s="353"/>
      <c r="B401" s="288"/>
      <c r="C401" s="288"/>
      <c r="D401" s="353"/>
      <c r="E401" s="288"/>
      <c r="F401" s="350"/>
      <c r="G401" s="289"/>
      <c r="H401" s="350"/>
      <c r="I401" s="350"/>
      <c r="J401" s="350"/>
      <c r="K401" s="350"/>
      <c r="L401" s="350"/>
      <c r="M401" s="350"/>
      <c r="N401" s="288"/>
      <c r="O401" s="288"/>
      <c r="P401" s="294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  <c r="AA401" s="294"/>
      <c r="AB401" s="294"/>
    </row>
    <row r="402">
      <c r="A402" s="353"/>
      <c r="B402" s="288"/>
      <c r="C402" s="288"/>
      <c r="D402" s="353"/>
      <c r="E402" s="288"/>
      <c r="F402" s="350"/>
      <c r="G402" s="289"/>
      <c r="H402" s="350"/>
      <c r="I402" s="350"/>
      <c r="J402" s="350"/>
      <c r="K402" s="350"/>
      <c r="L402" s="350"/>
      <c r="M402" s="350"/>
      <c r="N402" s="288"/>
      <c r="O402" s="288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  <c r="AA402" s="294"/>
      <c r="AB402" s="294"/>
    </row>
    <row r="403">
      <c r="A403" s="353"/>
      <c r="B403" s="288"/>
      <c r="C403" s="288"/>
      <c r="D403" s="353"/>
      <c r="E403" s="288"/>
      <c r="F403" s="350"/>
      <c r="G403" s="289"/>
      <c r="H403" s="350"/>
      <c r="I403" s="350"/>
      <c r="J403" s="350"/>
      <c r="K403" s="350"/>
      <c r="L403" s="350"/>
      <c r="M403" s="350"/>
      <c r="N403" s="288"/>
      <c r="O403" s="288"/>
      <c r="P403" s="294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  <c r="AA403" s="294"/>
      <c r="AB403" s="294"/>
    </row>
    <row r="404">
      <c r="A404" s="353"/>
      <c r="B404" s="288"/>
      <c r="C404" s="288"/>
      <c r="D404" s="353"/>
      <c r="E404" s="288"/>
      <c r="F404" s="350"/>
      <c r="G404" s="289"/>
      <c r="H404" s="350"/>
      <c r="I404" s="350"/>
      <c r="J404" s="350"/>
      <c r="K404" s="350"/>
      <c r="L404" s="350"/>
      <c r="M404" s="350"/>
      <c r="N404" s="288"/>
      <c r="O404" s="288"/>
      <c r="P404" s="294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  <c r="AA404" s="294"/>
      <c r="AB404" s="294"/>
    </row>
    <row r="405">
      <c r="A405" s="353"/>
      <c r="B405" s="288"/>
      <c r="C405" s="288"/>
      <c r="D405" s="353"/>
      <c r="E405" s="288"/>
      <c r="F405" s="350"/>
      <c r="G405" s="289"/>
      <c r="H405" s="350"/>
      <c r="I405" s="350"/>
      <c r="J405" s="350"/>
      <c r="K405" s="350"/>
      <c r="L405" s="350"/>
      <c r="M405" s="350"/>
      <c r="N405" s="288"/>
      <c r="O405" s="288"/>
      <c r="P405" s="294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  <c r="AA405" s="294"/>
      <c r="AB405" s="294"/>
    </row>
    <row r="406">
      <c r="A406" s="353"/>
      <c r="B406" s="288"/>
      <c r="C406" s="288"/>
      <c r="D406" s="353"/>
      <c r="E406" s="288"/>
      <c r="F406" s="350"/>
      <c r="G406" s="289"/>
      <c r="H406" s="350"/>
      <c r="I406" s="350"/>
      <c r="J406" s="350"/>
      <c r="K406" s="350"/>
      <c r="L406" s="350"/>
      <c r="M406" s="350"/>
      <c r="N406" s="288"/>
      <c r="O406" s="288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  <c r="AA406" s="294"/>
      <c r="AB406" s="294"/>
    </row>
    <row r="407">
      <c r="A407" s="353"/>
      <c r="B407" s="288"/>
      <c r="C407" s="288"/>
      <c r="D407" s="353"/>
      <c r="E407" s="288"/>
      <c r="F407" s="350"/>
      <c r="G407" s="289"/>
      <c r="H407" s="350"/>
      <c r="I407" s="350"/>
      <c r="J407" s="350"/>
      <c r="K407" s="350"/>
      <c r="L407" s="350"/>
      <c r="M407" s="350"/>
      <c r="N407" s="288"/>
      <c r="O407" s="288"/>
      <c r="P407" s="294"/>
      <c r="Q407" s="294"/>
      <c r="R407" s="294"/>
      <c r="S407" s="294"/>
      <c r="T407" s="294"/>
      <c r="U407" s="294"/>
      <c r="V407" s="294"/>
      <c r="W407" s="294"/>
      <c r="X407" s="294"/>
      <c r="Y407" s="294"/>
      <c r="Z407" s="294"/>
      <c r="AA407" s="294"/>
      <c r="AB407" s="294"/>
    </row>
    <row r="408">
      <c r="A408" s="353"/>
      <c r="B408" s="288"/>
      <c r="C408" s="288"/>
      <c r="D408" s="353"/>
      <c r="E408" s="288"/>
      <c r="F408" s="350"/>
      <c r="G408" s="289"/>
      <c r="H408" s="350"/>
      <c r="I408" s="350"/>
      <c r="J408" s="350"/>
      <c r="K408" s="350"/>
      <c r="L408" s="350"/>
      <c r="M408" s="350"/>
      <c r="N408" s="288"/>
      <c r="O408" s="288"/>
      <c r="P408" s="294"/>
      <c r="Q408" s="294"/>
      <c r="R408" s="294"/>
      <c r="S408" s="294"/>
      <c r="T408" s="294"/>
      <c r="U408" s="294"/>
      <c r="V408" s="294"/>
      <c r="W408" s="294"/>
      <c r="X408" s="294"/>
      <c r="Y408" s="294"/>
      <c r="Z408" s="294"/>
      <c r="AA408" s="294"/>
      <c r="AB408" s="294"/>
    </row>
    <row r="409">
      <c r="A409" s="353"/>
      <c r="B409" s="288"/>
      <c r="C409" s="288"/>
      <c r="D409" s="353"/>
      <c r="E409" s="288"/>
      <c r="F409" s="350"/>
      <c r="G409" s="289"/>
      <c r="H409" s="350"/>
      <c r="I409" s="350"/>
      <c r="J409" s="350"/>
      <c r="K409" s="350"/>
      <c r="L409" s="350"/>
      <c r="M409" s="350"/>
      <c r="N409" s="288"/>
      <c r="O409" s="288"/>
      <c r="P409" s="294"/>
      <c r="Q409" s="294"/>
      <c r="R409" s="294"/>
      <c r="S409" s="294"/>
      <c r="T409" s="294"/>
      <c r="U409" s="294"/>
      <c r="V409" s="294"/>
      <c r="W409" s="294"/>
      <c r="X409" s="294"/>
      <c r="Y409" s="294"/>
      <c r="Z409" s="294"/>
      <c r="AA409" s="294"/>
      <c r="AB409" s="294"/>
    </row>
    <row r="410">
      <c r="A410" s="353"/>
      <c r="B410" s="288"/>
      <c r="C410" s="288"/>
      <c r="D410" s="353"/>
      <c r="E410" s="288"/>
      <c r="F410" s="350"/>
      <c r="G410" s="289"/>
      <c r="H410" s="350"/>
      <c r="I410" s="350"/>
      <c r="J410" s="350"/>
      <c r="K410" s="350"/>
      <c r="L410" s="350"/>
      <c r="M410" s="350"/>
      <c r="N410" s="288"/>
      <c r="O410" s="288"/>
      <c r="P410" s="294"/>
      <c r="Q410" s="294"/>
      <c r="R410" s="294"/>
      <c r="S410" s="294"/>
      <c r="T410" s="294"/>
      <c r="U410" s="294"/>
      <c r="V410" s="294"/>
      <c r="W410" s="294"/>
      <c r="X410" s="294"/>
      <c r="Y410" s="294"/>
      <c r="Z410" s="294"/>
      <c r="AA410" s="294"/>
      <c r="AB410" s="294"/>
    </row>
    <row r="411">
      <c r="A411" s="353"/>
      <c r="B411" s="288"/>
      <c r="C411" s="288"/>
      <c r="D411" s="353"/>
      <c r="E411" s="288"/>
      <c r="F411" s="350"/>
      <c r="G411" s="289"/>
      <c r="H411" s="350"/>
      <c r="I411" s="350"/>
      <c r="J411" s="350"/>
      <c r="K411" s="350"/>
      <c r="L411" s="350"/>
      <c r="M411" s="350"/>
      <c r="N411" s="288"/>
      <c r="O411" s="288"/>
      <c r="P411" s="294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  <c r="AA411" s="294"/>
      <c r="AB411" s="294"/>
    </row>
    <row r="412">
      <c r="A412" s="353"/>
      <c r="B412" s="288"/>
      <c r="C412" s="288"/>
      <c r="D412" s="353"/>
      <c r="E412" s="288"/>
      <c r="F412" s="350"/>
      <c r="G412" s="289"/>
      <c r="H412" s="350"/>
      <c r="I412" s="350"/>
      <c r="J412" s="350"/>
      <c r="K412" s="350"/>
      <c r="L412" s="350"/>
      <c r="M412" s="350"/>
      <c r="N412" s="288"/>
      <c r="O412" s="288"/>
      <c r="P412" s="294"/>
      <c r="Q412" s="294"/>
      <c r="R412" s="294"/>
      <c r="S412" s="294"/>
      <c r="T412" s="294"/>
      <c r="U412" s="294"/>
      <c r="V412" s="294"/>
      <c r="W412" s="294"/>
      <c r="X412" s="294"/>
      <c r="Y412" s="294"/>
      <c r="Z412" s="294"/>
      <c r="AA412" s="294"/>
      <c r="AB412" s="294"/>
    </row>
    <row r="413">
      <c r="A413" s="353"/>
      <c r="B413" s="288"/>
      <c r="C413" s="288"/>
      <c r="D413" s="353"/>
      <c r="E413" s="288"/>
      <c r="F413" s="350"/>
      <c r="G413" s="289"/>
      <c r="H413" s="350"/>
      <c r="I413" s="350"/>
      <c r="J413" s="350"/>
      <c r="K413" s="350"/>
      <c r="L413" s="350"/>
      <c r="M413" s="350"/>
      <c r="N413" s="288"/>
      <c r="O413" s="288"/>
      <c r="P413" s="294"/>
      <c r="Q413" s="294"/>
      <c r="R413" s="294"/>
      <c r="S413" s="294"/>
      <c r="T413" s="294"/>
      <c r="U413" s="294"/>
      <c r="V413" s="294"/>
      <c r="W413" s="294"/>
      <c r="X413" s="294"/>
      <c r="Y413" s="294"/>
      <c r="Z413" s="294"/>
      <c r="AA413" s="294"/>
      <c r="AB413" s="294"/>
    </row>
    <row r="414">
      <c r="A414" s="353"/>
      <c r="B414" s="288"/>
      <c r="C414" s="288"/>
      <c r="D414" s="353"/>
      <c r="E414" s="288"/>
      <c r="F414" s="350"/>
      <c r="G414" s="289"/>
      <c r="H414" s="350"/>
      <c r="I414" s="350"/>
      <c r="J414" s="350"/>
      <c r="K414" s="350"/>
      <c r="L414" s="350"/>
      <c r="M414" s="350"/>
      <c r="N414" s="288"/>
      <c r="O414" s="288"/>
      <c r="P414" s="294"/>
      <c r="Q414" s="294"/>
      <c r="R414" s="294"/>
      <c r="S414" s="294"/>
      <c r="T414" s="294"/>
      <c r="U414" s="294"/>
      <c r="V414" s="294"/>
      <c r="W414" s="294"/>
      <c r="X414" s="294"/>
      <c r="Y414" s="294"/>
      <c r="Z414" s="294"/>
      <c r="AA414" s="294"/>
      <c r="AB414" s="294"/>
    </row>
    <row r="415">
      <c r="A415" s="353"/>
      <c r="B415" s="288"/>
      <c r="C415" s="288"/>
      <c r="D415" s="353"/>
      <c r="E415" s="288"/>
      <c r="F415" s="350"/>
      <c r="G415" s="289"/>
      <c r="H415" s="350"/>
      <c r="I415" s="350"/>
      <c r="J415" s="350"/>
      <c r="K415" s="350"/>
      <c r="L415" s="350"/>
      <c r="M415" s="350"/>
      <c r="N415" s="288"/>
      <c r="O415" s="288"/>
      <c r="P415" s="294"/>
      <c r="Q415" s="294"/>
      <c r="R415" s="294"/>
      <c r="S415" s="294"/>
      <c r="T415" s="294"/>
      <c r="U415" s="294"/>
      <c r="V415" s="294"/>
      <c r="W415" s="294"/>
      <c r="X415" s="294"/>
      <c r="Y415" s="294"/>
      <c r="Z415" s="294"/>
      <c r="AA415" s="294"/>
      <c r="AB415" s="294"/>
    </row>
    <row r="416">
      <c r="A416" s="353"/>
      <c r="B416" s="288"/>
      <c r="C416" s="288"/>
      <c r="D416" s="353"/>
      <c r="E416" s="288"/>
      <c r="F416" s="350"/>
      <c r="G416" s="289"/>
      <c r="H416" s="350"/>
      <c r="I416" s="350"/>
      <c r="J416" s="350"/>
      <c r="K416" s="350"/>
      <c r="L416" s="350"/>
      <c r="M416" s="350"/>
      <c r="N416" s="288"/>
      <c r="O416" s="288"/>
      <c r="P416" s="294"/>
      <c r="Q416" s="294"/>
      <c r="R416" s="294"/>
      <c r="S416" s="294"/>
      <c r="T416" s="294"/>
      <c r="U416" s="294"/>
      <c r="V416" s="294"/>
      <c r="W416" s="294"/>
      <c r="X416" s="294"/>
      <c r="Y416" s="294"/>
      <c r="Z416" s="294"/>
      <c r="AA416" s="294"/>
      <c r="AB416" s="294"/>
    </row>
    <row r="417">
      <c r="A417" s="353"/>
      <c r="B417" s="288"/>
      <c r="C417" s="288"/>
      <c r="D417" s="353"/>
      <c r="E417" s="288"/>
      <c r="F417" s="350"/>
      <c r="G417" s="289"/>
      <c r="H417" s="350"/>
      <c r="I417" s="350"/>
      <c r="J417" s="350"/>
      <c r="K417" s="350"/>
      <c r="L417" s="350"/>
      <c r="M417" s="350"/>
      <c r="N417" s="288"/>
      <c r="O417" s="288"/>
      <c r="P417" s="294"/>
      <c r="Q417" s="294"/>
      <c r="R417" s="294"/>
      <c r="S417" s="294"/>
      <c r="T417" s="294"/>
      <c r="U417" s="294"/>
      <c r="V417" s="294"/>
      <c r="W417" s="294"/>
      <c r="X417" s="294"/>
      <c r="Y417" s="294"/>
      <c r="Z417" s="294"/>
      <c r="AA417" s="294"/>
      <c r="AB417" s="294"/>
    </row>
    <row r="418">
      <c r="A418" s="353"/>
      <c r="B418" s="288"/>
      <c r="C418" s="288"/>
      <c r="D418" s="353"/>
      <c r="E418" s="288"/>
      <c r="F418" s="350"/>
      <c r="G418" s="289"/>
      <c r="H418" s="350"/>
      <c r="I418" s="350"/>
      <c r="J418" s="350"/>
      <c r="K418" s="350"/>
      <c r="L418" s="350"/>
      <c r="M418" s="350"/>
      <c r="N418" s="288"/>
      <c r="O418" s="288"/>
      <c r="P418" s="294"/>
      <c r="Q418" s="294"/>
      <c r="R418" s="294"/>
      <c r="S418" s="294"/>
      <c r="T418" s="294"/>
      <c r="U418" s="294"/>
      <c r="V418" s="294"/>
      <c r="W418" s="294"/>
      <c r="X418" s="294"/>
      <c r="Y418" s="294"/>
      <c r="Z418" s="294"/>
      <c r="AA418" s="294"/>
      <c r="AB418" s="294"/>
    </row>
    <row r="419">
      <c r="A419" s="353"/>
      <c r="B419" s="288"/>
      <c r="C419" s="288"/>
      <c r="D419" s="353"/>
      <c r="E419" s="288"/>
      <c r="F419" s="350"/>
      <c r="G419" s="289"/>
      <c r="H419" s="350"/>
      <c r="I419" s="350"/>
      <c r="J419" s="350"/>
      <c r="K419" s="350"/>
      <c r="L419" s="350"/>
      <c r="M419" s="350"/>
      <c r="N419" s="288"/>
      <c r="O419" s="288"/>
      <c r="P419" s="294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  <c r="AA419" s="294"/>
      <c r="AB419" s="294"/>
    </row>
    <row r="420">
      <c r="A420" s="353"/>
      <c r="B420" s="288"/>
      <c r="C420" s="288"/>
      <c r="D420" s="353"/>
      <c r="E420" s="288"/>
      <c r="F420" s="350"/>
      <c r="G420" s="289"/>
      <c r="H420" s="350"/>
      <c r="I420" s="350"/>
      <c r="J420" s="350"/>
      <c r="K420" s="350"/>
      <c r="L420" s="350"/>
      <c r="M420" s="350"/>
      <c r="N420" s="288"/>
      <c r="O420" s="288"/>
      <c r="P420" s="294"/>
      <c r="Q420" s="294"/>
      <c r="R420" s="294"/>
      <c r="S420" s="294"/>
      <c r="T420" s="294"/>
      <c r="U420" s="294"/>
      <c r="V420" s="294"/>
      <c r="W420" s="294"/>
      <c r="X420" s="294"/>
      <c r="Y420" s="294"/>
      <c r="Z420" s="294"/>
      <c r="AA420" s="294"/>
      <c r="AB420" s="294"/>
    </row>
    <row r="421">
      <c r="A421" s="353"/>
      <c r="B421" s="288"/>
      <c r="C421" s="288"/>
      <c r="D421" s="353"/>
      <c r="E421" s="288"/>
      <c r="F421" s="350"/>
      <c r="G421" s="289"/>
      <c r="H421" s="350"/>
      <c r="I421" s="350"/>
      <c r="J421" s="350"/>
      <c r="K421" s="350"/>
      <c r="L421" s="350"/>
      <c r="M421" s="350"/>
      <c r="N421" s="288"/>
      <c r="O421" s="288"/>
      <c r="P421" s="294"/>
      <c r="Q421" s="294"/>
      <c r="R421" s="294"/>
      <c r="S421" s="294"/>
      <c r="T421" s="294"/>
      <c r="U421" s="294"/>
      <c r="V421" s="294"/>
      <c r="W421" s="294"/>
      <c r="X421" s="294"/>
      <c r="Y421" s="294"/>
      <c r="Z421" s="294"/>
      <c r="AA421" s="294"/>
      <c r="AB421" s="294"/>
    </row>
    <row r="422">
      <c r="A422" s="353"/>
      <c r="B422" s="288"/>
      <c r="C422" s="288"/>
      <c r="D422" s="353"/>
      <c r="E422" s="288"/>
      <c r="F422" s="350"/>
      <c r="G422" s="289"/>
      <c r="H422" s="350"/>
      <c r="I422" s="350"/>
      <c r="J422" s="350"/>
      <c r="K422" s="350"/>
      <c r="L422" s="350"/>
      <c r="M422" s="350"/>
      <c r="N422" s="288"/>
      <c r="O422" s="288"/>
      <c r="P422" s="294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  <c r="AA422" s="294"/>
      <c r="AB422" s="294"/>
    </row>
    <row r="423">
      <c r="A423" s="353"/>
      <c r="B423" s="288"/>
      <c r="C423" s="288"/>
      <c r="D423" s="353"/>
      <c r="E423" s="288"/>
      <c r="F423" s="350"/>
      <c r="G423" s="289"/>
      <c r="H423" s="350"/>
      <c r="I423" s="350"/>
      <c r="J423" s="350"/>
      <c r="K423" s="350"/>
      <c r="L423" s="350"/>
      <c r="M423" s="350"/>
      <c r="N423" s="288"/>
      <c r="O423" s="288"/>
      <c r="P423" s="294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  <c r="AA423" s="294"/>
      <c r="AB423" s="294"/>
    </row>
    <row r="424">
      <c r="A424" s="353"/>
      <c r="B424" s="288"/>
      <c r="C424" s="288"/>
      <c r="D424" s="353"/>
      <c r="E424" s="288"/>
      <c r="F424" s="350"/>
      <c r="G424" s="289"/>
      <c r="H424" s="350"/>
      <c r="I424" s="350"/>
      <c r="J424" s="350"/>
      <c r="K424" s="350"/>
      <c r="L424" s="350"/>
      <c r="M424" s="350"/>
      <c r="N424" s="288"/>
      <c r="O424" s="288"/>
      <c r="P424" s="294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  <c r="AA424" s="294"/>
      <c r="AB424" s="294"/>
    </row>
    <row r="425">
      <c r="A425" s="353"/>
      <c r="B425" s="288"/>
      <c r="C425" s="288"/>
      <c r="D425" s="353"/>
      <c r="E425" s="288"/>
      <c r="F425" s="350"/>
      <c r="G425" s="289"/>
      <c r="H425" s="350"/>
      <c r="I425" s="350"/>
      <c r="J425" s="350"/>
      <c r="K425" s="350"/>
      <c r="L425" s="350"/>
      <c r="M425" s="350"/>
      <c r="N425" s="288"/>
      <c r="O425" s="288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  <c r="AA425" s="294"/>
      <c r="AB425" s="294"/>
    </row>
    <row r="426">
      <c r="A426" s="353"/>
      <c r="B426" s="288"/>
      <c r="C426" s="288"/>
      <c r="D426" s="353"/>
      <c r="E426" s="288"/>
      <c r="F426" s="350"/>
      <c r="G426" s="289"/>
      <c r="H426" s="350"/>
      <c r="I426" s="350"/>
      <c r="J426" s="350"/>
      <c r="K426" s="350"/>
      <c r="L426" s="350"/>
      <c r="M426" s="350"/>
      <c r="N426" s="288"/>
      <c r="O426" s="288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  <c r="AA426" s="294"/>
      <c r="AB426" s="294"/>
    </row>
    <row r="427">
      <c r="A427" s="353"/>
      <c r="B427" s="288"/>
      <c r="C427" s="288"/>
      <c r="D427" s="353"/>
      <c r="E427" s="288"/>
      <c r="F427" s="350"/>
      <c r="G427" s="289"/>
      <c r="H427" s="350"/>
      <c r="I427" s="350"/>
      <c r="J427" s="350"/>
      <c r="K427" s="350"/>
      <c r="L427" s="350"/>
      <c r="M427" s="350"/>
      <c r="N427" s="288"/>
      <c r="O427" s="288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  <c r="AA427" s="294"/>
      <c r="AB427" s="294"/>
    </row>
    <row r="428">
      <c r="A428" s="353"/>
      <c r="B428" s="288"/>
      <c r="C428" s="288"/>
      <c r="D428" s="353"/>
      <c r="E428" s="288"/>
      <c r="F428" s="350"/>
      <c r="G428" s="289"/>
      <c r="H428" s="350"/>
      <c r="I428" s="350"/>
      <c r="J428" s="350"/>
      <c r="K428" s="350"/>
      <c r="L428" s="350"/>
      <c r="M428" s="350"/>
      <c r="N428" s="288"/>
      <c r="O428" s="288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  <c r="AA428" s="294"/>
      <c r="AB428" s="294"/>
    </row>
    <row r="429">
      <c r="A429" s="353"/>
      <c r="B429" s="288"/>
      <c r="C429" s="288"/>
      <c r="D429" s="353"/>
      <c r="E429" s="288"/>
      <c r="F429" s="350"/>
      <c r="G429" s="289"/>
      <c r="H429" s="350"/>
      <c r="I429" s="350"/>
      <c r="J429" s="350"/>
      <c r="K429" s="350"/>
      <c r="L429" s="350"/>
      <c r="M429" s="350"/>
      <c r="N429" s="288"/>
      <c r="O429" s="288"/>
      <c r="P429" s="294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  <c r="AA429" s="294"/>
      <c r="AB429" s="294"/>
    </row>
    <row r="430">
      <c r="A430" s="353"/>
      <c r="B430" s="288"/>
      <c r="C430" s="288"/>
      <c r="D430" s="353"/>
      <c r="E430" s="288"/>
      <c r="F430" s="350"/>
      <c r="G430" s="289"/>
      <c r="H430" s="350"/>
      <c r="I430" s="350"/>
      <c r="J430" s="350"/>
      <c r="K430" s="350"/>
      <c r="L430" s="350"/>
      <c r="M430" s="350"/>
      <c r="N430" s="288"/>
      <c r="O430" s="288"/>
      <c r="P430" s="294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  <c r="AA430" s="294"/>
      <c r="AB430" s="294"/>
    </row>
    <row r="431">
      <c r="A431" s="353"/>
      <c r="B431" s="288"/>
      <c r="C431" s="288"/>
      <c r="D431" s="353"/>
      <c r="E431" s="288"/>
      <c r="F431" s="350"/>
      <c r="G431" s="289"/>
      <c r="H431" s="350"/>
      <c r="I431" s="350"/>
      <c r="J431" s="350"/>
      <c r="K431" s="350"/>
      <c r="L431" s="350"/>
      <c r="M431" s="350"/>
      <c r="N431" s="288"/>
      <c r="O431" s="288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  <c r="AA431" s="294"/>
      <c r="AB431" s="294"/>
    </row>
    <row r="432">
      <c r="A432" s="353"/>
      <c r="B432" s="288"/>
      <c r="C432" s="288"/>
      <c r="D432" s="353"/>
      <c r="E432" s="288"/>
      <c r="F432" s="350"/>
      <c r="G432" s="289"/>
      <c r="H432" s="350"/>
      <c r="I432" s="350"/>
      <c r="J432" s="350"/>
      <c r="K432" s="350"/>
      <c r="L432" s="350"/>
      <c r="M432" s="350"/>
      <c r="N432" s="288"/>
      <c r="O432" s="288"/>
      <c r="P432" s="294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  <c r="AA432" s="294"/>
      <c r="AB432" s="294"/>
    </row>
    <row r="433">
      <c r="A433" s="353"/>
      <c r="B433" s="288"/>
      <c r="C433" s="288"/>
      <c r="D433" s="353"/>
      <c r="E433" s="288"/>
      <c r="F433" s="350"/>
      <c r="G433" s="289"/>
      <c r="H433" s="350"/>
      <c r="I433" s="350"/>
      <c r="J433" s="350"/>
      <c r="K433" s="350"/>
      <c r="L433" s="350"/>
      <c r="M433" s="350"/>
      <c r="N433" s="288"/>
      <c r="O433" s="288"/>
      <c r="P433" s="294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  <c r="AA433" s="294"/>
      <c r="AB433" s="294"/>
    </row>
    <row r="434">
      <c r="A434" s="353"/>
      <c r="B434" s="288"/>
      <c r="C434" s="288"/>
      <c r="D434" s="353"/>
      <c r="E434" s="288"/>
      <c r="F434" s="350"/>
      <c r="G434" s="289"/>
      <c r="H434" s="350"/>
      <c r="I434" s="350"/>
      <c r="J434" s="350"/>
      <c r="K434" s="350"/>
      <c r="L434" s="350"/>
      <c r="M434" s="350"/>
      <c r="N434" s="288"/>
      <c r="O434" s="288"/>
      <c r="P434" s="294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  <c r="AA434" s="294"/>
      <c r="AB434" s="294"/>
    </row>
    <row r="435">
      <c r="A435" s="353"/>
      <c r="B435" s="288"/>
      <c r="C435" s="288"/>
      <c r="D435" s="353"/>
      <c r="E435" s="288"/>
      <c r="F435" s="350"/>
      <c r="G435" s="289"/>
      <c r="H435" s="350"/>
      <c r="I435" s="350"/>
      <c r="J435" s="350"/>
      <c r="K435" s="350"/>
      <c r="L435" s="350"/>
      <c r="M435" s="350"/>
      <c r="N435" s="288"/>
      <c r="O435" s="288"/>
      <c r="P435" s="294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  <c r="AA435" s="294"/>
      <c r="AB435" s="294"/>
    </row>
    <row r="436">
      <c r="A436" s="353"/>
      <c r="B436" s="288"/>
      <c r="C436" s="288"/>
      <c r="D436" s="353"/>
      <c r="E436" s="288"/>
      <c r="F436" s="350"/>
      <c r="G436" s="289"/>
      <c r="H436" s="350"/>
      <c r="I436" s="350"/>
      <c r="J436" s="350"/>
      <c r="K436" s="350"/>
      <c r="L436" s="350"/>
      <c r="M436" s="350"/>
      <c r="N436" s="288"/>
      <c r="O436" s="288"/>
      <c r="P436" s="294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  <c r="AA436" s="294"/>
      <c r="AB436" s="294"/>
    </row>
    <row r="437">
      <c r="A437" s="353"/>
      <c r="B437" s="288"/>
      <c r="C437" s="288"/>
      <c r="D437" s="353"/>
      <c r="E437" s="288"/>
      <c r="F437" s="350"/>
      <c r="G437" s="289"/>
      <c r="H437" s="350"/>
      <c r="I437" s="350"/>
      <c r="J437" s="350"/>
      <c r="K437" s="350"/>
      <c r="L437" s="350"/>
      <c r="M437" s="350"/>
      <c r="N437" s="288"/>
      <c r="O437" s="288"/>
      <c r="P437" s="294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  <c r="AA437" s="294"/>
      <c r="AB437" s="294"/>
    </row>
    <row r="438">
      <c r="A438" s="353"/>
      <c r="B438" s="288"/>
      <c r="C438" s="288"/>
      <c r="D438" s="353"/>
      <c r="E438" s="288"/>
      <c r="F438" s="350"/>
      <c r="G438" s="289"/>
      <c r="H438" s="350"/>
      <c r="I438" s="350"/>
      <c r="J438" s="350"/>
      <c r="K438" s="350"/>
      <c r="L438" s="350"/>
      <c r="M438" s="350"/>
      <c r="N438" s="288"/>
      <c r="O438" s="288"/>
      <c r="P438" s="294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  <c r="AA438" s="294"/>
      <c r="AB438" s="294"/>
    </row>
    <row r="439">
      <c r="A439" s="353"/>
      <c r="B439" s="288"/>
      <c r="C439" s="288"/>
      <c r="D439" s="353"/>
      <c r="E439" s="288"/>
      <c r="F439" s="350"/>
      <c r="G439" s="289"/>
      <c r="H439" s="350"/>
      <c r="I439" s="350"/>
      <c r="J439" s="350"/>
      <c r="K439" s="350"/>
      <c r="L439" s="350"/>
      <c r="M439" s="350"/>
      <c r="N439" s="288"/>
      <c r="O439" s="288"/>
      <c r="P439" s="294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  <c r="AA439" s="294"/>
      <c r="AB439" s="294"/>
    </row>
    <row r="440">
      <c r="A440" s="353"/>
      <c r="B440" s="288"/>
      <c r="C440" s="288"/>
      <c r="D440" s="353"/>
      <c r="E440" s="288"/>
      <c r="F440" s="350"/>
      <c r="G440" s="289"/>
      <c r="H440" s="350"/>
      <c r="I440" s="350"/>
      <c r="J440" s="350"/>
      <c r="K440" s="350"/>
      <c r="L440" s="350"/>
      <c r="M440" s="350"/>
      <c r="N440" s="288"/>
      <c r="O440" s="288"/>
      <c r="P440" s="294"/>
      <c r="Q440" s="294"/>
      <c r="R440" s="294"/>
      <c r="S440" s="294"/>
      <c r="T440" s="294"/>
      <c r="U440" s="294"/>
      <c r="V440" s="294"/>
      <c r="W440" s="294"/>
      <c r="X440" s="294"/>
      <c r="Y440" s="294"/>
      <c r="Z440" s="294"/>
      <c r="AA440" s="294"/>
      <c r="AB440" s="294"/>
    </row>
    <row r="441">
      <c r="A441" s="353"/>
      <c r="B441" s="288"/>
      <c r="C441" s="288"/>
      <c r="D441" s="353"/>
      <c r="E441" s="288"/>
      <c r="F441" s="350"/>
      <c r="G441" s="289"/>
      <c r="H441" s="350"/>
      <c r="I441" s="350"/>
      <c r="J441" s="350"/>
      <c r="K441" s="350"/>
      <c r="L441" s="350"/>
      <c r="M441" s="350"/>
      <c r="N441" s="288"/>
      <c r="O441" s="288"/>
      <c r="P441" s="294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  <c r="AA441" s="294"/>
      <c r="AB441" s="294"/>
    </row>
    <row r="442">
      <c r="A442" s="353"/>
      <c r="B442" s="288"/>
      <c r="C442" s="288"/>
      <c r="D442" s="353"/>
      <c r="E442" s="288"/>
      <c r="F442" s="350"/>
      <c r="G442" s="289"/>
      <c r="H442" s="350"/>
      <c r="I442" s="350"/>
      <c r="J442" s="350"/>
      <c r="K442" s="350"/>
      <c r="L442" s="350"/>
      <c r="M442" s="350"/>
      <c r="N442" s="288"/>
      <c r="O442" s="288"/>
      <c r="P442" s="294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  <c r="AA442" s="294"/>
      <c r="AB442" s="294"/>
    </row>
    <row r="443">
      <c r="A443" s="353"/>
      <c r="B443" s="288"/>
      <c r="C443" s="288"/>
      <c r="D443" s="353"/>
      <c r="E443" s="288"/>
      <c r="F443" s="350"/>
      <c r="G443" s="289"/>
      <c r="H443" s="350"/>
      <c r="I443" s="350"/>
      <c r="J443" s="350"/>
      <c r="K443" s="350"/>
      <c r="L443" s="350"/>
      <c r="M443" s="350"/>
      <c r="N443" s="288"/>
      <c r="O443" s="288"/>
      <c r="P443" s="294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  <c r="AA443" s="294"/>
      <c r="AB443" s="294"/>
    </row>
    <row r="444">
      <c r="A444" s="353"/>
      <c r="B444" s="288"/>
      <c r="C444" s="288"/>
      <c r="D444" s="353"/>
      <c r="E444" s="288"/>
      <c r="F444" s="350"/>
      <c r="G444" s="289"/>
      <c r="H444" s="350"/>
      <c r="I444" s="350"/>
      <c r="J444" s="350"/>
      <c r="K444" s="350"/>
      <c r="L444" s="350"/>
      <c r="M444" s="350"/>
      <c r="N444" s="288"/>
      <c r="O444" s="288"/>
      <c r="P444" s="294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  <c r="AA444" s="294"/>
      <c r="AB444" s="294"/>
    </row>
    <row r="445">
      <c r="A445" s="353"/>
      <c r="B445" s="288"/>
      <c r="C445" s="288"/>
      <c r="D445" s="353"/>
      <c r="E445" s="288"/>
      <c r="F445" s="350"/>
      <c r="G445" s="289"/>
      <c r="H445" s="350"/>
      <c r="I445" s="350"/>
      <c r="J445" s="350"/>
      <c r="K445" s="350"/>
      <c r="L445" s="350"/>
      <c r="M445" s="350"/>
      <c r="N445" s="288"/>
      <c r="O445" s="288"/>
      <c r="P445" s="294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  <c r="AA445" s="294"/>
      <c r="AB445" s="294"/>
    </row>
    <row r="446">
      <c r="A446" s="353"/>
      <c r="B446" s="288"/>
      <c r="C446" s="288"/>
      <c r="D446" s="353"/>
      <c r="E446" s="288"/>
      <c r="F446" s="350"/>
      <c r="G446" s="289"/>
      <c r="H446" s="350"/>
      <c r="I446" s="350"/>
      <c r="J446" s="350"/>
      <c r="K446" s="350"/>
      <c r="L446" s="350"/>
      <c r="M446" s="350"/>
      <c r="N446" s="288"/>
      <c r="O446" s="288"/>
      <c r="P446" s="294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  <c r="AA446" s="294"/>
      <c r="AB446" s="294"/>
    </row>
    <row r="447">
      <c r="A447" s="353"/>
      <c r="B447" s="288"/>
      <c r="C447" s="288"/>
      <c r="D447" s="353"/>
      <c r="E447" s="288"/>
      <c r="F447" s="350"/>
      <c r="G447" s="289"/>
      <c r="H447" s="350"/>
      <c r="I447" s="350"/>
      <c r="J447" s="350"/>
      <c r="K447" s="350"/>
      <c r="L447" s="350"/>
      <c r="M447" s="350"/>
      <c r="N447" s="288"/>
      <c r="O447" s="288"/>
      <c r="P447" s="294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  <c r="AA447" s="294"/>
      <c r="AB447" s="294"/>
    </row>
    <row r="448">
      <c r="A448" s="353"/>
      <c r="B448" s="288"/>
      <c r="C448" s="288"/>
      <c r="D448" s="353"/>
      <c r="E448" s="288"/>
      <c r="F448" s="350"/>
      <c r="G448" s="289"/>
      <c r="H448" s="350"/>
      <c r="I448" s="350"/>
      <c r="J448" s="350"/>
      <c r="K448" s="350"/>
      <c r="L448" s="350"/>
      <c r="M448" s="350"/>
      <c r="N448" s="288"/>
      <c r="O448" s="288"/>
      <c r="P448" s="294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  <c r="AA448" s="294"/>
      <c r="AB448" s="294"/>
    </row>
    <row r="449">
      <c r="A449" s="353"/>
      <c r="B449" s="288"/>
      <c r="C449" s="288"/>
      <c r="D449" s="353"/>
      <c r="E449" s="288"/>
      <c r="F449" s="350"/>
      <c r="G449" s="289"/>
      <c r="H449" s="350"/>
      <c r="I449" s="350"/>
      <c r="J449" s="350"/>
      <c r="K449" s="350"/>
      <c r="L449" s="350"/>
      <c r="M449" s="350"/>
      <c r="N449" s="288"/>
      <c r="O449" s="288"/>
      <c r="P449" s="294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  <c r="AA449" s="294"/>
      <c r="AB449" s="294"/>
    </row>
    <row r="450">
      <c r="A450" s="353"/>
      <c r="B450" s="288"/>
      <c r="C450" s="288"/>
      <c r="D450" s="353"/>
      <c r="E450" s="288"/>
      <c r="F450" s="350"/>
      <c r="G450" s="289"/>
      <c r="H450" s="350"/>
      <c r="I450" s="350"/>
      <c r="J450" s="350"/>
      <c r="K450" s="350"/>
      <c r="L450" s="350"/>
      <c r="M450" s="350"/>
      <c r="N450" s="288"/>
      <c r="O450" s="288"/>
      <c r="P450" s="294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  <c r="AA450" s="294"/>
      <c r="AB450" s="294"/>
    </row>
    <row r="451">
      <c r="A451" s="353"/>
      <c r="B451" s="288"/>
      <c r="C451" s="288"/>
      <c r="D451" s="353"/>
      <c r="E451" s="288"/>
      <c r="F451" s="350"/>
      <c r="G451" s="289"/>
      <c r="H451" s="350"/>
      <c r="I451" s="350"/>
      <c r="J451" s="350"/>
      <c r="K451" s="350"/>
      <c r="L451" s="350"/>
      <c r="M451" s="350"/>
      <c r="N451" s="288"/>
      <c r="O451" s="288"/>
      <c r="P451" s="294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  <c r="AA451" s="294"/>
      <c r="AB451" s="294"/>
    </row>
    <row r="452">
      <c r="A452" s="353"/>
      <c r="B452" s="288"/>
      <c r="C452" s="288"/>
      <c r="D452" s="353"/>
      <c r="E452" s="288"/>
      <c r="F452" s="350"/>
      <c r="G452" s="289"/>
      <c r="H452" s="350"/>
      <c r="I452" s="350"/>
      <c r="J452" s="350"/>
      <c r="K452" s="350"/>
      <c r="L452" s="350"/>
      <c r="M452" s="350"/>
      <c r="N452" s="288"/>
      <c r="O452" s="288"/>
      <c r="P452" s="294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  <c r="AA452" s="294"/>
      <c r="AB452" s="294"/>
    </row>
    <row r="453">
      <c r="A453" s="353"/>
      <c r="B453" s="288"/>
      <c r="C453" s="288"/>
      <c r="D453" s="353"/>
      <c r="E453" s="288"/>
      <c r="F453" s="350"/>
      <c r="G453" s="289"/>
      <c r="H453" s="350"/>
      <c r="I453" s="350"/>
      <c r="J453" s="350"/>
      <c r="K453" s="350"/>
      <c r="L453" s="350"/>
      <c r="M453" s="350"/>
      <c r="N453" s="288"/>
      <c r="O453" s="288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  <c r="AA453" s="294"/>
      <c r="AB453" s="294"/>
    </row>
    <row r="454">
      <c r="A454" s="353"/>
      <c r="B454" s="288"/>
      <c r="C454" s="288"/>
      <c r="D454" s="353"/>
      <c r="E454" s="288"/>
      <c r="F454" s="350"/>
      <c r="G454" s="289"/>
      <c r="H454" s="350"/>
      <c r="I454" s="350"/>
      <c r="J454" s="350"/>
      <c r="K454" s="350"/>
      <c r="L454" s="350"/>
      <c r="M454" s="350"/>
      <c r="N454" s="288"/>
      <c r="O454" s="288"/>
      <c r="P454" s="294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  <c r="AA454" s="294"/>
      <c r="AB454" s="294"/>
    </row>
    <row r="455">
      <c r="A455" s="353"/>
      <c r="B455" s="288"/>
      <c r="C455" s="288"/>
      <c r="D455" s="353"/>
      <c r="E455" s="288"/>
      <c r="F455" s="350"/>
      <c r="G455" s="289"/>
      <c r="H455" s="350"/>
      <c r="I455" s="350"/>
      <c r="J455" s="350"/>
      <c r="K455" s="350"/>
      <c r="L455" s="350"/>
      <c r="M455" s="350"/>
      <c r="N455" s="288"/>
      <c r="O455" s="288"/>
      <c r="P455" s="294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  <c r="AA455" s="294"/>
      <c r="AB455" s="294"/>
    </row>
    <row r="456">
      <c r="A456" s="353"/>
      <c r="B456" s="288"/>
      <c r="C456" s="288"/>
      <c r="D456" s="353"/>
      <c r="E456" s="288"/>
      <c r="F456" s="350"/>
      <c r="G456" s="289"/>
      <c r="H456" s="350"/>
      <c r="I456" s="350"/>
      <c r="J456" s="350"/>
      <c r="K456" s="350"/>
      <c r="L456" s="350"/>
      <c r="M456" s="350"/>
      <c r="N456" s="288"/>
      <c r="O456" s="288"/>
      <c r="P456" s="294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  <c r="AA456" s="294"/>
      <c r="AB456" s="294"/>
    </row>
    <row r="457">
      <c r="A457" s="353"/>
      <c r="B457" s="288"/>
      <c r="C457" s="288"/>
      <c r="D457" s="353"/>
      <c r="E457" s="288"/>
      <c r="F457" s="350"/>
      <c r="G457" s="289"/>
      <c r="H457" s="350"/>
      <c r="I457" s="350"/>
      <c r="J457" s="350"/>
      <c r="K457" s="350"/>
      <c r="L457" s="350"/>
      <c r="M457" s="350"/>
      <c r="N457" s="288"/>
      <c r="O457" s="288"/>
      <c r="P457" s="294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  <c r="AA457" s="294"/>
      <c r="AB457" s="294"/>
    </row>
    <row r="458">
      <c r="A458" s="353"/>
      <c r="B458" s="288"/>
      <c r="C458" s="288"/>
      <c r="D458" s="353"/>
      <c r="E458" s="288"/>
      <c r="F458" s="350"/>
      <c r="G458" s="289"/>
      <c r="H458" s="350"/>
      <c r="I458" s="350"/>
      <c r="J458" s="350"/>
      <c r="K458" s="350"/>
      <c r="L458" s="350"/>
      <c r="M458" s="350"/>
      <c r="N458" s="288"/>
      <c r="O458" s="288"/>
      <c r="P458" s="294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  <c r="AA458" s="294"/>
      <c r="AB458" s="294"/>
    </row>
    <row r="459">
      <c r="A459" s="353"/>
      <c r="B459" s="288"/>
      <c r="C459" s="288"/>
      <c r="D459" s="353"/>
      <c r="E459" s="288"/>
      <c r="F459" s="350"/>
      <c r="G459" s="289"/>
      <c r="H459" s="350"/>
      <c r="I459" s="350"/>
      <c r="J459" s="350"/>
      <c r="K459" s="350"/>
      <c r="L459" s="350"/>
      <c r="M459" s="350"/>
      <c r="N459" s="288"/>
      <c r="O459" s="288"/>
      <c r="P459" s="294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  <c r="AA459" s="294"/>
      <c r="AB459" s="294"/>
    </row>
    <row r="460">
      <c r="A460" s="353"/>
      <c r="B460" s="288"/>
      <c r="C460" s="288"/>
      <c r="D460" s="353"/>
      <c r="E460" s="288"/>
      <c r="F460" s="350"/>
      <c r="G460" s="289"/>
      <c r="H460" s="350"/>
      <c r="I460" s="350"/>
      <c r="J460" s="350"/>
      <c r="K460" s="350"/>
      <c r="L460" s="350"/>
      <c r="M460" s="350"/>
      <c r="N460" s="288"/>
      <c r="O460" s="288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  <c r="AA460" s="294"/>
      <c r="AB460" s="294"/>
    </row>
    <row r="461">
      <c r="A461" s="353"/>
      <c r="B461" s="288"/>
      <c r="C461" s="288"/>
      <c r="D461" s="353"/>
      <c r="E461" s="288"/>
      <c r="F461" s="350"/>
      <c r="G461" s="289"/>
      <c r="H461" s="350"/>
      <c r="I461" s="350"/>
      <c r="J461" s="350"/>
      <c r="K461" s="350"/>
      <c r="L461" s="350"/>
      <c r="M461" s="350"/>
      <c r="N461" s="288"/>
      <c r="O461" s="288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  <c r="AA461" s="294"/>
      <c r="AB461" s="294"/>
    </row>
    <row r="462">
      <c r="A462" s="353"/>
      <c r="B462" s="288"/>
      <c r="C462" s="288"/>
      <c r="D462" s="353"/>
      <c r="E462" s="288"/>
      <c r="F462" s="350"/>
      <c r="G462" s="289"/>
      <c r="H462" s="350"/>
      <c r="I462" s="350"/>
      <c r="J462" s="350"/>
      <c r="K462" s="350"/>
      <c r="L462" s="350"/>
      <c r="M462" s="350"/>
      <c r="N462" s="288"/>
      <c r="O462" s="288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  <c r="AA462" s="294"/>
      <c r="AB462" s="294"/>
    </row>
    <row r="463">
      <c r="A463" s="353"/>
      <c r="B463" s="288"/>
      <c r="C463" s="288"/>
      <c r="D463" s="353"/>
      <c r="E463" s="288"/>
      <c r="F463" s="350"/>
      <c r="G463" s="289"/>
      <c r="H463" s="350"/>
      <c r="I463" s="350"/>
      <c r="J463" s="350"/>
      <c r="K463" s="350"/>
      <c r="L463" s="350"/>
      <c r="M463" s="350"/>
      <c r="N463" s="288"/>
      <c r="O463" s="288"/>
      <c r="P463" s="294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  <c r="AA463" s="294"/>
      <c r="AB463" s="294"/>
    </row>
    <row r="464">
      <c r="A464" s="353"/>
      <c r="B464" s="288"/>
      <c r="C464" s="288"/>
      <c r="D464" s="353"/>
      <c r="E464" s="288"/>
      <c r="F464" s="350"/>
      <c r="G464" s="289"/>
      <c r="H464" s="350"/>
      <c r="I464" s="350"/>
      <c r="J464" s="350"/>
      <c r="K464" s="350"/>
      <c r="L464" s="350"/>
      <c r="M464" s="350"/>
      <c r="N464" s="288"/>
      <c r="O464" s="288"/>
      <c r="P464" s="294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  <c r="AA464" s="294"/>
      <c r="AB464" s="294"/>
    </row>
    <row r="465">
      <c r="A465" s="353"/>
      <c r="B465" s="288"/>
      <c r="C465" s="288"/>
      <c r="D465" s="353"/>
      <c r="E465" s="288"/>
      <c r="F465" s="350"/>
      <c r="G465" s="289"/>
      <c r="H465" s="350"/>
      <c r="I465" s="350"/>
      <c r="J465" s="350"/>
      <c r="K465" s="350"/>
      <c r="L465" s="350"/>
      <c r="M465" s="350"/>
      <c r="N465" s="288"/>
      <c r="O465" s="288"/>
      <c r="P465" s="294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  <c r="AA465" s="294"/>
      <c r="AB465" s="294"/>
    </row>
    <row r="466">
      <c r="A466" s="353"/>
      <c r="B466" s="288"/>
      <c r="C466" s="288"/>
      <c r="D466" s="353"/>
      <c r="E466" s="288"/>
      <c r="F466" s="350"/>
      <c r="G466" s="289"/>
      <c r="H466" s="350"/>
      <c r="I466" s="350"/>
      <c r="J466" s="350"/>
      <c r="K466" s="350"/>
      <c r="L466" s="350"/>
      <c r="M466" s="350"/>
      <c r="N466" s="288"/>
      <c r="O466" s="288"/>
      <c r="P466" s="294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  <c r="AA466" s="294"/>
      <c r="AB466" s="294"/>
    </row>
    <row r="467">
      <c r="A467" s="353"/>
      <c r="B467" s="288"/>
      <c r="C467" s="288"/>
      <c r="D467" s="353"/>
      <c r="E467" s="288"/>
      <c r="F467" s="350"/>
      <c r="G467" s="289"/>
      <c r="H467" s="350"/>
      <c r="I467" s="350"/>
      <c r="J467" s="350"/>
      <c r="K467" s="350"/>
      <c r="L467" s="350"/>
      <c r="M467" s="350"/>
      <c r="N467" s="288"/>
      <c r="O467" s="288"/>
      <c r="P467" s="294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  <c r="AA467" s="294"/>
      <c r="AB467" s="294"/>
    </row>
    <row r="468">
      <c r="A468" s="353"/>
      <c r="B468" s="288"/>
      <c r="C468" s="288"/>
      <c r="D468" s="353"/>
      <c r="E468" s="288"/>
      <c r="F468" s="350"/>
      <c r="G468" s="289"/>
      <c r="H468" s="350"/>
      <c r="I468" s="350"/>
      <c r="J468" s="350"/>
      <c r="K468" s="350"/>
      <c r="L468" s="350"/>
      <c r="M468" s="350"/>
      <c r="N468" s="288"/>
      <c r="O468" s="288"/>
      <c r="P468" s="294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  <c r="AA468" s="294"/>
      <c r="AB468" s="294"/>
    </row>
    <row r="469">
      <c r="A469" s="353"/>
      <c r="B469" s="288"/>
      <c r="C469" s="288"/>
      <c r="D469" s="353"/>
      <c r="E469" s="288"/>
      <c r="F469" s="350"/>
      <c r="G469" s="289"/>
      <c r="H469" s="350"/>
      <c r="I469" s="350"/>
      <c r="J469" s="350"/>
      <c r="K469" s="350"/>
      <c r="L469" s="350"/>
      <c r="M469" s="350"/>
      <c r="N469" s="288"/>
      <c r="O469" s="288"/>
      <c r="P469" s="294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  <c r="AA469" s="294"/>
      <c r="AB469" s="294"/>
    </row>
    <row r="470">
      <c r="A470" s="353"/>
      <c r="B470" s="288"/>
      <c r="C470" s="288"/>
      <c r="D470" s="353"/>
      <c r="E470" s="288"/>
      <c r="F470" s="350"/>
      <c r="G470" s="289"/>
      <c r="H470" s="350"/>
      <c r="I470" s="350"/>
      <c r="J470" s="350"/>
      <c r="K470" s="350"/>
      <c r="L470" s="350"/>
      <c r="M470" s="350"/>
      <c r="N470" s="288"/>
      <c r="O470" s="288"/>
      <c r="P470" s="294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  <c r="AA470" s="294"/>
      <c r="AB470" s="294"/>
    </row>
    <row r="471">
      <c r="A471" s="353"/>
      <c r="B471" s="288"/>
      <c r="C471" s="288"/>
      <c r="D471" s="353"/>
      <c r="E471" s="288"/>
      <c r="F471" s="350"/>
      <c r="G471" s="289"/>
      <c r="H471" s="350"/>
      <c r="I471" s="350"/>
      <c r="J471" s="350"/>
      <c r="K471" s="350"/>
      <c r="L471" s="350"/>
      <c r="M471" s="350"/>
      <c r="N471" s="288"/>
      <c r="O471" s="288"/>
      <c r="P471" s="294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  <c r="AA471" s="294"/>
      <c r="AB471" s="294"/>
    </row>
    <row r="472">
      <c r="A472" s="353"/>
      <c r="B472" s="288"/>
      <c r="C472" s="288"/>
      <c r="D472" s="353"/>
      <c r="E472" s="288"/>
      <c r="F472" s="350"/>
      <c r="G472" s="289"/>
      <c r="H472" s="350"/>
      <c r="I472" s="350"/>
      <c r="J472" s="350"/>
      <c r="K472" s="350"/>
      <c r="L472" s="350"/>
      <c r="M472" s="350"/>
      <c r="N472" s="288"/>
      <c r="O472" s="288"/>
      <c r="P472" s="294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  <c r="AA472" s="294"/>
      <c r="AB472" s="294"/>
    </row>
    <row r="473">
      <c r="A473" s="353"/>
      <c r="B473" s="288"/>
      <c r="C473" s="288"/>
      <c r="D473" s="353"/>
      <c r="E473" s="288"/>
      <c r="F473" s="350"/>
      <c r="G473" s="289"/>
      <c r="H473" s="350"/>
      <c r="I473" s="350"/>
      <c r="J473" s="350"/>
      <c r="K473" s="350"/>
      <c r="L473" s="350"/>
      <c r="M473" s="350"/>
      <c r="N473" s="288"/>
      <c r="O473" s="288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  <c r="AA473" s="294"/>
      <c r="AB473" s="294"/>
    </row>
    <row r="474">
      <c r="A474" s="353"/>
      <c r="B474" s="288"/>
      <c r="C474" s="288"/>
      <c r="D474" s="353"/>
      <c r="E474" s="288"/>
      <c r="F474" s="350"/>
      <c r="G474" s="289"/>
      <c r="H474" s="350"/>
      <c r="I474" s="350"/>
      <c r="J474" s="350"/>
      <c r="K474" s="350"/>
      <c r="L474" s="350"/>
      <c r="M474" s="350"/>
      <c r="N474" s="288"/>
      <c r="O474" s="288"/>
      <c r="P474" s="294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  <c r="AA474" s="294"/>
      <c r="AB474" s="294"/>
    </row>
    <row r="475">
      <c r="A475" s="353"/>
      <c r="B475" s="288"/>
      <c r="C475" s="288"/>
      <c r="D475" s="353"/>
      <c r="E475" s="288"/>
      <c r="F475" s="350"/>
      <c r="G475" s="289"/>
      <c r="H475" s="350"/>
      <c r="I475" s="350"/>
      <c r="J475" s="350"/>
      <c r="K475" s="350"/>
      <c r="L475" s="350"/>
      <c r="M475" s="350"/>
      <c r="N475" s="288"/>
      <c r="O475" s="288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  <c r="AA475" s="294"/>
      <c r="AB475" s="294"/>
    </row>
    <row r="476">
      <c r="A476" s="353"/>
      <c r="B476" s="288"/>
      <c r="C476" s="288"/>
      <c r="D476" s="353"/>
      <c r="E476" s="288"/>
      <c r="F476" s="350"/>
      <c r="G476" s="289"/>
      <c r="H476" s="350"/>
      <c r="I476" s="350"/>
      <c r="J476" s="350"/>
      <c r="K476" s="350"/>
      <c r="L476" s="350"/>
      <c r="M476" s="350"/>
      <c r="N476" s="288"/>
      <c r="O476" s="288"/>
      <c r="P476" s="294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  <c r="AA476" s="294"/>
      <c r="AB476" s="294"/>
    </row>
    <row r="477">
      <c r="A477" s="353"/>
      <c r="B477" s="288"/>
      <c r="C477" s="288"/>
      <c r="D477" s="353"/>
      <c r="E477" s="288"/>
      <c r="F477" s="350"/>
      <c r="G477" s="289"/>
      <c r="H477" s="350"/>
      <c r="I477" s="350"/>
      <c r="J477" s="350"/>
      <c r="K477" s="350"/>
      <c r="L477" s="350"/>
      <c r="M477" s="350"/>
      <c r="N477" s="288"/>
      <c r="O477" s="288"/>
      <c r="P477" s="294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  <c r="AA477" s="294"/>
      <c r="AB477" s="294"/>
    </row>
    <row r="478">
      <c r="A478" s="353"/>
      <c r="B478" s="288"/>
      <c r="C478" s="288"/>
      <c r="D478" s="353"/>
      <c r="E478" s="288"/>
      <c r="F478" s="350"/>
      <c r="G478" s="289"/>
      <c r="H478" s="350"/>
      <c r="I478" s="350"/>
      <c r="J478" s="350"/>
      <c r="K478" s="350"/>
      <c r="L478" s="350"/>
      <c r="M478" s="350"/>
      <c r="N478" s="288"/>
      <c r="O478" s="288"/>
      <c r="P478" s="294"/>
      <c r="Q478" s="294"/>
      <c r="R478" s="294"/>
      <c r="S478" s="294"/>
      <c r="T478" s="294"/>
      <c r="U478" s="294"/>
      <c r="V478" s="294"/>
      <c r="W478" s="294"/>
      <c r="X478" s="294"/>
      <c r="Y478" s="294"/>
      <c r="Z478" s="294"/>
      <c r="AA478" s="294"/>
      <c r="AB478" s="294"/>
    </row>
    <row r="479">
      <c r="A479" s="353"/>
      <c r="B479" s="288"/>
      <c r="C479" s="288"/>
      <c r="D479" s="353"/>
      <c r="E479" s="288"/>
      <c r="F479" s="350"/>
      <c r="G479" s="289"/>
      <c r="H479" s="350"/>
      <c r="I479" s="350"/>
      <c r="J479" s="350"/>
      <c r="K479" s="350"/>
      <c r="L479" s="350"/>
      <c r="M479" s="350"/>
      <c r="N479" s="288"/>
      <c r="O479" s="288"/>
      <c r="P479" s="294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  <c r="AA479" s="294"/>
      <c r="AB479" s="294"/>
    </row>
    <row r="480">
      <c r="A480" s="353"/>
      <c r="B480" s="288"/>
      <c r="C480" s="288"/>
      <c r="D480" s="353"/>
      <c r="E480" s="288"/>
      <c r="F480" s="350"/>
      <c r="G480" s="289"/>
      <c r="H480" s="350"/>
      <c r="I480" s="350"/>
      <c r="J480" s="350"/>
      <c r="K480" s="350"/>
      <c r="L480" s="350"/>
      <c r="M480" s="350"/>
      <c r="N480" s="288"/>
      <c r="O480" s="288"/>
      <c r="P480" s="294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  <c r="AA480" s="294"/>
      <c r="AB480" s="294"/>
    </row>
    <row r="481">
      <c r="A481" s="353"/>
      <c r="B481" s="288"/>
      <c r="C481" s="288"/>
      <c r="D481" s="353"/>
      <c r="E481" s="288"/>
      <c r="F481" s="350"/>
      <c r="G481" s="289"/>
      <c r="H481" s="350"/>
      <c r="I481" s="350"/>
      <c r="J481" s="350"/>
      <c r="K481" s="350"/>
      <c r="L481" s="350"/>
      <c r="M481" s="350"/>
      <c r="N481" s="288"/>
      <c r="O481" s="288"/>
      <c r="P481" s="294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  <c r="AA481" s="294"/>
      <c r="AB481" s="294"/>
    </row>
    <row r="482">
      <c r="A482" s="353"/>
      <c r="B482" s="288"/>
      <c r="C482" s="288"/>
      <c r="D482" s="353"/>
      <c r="E482" s="288"/>
      <c r="F482" s="350"/>
      <c r="G482" s="289"/>
      <c r="H482" s="350"/>
      <c r="I482" s="350"/>
      <c r="J482" s="350"/>
      <c r="K482" s="350"/>
      <c r="L482" s="350"/>
      <c r="M482" s="350"/>
      <c r="N482" s="288"/>
      <c r="O482" s="288"/>
      <c r="P482" s="294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  <c r="AA482" s="294"/>
      <c r="AB482" s="294"/>
    </row>
    <row r="483">
      <c r="A483" s="353"/>
      <c r="B483" s="288"/>
      <c r="C483" s="288"/>
      <c r="D483" s="353"/>
      <c r="E483" s="288"/>
      <c r="F483" s="350"/>
      <c r="G483" s="289"/>
      <c r="H483" s="350"/>
      <c r="I483" s="350"/>
      <c r="J483" s="350"/>
      <c r="K483" s="350"/>
      <c r="L483" s="350"/>
      <c r="M483" s="350"/>
      <c r="N483" s="288"/>
      <c r="O483" s="288"/>
      <c r="P483" s="294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  <c r="AA483" s="294"/>
      <c r="AB483" s="294"/>
    </row>
    <row r="484">
      <c r="A484" s="353"/>
      <c r="B484" s="288"/>
      <c r="C484" s="288"/>
      <c r="D484" s="353"/>
      <c r="E484" s="288"/>
      <c r="F484" s="350"/>
      <c r="G484" s="289"/>
      <c r="H484" s="350"/>
      <c r="I484" s="350"/>
      <c r="J484" s="350"/>
      <c r="K484" s="350"/>
      <c r="L484" s="350"/>
      <c r="M484" s="350"/>
      <c r="N484" s="288"/>
      <c r="O484" s="288"/>
      <c r="P484" s="294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  <c r="AA484" s="294"/>
      <c r="AB484" s="294"/>
    </row>
    <row r="485">
      <c r="A485" s="353"/>
      <c r="B485" s="288"/>
      <c r="C485" s="288"/>
      <c r="D485" s="353"/>
      <c r="E485" s="288"/>
      <c r="F485" s="350"/>
      <c r="G485" s="289"/>
      <c r="H485" s="350"/>
      <c r="I485" s="350"/>
      <c r="J485" s="350"/>
      <c r="K485" s="350"/>
      <c r="L485" s="350"/>
      <c r="M485" s="350"/>
      <c r="N485" s="288"/>
      <c r="O485" s="288"/>
      <c r="P485" s="294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  <c r="AA485" s="294"/>
      <c r="AB485" s="294"/>
    </row>
    <row r="486">
      <c r="A486" s="353"/>
      <c r="B486" s="288"/>
      <c r="C486" s="288"/>
      <c r="D486" s="353"/>
      <c r="E486" s="288"/>
      <c r="F486" s="350"/>
      <c r="G486" s="289"/>
      <c r="H486" s="350"/>
      <c r="I486" s="350"/>
      <c r="J486" s="350"/>
      <c r="K486" s="350"/>
      <c r="L486" s="350"/>
      <c r="M486" s="350"/>
      <c r="N486" s="288"/>
      <c r="O486" s="288"/>
      <c r="P486" s="294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  <c r="AA486" s="294"/>
      <c r="AB486" s="294"/>
    </row>
    <row r="487">
      <c r="A487" s="353"/>
      <c r="B487" s="288"/>
      <c r="C487" s="288"/>
      <c r="D487" s="353"/>
      <c r="E487" s="288"/>
      <c r="F487" s="350"/>
      <c r="G487" s="289"/>
      <c r="H487" s="350"/>
      <c r="I487" s="350"/>
      <c r="J487" s="350"/>
      <c r="K487" s="350"/>
      <c r="L487" s="350"/>
      <c r="M487" s="350"/>
      <c r="N487" s="288"/>
      <c r="O487" s="288"/>
      <c r="P487" s="294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  <c r="AA487" s="294"/>
      <c r="AB487" s="294"/>
    </row>
    <row r="488">
      <c r="A488" s="353"/>
      <c r="B488" s="288"/>
      <c r="C488" s="288"/>
      <c r="D488" s="353"/>
      <c r="E488" s="288"/>
      <c r="F488" s="350"/>
      <c r="G488" s="289"/>
      <c r="H488" s="350"/>
      <c r="I488" s="350"/>
      <c r="J488" s="350"/>
      <c r="K488" s="350"/>
      <c r="L488" s="350"/>
      <c r="M488" s="350"/>
      <c r="N488" s="288"/>
      <c r="O488" s="288"/>
      <c r="P488" s="294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  <c r="AA488" s="294"/>
      <c r="AB488" s="294"/>
    </row>
    <row r="489">
      <c r="A489" s="353"/>
      <c r="B489" s="288"/>
      <c r="C489" s="288"/>
      <c r="D489" s="353"/>
      <c r="E489" s="288"/>
      <c r="F489" s="350"/>
      <c r="G489" s="289"/>
      <c r="H489" s="350"/>
      <c r="I489" s="350"/>
      <c r="J489" s="350"/>
      <c r="K489" s="350"/>
      <c r="L489" s="350"/>
      <c r="M489" s="350"/>
      <c r="N489" s="288"/>
      <c r="O489" s="288"/>
      <c r="P489" s="294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  <c r="AA489" s="294"/>
      <c r="AB489" s="294"/>
    </row>
    <row r="490">
      <c r="A490" s="353"/>
      <c r="B490" s="288"/>
      <c r="C490" s="288"/>
      <c r="D490" s="353"/>
      <c r="E490" s="288"/>
      <c r="F490" s="350"/>
      <c r="G490" s="289"/>
      <c r="H490" s="350"/>
      <c r="I490" s="350"/>
      <c r="J490" s="350"/>
      <c r="K490" s="350"/>
      <c r="L490" s="350"/>
      <c r="M490" s="350"/>
      <c r="N490" s="288"/>
      <c r="O490" s="288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  <c r="AA490" s="294"/>
      <c r="AB490" s="294"/>
    </row>
    <row r="491">
      <c r="A491" s="353"/>
      <c r="B491" s="288"/>
      <c r="C491" s="288"/>
      <c r="D491" s="353"/>
      <c r="E491" s="288"/>
      <c r="F491" s="350"/>
      <c r="G491" s="289"/>
      <c r="H491" s="350"/>
      <c r="I491" s="350"/>
      <c r="J491" s="350"/>
      <c r="K491" s="350"/>
      <c r="L491" s="350"/>
      <c r="M491" s="350"/>
      <c r="N491" s="288"/>
      <c r="O491" s="288"/>
      <c r="P491" s="294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  <c r="AA491" s="294"/>
      <c r="AB491" s="294"/>
    </row>
    <row r="492">
      <c r="A492" s="353"/>
      <c r="B492" s="288"/>
      <c r="C492" s="288"/>
      <c r="D492" s="353"/>
      <c r="E492" s="288"/>
      <c r="F492" s="350"/>
      <c r="G492" s="289"/>
      <c r="H492" s="350"/>
      <c r="I492" s="350"/>
      <c r="J492" s="350"/>
      <c r="K492" s="350"/>
      <c r="L492" s="350"/>
      <c r="M492" s="350"/>
      <c r="N492" s="288"/>
      <c r="O492" s="288"/>
      <c r="P492" s="294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  <c r="AA492" s="294"/>
      <c r="AB492" s="294"/>
    </row>
    <row r="493">
      <c r="A493" s="353"/>
      <c r="B493" s="288"/>
      <c r="C493" s="288"/>
      <c r="D493" s="353"/>
      <c r="E493" s="288"/>
      <c r="F493" s="350"/>
      <c r="G493" s="289"/>
      <c r="H493" s="350"/>
      <c r="I493" s="350"/>
      <c r="J493" s="350"/>
      <c r="K493" s="350"/>
      <c r="L493" s="350"/>
      <c r="M493" s="350"/>
      <c r="N493" s="288"/>
      <c r="O493" s="288"/>
      <c r="P493" s="294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  <c r="AA493" s="294"/>
      <c r="AB493" s="294"/>
    </row>
    <row r="494">
      <c r="A494" s="353"/>
      <c r="B494" s="288"/>
      <c r="C494" s="288"/>
      <c r="D494" s="353"/>
      <c r="E494" s="288"/>
      <c r="F494" s="350"/>
      <c r="G494" s="289"/>
      <c r="H494" s="350"/>
      <c r="I494" s="350"/>
      <c r="J494" s="350"/>
      <c r="K494" s="350"/>
      <c r="L494" s="350"/>
      <c r="M494" s="350"/>
      <c r="N494" s="288"/>
      <c r="O494" s="288"/>
      <c r="P494" s="294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  <c r="AA494" s="294"/>
      <c r="AB494" s="294"/>
    </row>
    <row r="495">
      <c r="A495" s="353"/>
      <c r="B495" s="288"/>
      <c r="C495" s="288"/>
      <c r="D495" s="353"/>
      <c r="E495" s="288"/>
      <c r="F495" s="350"/>
      <c r="G495" s="289"/>
      <c r="H495" s="350"/>
      <c r="I495" s="350"/>
      <c r="J495" s="350"/>
      <c r="K495" s="350"/>
      <c r="L495" s="350"/>
      <c r="M495" s="350"/>
      <c r="N495" s="288"/>
      <c r="O495" s="288"/>
      <c r="P495" s="294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  <c r="AA495" s="294"/>
      <c r="AB495" s="294"/>
    </row>
    <row r="496">
      <c r="A496" s="353"/>
      <c r="B496" s="288"/>
      <c r="C496" s="288"/>
      <c r="D496" s="353"/>
      <c r="E496" s="288"/>
      <c r="F496" s="350"/>
      <c r="G496" s="289"/>
      <c r="H496" s="350"/>
      <c r="I496" s="350"/>
      <c r="J496" s="350"/>
      <c r="K496" s="350"/>
      <c r="L496" s="350"/>
      <c r="M496" s="350"/>
      <c r="N496" s="288"/>
      <c r="O496" s="288"/>
      <c r="P496" s="294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  <c r="AA496" s="294"/>
      <c r="AB496" s="294"/>
    </row>
    <row r="497">
      <c r="A497" s="353"/>
      <c r="B497" s="288"/>
      <c r="C497" s="288"/>
      <c r="D497" s="353"/>
      <c r="E497" s="288"/>
      <c r="F497" s="350"/>
      <c r="G497" s="289"/>
      <c r="H497" s="350"/>
      <c r="I497" s="350"/>
      <c r="J497" s="350"/>
      <c r="K497" s="350"/>
      <c r="L497" s="350"/>
      <c r="M497" s="350"/>
      <c r="N497" s="288"/>
      <c r="O497" s="288"/>
      <c r="P497" s="294"/>
      <c r="Q497" s="294"/>
      <c r="R497" s="294"/>
      <c r="S497" s="294"/>
      <c r="T497" s="294"/>
      <c r="U497" s="294"/>
      <c r="V497" s="294"/>
      <c r="W497" s="294"/>
      <c r="X497" s="294"/>
      <c r="Y497" s="294"/>
      <c r="Z497" s="294"/>
      <c r="AA497" s="294"/>
      <c r="AB497" s="294"/>
    </row>
    <row r="498">
      <c r="A498" s="353"/>
      <c r="B498" s="288"/>
      <c r="C498" s="288"/>
      <c r="D498" s="353"/>
      <c r="E498" s="288"/>
      <c r="F498" s="350"/>
      <c r="G498" s="289"/>
      <c r="H498" s="350"/>
      <c r="I498" s="350"/>
      <c r="J498" s="350"/>
      <c r="K498" s="350"/>
      <c r="L498" s="350"/>
      <c r="M498" s="350"/>
      <c r="N498" s="288"/>
      <c r="O498" s="288"/>
      <c r="P498" s="294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  <c r="AA498" s="294"/>
      <c r="AB498" s="294"/>
    </row>
    <row r="499">
      <c r="A499" s="353"/>
      <c r="B499" s="288"/>
      <c r="C499" s="288"/>
      <c r="D499" s="353"/>
      <c r="E499" s="288"/>
      <c r="F499" s="350"/>
      <c r="G499" s="289"/>
      <c r="H499" s="350"/>
      <c r="I499" s="350"/>
      <c r="J499" s="350"/>
      <c r="K499" s="350"/>
      <c r="L499" s="350"/>
      <c r="M499" s="350"/>
      <c r="N499" s="288"/>
      <c r="O499" s="288"/>
      <c r="P499" s="294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  <c r="AA499" s="294"/>
      <c r="AB499" s="294"/>
    </row>
    <row r="500">
      <c r="A500" s="353"/>
      <c r="B500" s="288"/>
      <c r="C500" s="288"/>
      <c r="D500" s="353"/>
      <c r="E500" s="288"/>
      <c r="F500" s="350"/>
      <c r="G500" s="289"/>
      <c r="H500" s="350"/>
      <c r="I500" s="350"/>
      <c r="J500" s="350"/>
      <c r="K500" s="350"/>
      <c r="L500" s="350"/>
      <c r="M500" s="350"/>
      <c r="N500" s="288"/>
      <c r="O500" s="288"/>
      <c r="P500" s="294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  <c r="AA500" s="294"/>
      <c r="AB500" s="294"/>
    </row>
    <row r="501">
      <c r="A501" s="353"/>
      <c r="B501" s="288"/>
      <c r="C501" s="288"/>
      <c r="D501" s="353"/>
      <c r="E501" s="288"/>
      <c r="F501" s="350"/>
      <c r="G501" s="289"/>
      <c r="H501" s="350"/>
      <c r="I501" s="350"/>
      <c r="J501" s="350"/>
      <c r="K501" s="350"/>
      <c r="L501" s="350"/>
      <c r="M501" s="350"/>
      <c r="N501" s="288"/>
      <c r="O501" s="288"/>
      <c r="P501" s="294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  <c r="AA501" s="294"/>
      <c r="AB501" s="294"/>
    </row>
    <row r="502">
      <c r="A502" s="353"/>
      <c r="B502" s="288"/>
      <c r="C502" s="288"/>
      <c r="D502" s="353"/>
      <c r="E502" s="288"/>
      <c r="F502" s="350"/>
      <c r="G502" s="289"/>
      <c r="H502" s="350"/>
      <c r="I502" s="350"/>
      <c r="J502" s="350"/>
      <c r="K502" s="350"/>
      <c r="L502" s="350"/>
      <c r="M502" s="350"/>
      <c r="N502" s="288"/>
      <c r="O502" s="288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  <c r="AA502" s="294"/>
      <c r="AB502" s="294"/>
    </row>
    <row r="503">
      <c r="A503" s="353"/>
      <c r="B503" s="288"/>
      <c r="C503" s="288"/>
      <c r="D503" s="353"/>
      <c r="E503" s="288"/>
      <c r="F503" s="350"/>
      <c r="G503" s="289"/>
      <c r="H503" s="350"/>
      <c r="I503" s="350"/>
      <c r="J503" s="350"/>
      <c r="K503" s="350"/>
      <c r="L503" s="350"/>
      <c r="M503" s="350"/>
      <c r="N503" s="288"/>
      <c r="O503" s="288"/>
      <c r="P503" s="294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  <c r="AA503" s="294"/>
      <c r="AB503" s="294"/>
    </row>
    <row r="504">
      <c r="A504" s="353"/>
      <c r="B504" s="288"/>
      <c r="C504" s="288"/>
      <c r="D504" s="353"/>
      <c r="E504" s="288"/>
      <c r="F504" s="350"/>
      <c r="G504" s="289"/>
      <c r="H504" s="350"/>
      <c r="I504" s="350"/>
      <c r="J504" s="350"/>
      <c r="K504" s="350"/>
      <c r="L504" s="350"/>
      <c r="M504" s="350"/>
      <c r="N504" s="288"/>
      <c r="O504" s="288"/>
      <c r="P504" s="294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  <c r="AA504" s="294"/>
      <c r="AB504" s="294"/>
    </row>
    <row r="505">
      <c r="A505" s="353"/>
      <c r="B505" s="288"/>
      <c r="C505" s="288"/>
      <c r="D505" s="353"/>
      <c r="E505" s="288"/>
      <c r="F505" s="350"/>
      <c r="G505" s="289"/>
      <c r="H505" s="350"/>
      <c r="I505" s="350"/>
      <c r="J505" s="350"/>
      <c r="K505" s="350"/>
      <c r="L505" s="350"/>
      <c r="M505" s="350"/>
      <c r="N505" s="288"/>
      <c r="O505" s="288"/>
      <c r="P505" s="294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  <c r="AA505" s="294"/>
      <c r="AB505" s="294"/>
    </row>
    <row r="506">
      <c r="A506" s="353"/>
      <c r="B506" s="288"/>
      <c r="C506" s="288"/>
      <c r="D506" s="353"/>
      <c r="E506" s="288"/>
      <c r="F506" s="350"/>
      <c r="G506" s="289"/>
      <c r="H506" s="350"/>
      <c r="I506" s="350"/>
      <c r="J506" s="350"/>
      <c r="K506" s="350"/>
      <c r="L506" s="350"/>
      <c r="M506" s="350"/>
      <c r="N506" s="288"/>
      <c r="O506" s="288"/>
      <c r="P506" s="294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  <c r="AA506" s="294"/>
      <c r="AB506" s="294"/>
    </row>
    <row r="507">
      <c r="A507" s="353"/>
      <c r="B507" s="288"/>
      <c r="C507" s="288"/>
      <c r="D507" s="353"/>
      <c r="E507" s="288"/>
      <c r="F507" s="350"/>
      <c r="G507" s="289"/>
      <c r="H507" s="350"/>
      <c r="I507" s="350"/>
      <c r="J507" s="350"/>
      <c r="K507" s="350"/>
      <c r="L507" s="350"/>
      <c r="M507" s="350"/>
      <c r="N507" s="288"/>
      <c r="O507" s="288"/>
      <c r="P507" s="294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  <c r="AA507" s="294"/>
      <c r="AB507" s="294"/>
    </row>
    <row r="508">
      <c r="A508" s="353"/>
      <c r="B508" s="288"/>
      <c r="C508" s="288"/>
      <c r="D508" s="353"/>
      <c r="E508" s="288"/>
      <c r="F508" s="350"/>
      <c r="G508" s="289"/>
      <c r="H508" s="350"/>
      <c r="I508" s="350"/>
      <c r="J508" s="350"/>
      <c r="K508" s="350"/>
      <c r="L508" s="350"/>
      <c r="M508" s="350"/>
      <c r="N508" s="288"/>
      <c r="O508" s="288"/>
      <c r="P508" s="294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  <c r="AA508" s="294"/>
      <c r="AB508" s="294"/>
    </row>
    <row r="509">
      <c r="A509" s="353"/>
      <c r="B509" s="288"/>
      <c r="C509" s="288"/>
      <c r="D509" s="353"/>
      <c r="E509" s="288"/>
      <c r="F509" s="350"/>
      <c r="G509" s="289"/>
      <c r="H509" s="350"/>
      <c r="I509" s="350"/>
      <c r="J509" s="350"/>
      <c r="K509" s="350"/>
      <c r="L509" s="350"/>
      <c r="M509" s="350"/>
      <c r="N509" s="288"/>
      <c r="O509" s="288"/>
      <c r="P509" s="294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  <c r="AA509" s="294"/>
      <c r="AB509" s="294"/>
    </row>
    <row r="510">
      <c r="A510" s="353"/>
      <c r="B510" s="288"/>
      <c r="C510" s="288"/>
      <c r="D510" s="353"/>
      <c r="E510" s="288"/>
      <c r="F510" s="350"/>
      <c r="G510" s="289"/>
      <c r="H510" s="350"/>
      <c r="I510" s="350"/>
      <c r="J510" s="350"/>
      <c r="K510" s="350"/>
      <c r="L510" s="350"/>
      <c r="M510" s="350"/>
      <c r="N510" s="288"/>
      <c r="O510" s="288"/>
      <c r="P510" s="294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  <c r="AA510" s="294"/>
      <c r="AB510" s="294"/>
    </row>
    <row r="511">
      <c r="A511" s="353"/>
      <c r="B511" s="288"/>
      <c r="C511" s="288"/>
      <c r="D511" s="353"/>
      <c r="E511" s="288"/>
      <c r="F511" s="350"/>
      <c r="G511" s="289"/>
      <c r="H511" s="350"/>
      <c r="I511" s="350"/>
      <c r="J511" s="350"/>
      <c r="K511" s="350"/>
      <c r="L511" s="350"/>
      <c r="M511" s="350"/>
      <c r="N511" s="288"/>
      <c r="O511" s="288"/>
      <c r="P511" s="294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  <c r="AA511" s="294"/>
      <c r="AB511" s="294"/>
    </row>
    <row r="512">
      <c r="A512" s="353"/>
      <c r="B512" s="288"/>
      <c r="C512" s="288"/>
      <c r="D512" s="353"/>
      <c r="E512" s="288"/>
      <c r="F512" s="350"/>
      <c r="G512" s="289"/>
      <c r="H512" s="350"/>
      <c r="I512" s="350"/>
      <c r="J512" s="350"/>
      <c r="K512" s="350"/>
      <c r="L512" s="350"/>
      <c r="M512" s="350"/>
      <c r="N512" s="288"/>
      <c r="O512" s="288"/>
      <c r="P512" s="294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  <c r="AA512" s="294"/>
      <c r="AB512" s="294"/>
    </row>
    <row r="513">
      <c r="A513" s="353"/>
      <c r="B513" s="288"/>
      <c r="C513" s="288"/>
      <c r="D513" s="353"/>
      <c r="E513" s="288"/>
      <c r="F513" s="350"/>
      <c r="G513" s="289"/>
      <c r="H513" s="350"/>
      <c r="I513" s="350"/>
      <c r="J513" s="350"/>
      <c r="K513" s="350"/>
      <c r="L513" s="350"/>
      <c r="M513" s="350"/>
      <c r="N513" s="288"/>
      <c r="O513" s="288"/>
      <c r="P513" s="294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  <c r="AA513" s="294"/>
      <c r="AB513" s="294"/>
    </row>
    <row r="514">
      <c r="A514" s="353"/>
      <c r="B514" s="288"/>
      <c r="C514" s="288"/>
      <c r="D514" s="353"/>
      <c r="E514" s="288"/>
      <c r="F514" s="350"/>
      <c r="G514" s="289"/>
      <c r="H514" s="350"/>
      <c r="I514" s="350"/>
      <c r="J514" s="350"/>
      <c r="K514" s="350"/>
      <c r="L514" s="350"/>
      <c r="M514" s="350"/>
      <c r="N514" s="288"/>
      <c r="O514" s="288"/>
      <c r="P514" s="294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  <c r="AA514" s="294"/>
      <c r="AB514" s="294"/>
    </row>
    <row r="515">
      <c r="A515" s="353"/>
      <c r="B515" s="288"/>
      <c r="C515" s="288"/>
      <c r="D515" s="353"/>
      <c r="E515" s="288"/>
      <c r="F515" s="350"/>
      <c r="G515" s="289"/>
      <c r="H515" s="350"/>
      <c r="I515" s="350"/>
      <c r="J515" s="350"/>
      <c r="K515" s="350"/>
      <c r="L515" s="350"/>
      <c r="M515" s="350"/>
      <c r="N515" s="288"/>
      <c r="O515" s="288"/>
      <c r="P515" s="294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  <c r="AA515" s="294"/>
      <c r="AB515" s="294"/>
    </row>
    <row r="516">
      <c r="A516" s="353"/>
      <c r="B516" s="288"/>
      <c r="C516" s="288"/>
      <c r="D516" s="353"/>
      <c r="E516" s="288"/>
      <c r="F516" s="350"/>
      <c r="G516" s="289"/>
      <c r="H516" s="350"/>
      <c r="I516" s="350"/>
      <c r="J516" s="350"/>
      <c r="K516" s="350"/>
      <c r="L516" s="350"/>
      <c r="M516" s="350"/>
      <c r="N516" s="288"/>
      <c r="O516" s="288"/>
      <c r="P516" s="294"/>
      <c r="Q516" s="294"/>
      <c r="R516" s="294"/>
      <c r="S516" s="294"/>
      <c r="T516" s="294"/>
      <c r="U516" s="294"/>
      <c r="V516" s="294"/>
      <c r="W516" s="294"/>
      <c r="X516" s="294"/>
      <c r="Y516" s="294"/>
      <c r="Z516" s="294"/>
      <c r="AA516" s="294"/>
      <c r="AB516" s="294"/>
    </row>
    <row r="517">
      <c r="A517" s="353"/>
      <c r="B517" s="288"/>
      <c r="C517" s="288"/>
      <c r="D517" s="353"/>
      <c r="E517" s="288"/>
      <c r="F517" s="350"/>
      <c r="G517" s="289"/>
      <c r="H517" s="350"/>
      <c r="I517" s="350"/>
      <c r="J517" s="350"/>
      <c r="K517" s="350"/>
      <c r="L517" s="350"/>
      <c r="M517" s="350"/>
      <c r="N517" s="288"/>
      <c r="O517" s="288"/>
      <c r="P517" s="294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  <c r="AA517" s="294"/>
      <c r="AB517" s="294"/>
    </row>
    <row r="518">
      <c r="A518" s="353"/>
      <c r="B518" s="288"/>
      <c r="C518" s="288"/>
      <c r="D518" s="353"/>
      <c r="E518" s="288"/>
      <c r="F518" s="350"/>
      <c r="G518" s="289"/>
      <c r="H518" s="350"/>
      <c r="I518" s="350"/>
      <c r="J518" s="350"/>
      <c r="K518" s="350"/>
      <c r="L518" s="350"/>
      <c r="M518" s="350"/>
      <c r="N518" s="288"/>
      <c r="O518" s="288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  <c r="AA518" s="294"/>
      <c r="AB518" s="294"/>
    </row>
    <row r="519">
      <c r="A519" s="353"/>
      <c r="B519" s="288"/>
      <c r="C519" s="288"/>
      <c r="D519" s="353"/>
      <c r="E519" s="288"/>
      <c r="F519" s="350"/>
      <c r="G519" s="289"/>
      <c r="H519" s="350"/>
      <c r="I519" s="350"/>
      <c r="J519" s="350"/>
      <c r="K519" s="350"/>
      <c r="L519" s="350"/>
      <c r="M519" s="350"/>
      <c r="N519" s="288"/>
      <c r="O519" s="288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  <c r="AA519" s="294"/>
      <c r="AB519" s="294"/>
    </row>
    <row r="520">
      <c r="A520" s="353"/>
      <c r="B520" s="288"/>
      <c r="C520" s="288"/>
      <c r="D520" s="353"/>
      <c r="E520" s="288"/>
      <c r="F520" s="350"/>
      <c r="G520" s="289"/>
      <c r="H520" s="350"/>
      <c r="I520" s="350"/>
      <c r="J520" s="350"/>
      <c r="K520" s="350"/>
      <c r="L520" s="350"/>
      <c r="M520" s="350"/>
      <c r="N520" s="288"/>
      <c r="O520" s="288"/>
      <c r="P520" s="294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  <c r="AA520" s="294"/>
      <c r="AB520" s="294"/>
    </row>
    <row r="521">
      <c r="A521" s="353"/>
      <c r="B521" s="288"/>
      <c r="C521" s="288"/>
      <c r="D521" s="353"/>
      <c r="E521" s="288"/>
      <c r="F521" s="350"/>
      <c r="G521" s="289"/>
      <c r="H521" s="350"/>
      <c r="I521" s="350"/>
      <c r="J521" s="350"/>
      <c r="K521" s="350"/>
      <c r="L521" s="350"/>
      <c r="M521" s="350"/>
      <c r="N521" s="288"/>
      <c r="O521" s="288"/>
      <c r="P521" s="294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  <c r="AA521" s="294"/>
      <c r="AB521" s="294"/>
    </row>
    <row r="522">
      <c r="A522" s="353"/>
      <c r="B522" s="288"/>
      <c r="C522" s="288"/>
      <c r="D522" s="353"/>
      <c r="E522" s="288"/>
      <c r="F522" s="350"/>
      <c r="G522" s="289"/>
      <c r="H522" s="350"/>
      <c r="I522" s="350"/>
      <c r="J522" s="350"/>
      <c r="K522" s="350"/>
      <c r="L522" s="350"/>
      <c r="M522" s="350"/>
      <c r="N522" s="288"/>
      <c r="O522" s="288"/>
      <c r="P522" s="294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  <c r="AA522" s="294"/>
      <c r="AB522" s="294"/>
    </row>
    <row r="523">
      <c r="A523" s="353"/>
      <c r="B523" s="288"/>
      <c r="C523" s="288"/>
      <c r="D523" s="353"/>
      <c r="E523" s="288"/>
      <c r="F523" s="350"/>
      <c r="G523" s="289"/>
      <c r="H523" s="350"/>
      <c r="I523" s="350"/>
      <c r="J523" s="350"/>
      <c r="K523" s="350"/>
      <c r="L523" s="350"/>
      <c r="M523" s="350"/>
      <c r="N523" s="288"/>
      <c r="O523" s="288"/>
      <c r="P523" s="294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  <c r="AA523" s="294"/>
      <c r="AB523" s="294"/>
    </row>
    <row r="524">
      <c r="A524" s="353"/>
      <c r="B524" s="288"/>
      <c r="C524" s="288"/>
      <c r="D524" s="353"/>
      <c r="E524" s="288"/>
      <c r="F524" s="350"/>
      <c r="G524" s="289"/>
      <c r="H524" s="350"/>
      <c r="I524" s="350"/>
      <c r="J524" s="350"/>
      <c r="K524" s="350"/>
      <c r="L524" s="350"/>
      <c r="M524" s="350"/>
      <c r="N524" s="288"/>
      <c r="O524" s="288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  <c r="AA524" s="294"/>
      <c r="AB524" s="294"/>
    </row>
    <row r="525">
      <c r="A525" s="353"/>
      <c r="B525" s="288"/>
      <c r="C525" s="288"/>
      <c r="D525" s="353"/>
      <c r="E525" s="288"/>
      <c r="F525" s="350"/>
      <c r="G525" s="289"/>
      <c r="H525" s="350"/>
      <c r="I525" s="350"/>
      <c r="J525" s="350"/>
      <c r="K525" s="350"/>
      <c r="L525" s="350"/>
      <c r="M525" s="350"/>
      <c r="N525" s="288"/>
      <c r="O525" s="288"/>
      <c r="P525" s="294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  <c r="AA525" s="294"/>
      <c r="AB525" s="294"/>
    </row>
    <row r="526">
      <c r="A526" s="353"/>
      <c r="B526" s="288"/>
      <c r="C526" s="288"/>
      <c r="D526" s="353"/>
      <c r="E526" s="288"/>
      <c r="F526" s="350"/>
      <c r="G526" s="289"/>
      <c r="H526" s="350"/>
      <c r="I526" s="350"/>
      <c r="J526" s="350"/>
      <c r="K526" s="350"/>
      <c r="L526" s="350"/>
      <c r="M526" s="350"/>
      <c r="N526" s="288"/>
      <c r="O526" s="288"/>
      <c r="P526" s="294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  <c r="AA526" s="294"/>
      <c r="AB526" s="294"/>
    </row>
    <row r="527">
      <c r="A527" s="353"/>
      <c r="B527" s="288"/>
      <c r="C527" s="288"/>
      <c r="D527" s="353"/>
      <c r="E527" s="288"/>
      <c r="F527" s="350"/>
      <c r="G527" s="289"/>
      <c r="H527" s="350"/>
      <c r="I527" s="350"/>
      <c r="J527" s="350"/>
      <c r="K527" s="350"/>
      <c r="L527" s="350"/>
      <c r="M527" s="350"/>
      <c r="N527" s="288"/>
      <c r="O527" s="288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  <c r="AA527" s="294"/>
      <c r="AB527" s="294"/>
    </row>
    <row r="528">
      <c r="A528" s="353"/>
      <c r="B528" s="288"/>
      <c r="C528" s="288"/>
      <c r="D528" s="353"/>
      <c r="E528" s="288"/>
      <c r="F528" s="350"/>
      <c r="G528" s="289"/>
      <c r="H528" s="350"/>
      <c r="I528" s="350"/>
      <c r="J528" s="350"/>
      <c r="K528" s="350"/>
      <c r="L528" s="350"/>
      <c r="M528" s="350"/>
      <c r="N528" s="288"/>
      <c r="O528" s="288"/>
      <c r="P528" s="294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  <c r="AA528" s="294"/>
      <c r="AB528" s="294"/>
    </row>
    <row r="529">
      <c r="A529" s="353"/>
      <c r="B529" s="288"/>
      <c r="C529" s="288"/>
      <c r="D529" s="353"/>
      <c r="E529" s="288"/>
      <c r="F529" s="350"/>
      <c r="G529" s="289"/>
      <c r="H529" s="350"/>
      <c r="I529" s="350"/>
      <c r="J529" s="350"/>
      <c r="K529" s="350"/>
      <c r="L529" s="350"/>
      <c r="M529" s="350"/>
      <c r="N529" s="288"/>
      <c r="O529" s="288"/>
      <c r="P529" s="294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  <c r="AA529" s="294"/>
      <c r="AB529" s="294"/>
    </row>
    <row r="530">
      <c r="A530" s="353"/>
      <c r="B530" s="288"/>
      <c r="C530" s="288"/>
      <c r="D530" s="353"/>
      <c r="E530" s="288"/>
      <c r="F530" s="350"/>
      <c r="G530" s="289"/>
      <c r="H530" s="350"/>
      <c r="I530" s="350"/>
      <c r="J530" s="350"/>
      <c r="K530" s="350"/>
      <c r="L530" s="350"/>
      <c r="M530" s="350"/>
      <c r="N530" s="288"/>
      <c r="O530" s="288"/>
      <c r="P530" s="294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  <c r="AA530" s="294"/>
      <c r="AB530" s="294"/>
    </row>
    <row r="531">
      <c r="A531" s="353"/>
      <c r="B531" s="288"/>
      <c r="C531" s="288"/>
      <c r="D531" s="353"/>
      <c r="E531" s="288"/>
      <c r="F531" s="350"/>
      <c r="G531" s="289"/>
      <c r="H531" s="350"/>
      <c r="I531" s="350"/>
      <c r="J531" s="350"/>
      <c r="K531" s="350"/>
      <c r="L531" s="350"/>
      <c r="M531" s="350"/>
      <c r="N531" s="288"/>
      <c r="O531" s="288"/>
      <c r="P531" s="294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  <c r="AA531" s="294"/>
      <c r="AB531" s="294"/>
    </row>
    <row r="532">
      <c r="A532" s="353"/>
      <c r="B532" s="288"/>
      <c r="C532" s="288"/>
      <c r="D532" s="353"/>
      <c r="E532" s="288"/>
      <c r="F532" s="350"/>
      <c r="G532" s="289"/>
      <c r="H532" s="350"/>
      <c r="I532" s="350"/>
      <c r="J532" s="350"/>
      <c r="K532" s="350"/>
      <c r="L532" s="350"/>
      <c r="M532" s="350"/>
      <c r="N532" s="288"/>
      <c r="O532" s="288"/>
      <c r="P532" s="294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  <c r="AA532" s="294"/>
      <c r="AB532" s="294"/>
    </row>
    <row r="533">
      <c r="A533" s="353"/>
      <c r="B533" s="288"/>
      <c r="C533" s="288"/>
      <c r="D533" s="353"/>
      <c r="E533" s="288"/>
      <c r="F533" s="350"/>
      <c r="G533" s="289"/>
      <c r="H533" s="350"/>
      <c r="I533" s="350"/>
      <c r="J533" s="350"/>
      <c r="K533" s="350"/>
      <c r="L533" s="350"/>
      <c r="M533" s="350"/>
      <c r="N533" s="288"/>
      <c r="O533" s="288"/>
      <c r="P533" s="294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  <c r="AA533" s="294"/>
      <c r="AB533" s="294"/>
    </row>
    <row r="534">
      <c r="A534" s="353"/>
      <c r="B534" s="288"/>
      <c r="C534" s="288"/>
      <c r="D534" s="353"/>
      <c r="E534" s="288"/>
      <c r="F534" s="350"/>
      <c r="G534" s="289"/>
      <c r="H534" s="350"/>
      <c r="I534" s="350"/>
      <c r="J534" s="350"/>
      <c r="K534" s="350"/>
      <c r="L534" s="350"/>
      <c r="M534" s="350"/>
      <c r="N534" s="288"/>
      <c r="O534" s="288"/>
      <c r="P534" s="294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  <c r="AA534" s="294"/>
      <c r="AB534" s="294"/>
    </row>
    <row r="535">
      <c r="A535" s="353"/>
      <c r="B535" s="288"/>
      <c r="C535" s="288"/>
      <c r="D535" s="353"/>
      <c r="E535" s="288"/>
      <c r="F535" s="350"/>
      <c r="G535" s="289"/>
      <c r="H535" s="350"/>
      <c r="I535" s="350"/>
      <c r="J535" s="350"/>
      <c r="K535" s="350"/>
      <c r="L535" s="350"/>
      <c r="M535" s="350"/>
      <c r="N535" s="288"/>
      <c r="O535" s="288"/>
      <c r="P535" s="294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  <c r="AA535" s="294"/>
      <c r="AB535" s="294"/>
    </row>
    <row r="536">
      <c r="A536" s="353"/>
      <c r="B536" s="288"/>
      <c r="C536" s="288"/>
      <c r="D536" s="353"/>
      <c r="E536" s="288"/>
      <c r="F536" s="350"/>
      <c r="G536" s="289"/>
      <c r="H536" s="350"/>
      <c r="I536" s="350"/>
      <c r="J536" s="350"/>
      <c r="K536" s="350"/>
      <c r="L536" s="350"/>
      <c r="M536" s="350"/>
      <c r="N536" s="288"/>
      <c r="O536" s="288"/>
      <c r="P536" s="294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  <c r="AA536" s="294"/>
      <c r="AB536" s="294"/>
    </row>
    <row r="537">
      <c r="A537" s="353"/>
      <c r="B537" s="288"/>
      <c r="C537" s="288"/>
      <c r="D537" s="353"/>
      <c r="E537" s="288"/>
      <c r="F537" s="350"/>
      <c r="G537" s="289"/>
      <c r="H537" s="350"/>
      <c r="I537" s="350"/>
      <c r="J537" s="350"/>
      <c r="K537" s="350"/>
      <c r="L537" s="350"/>
      <c r="M537" s="350"/>
      <c r="N537" s="288"/>
      <c r="O537" s="288"/>
      <c r="P537" s="294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  <c r="AA537" s="294"/>
      <c r="AB537" s="294"/>
    </row>
    <row r="538">
      <c r="A538" s="353"/>
      <c r="B538" s="288"/>
      <c r="C538" s="288"/>
      <c r="D538" s="353"/>
      <c r="E538" s="288"/>
      <c r="F538" s="350"/>
      <c r="G538" s="289"/>
      <c r="H538" s="350"/>
      <c r="I538" s="350"/>
      <c r="J538" s="350"/>
      <c r="K538" s="350"/>
      <c r="L538" s="350"/>
      <c r="M538" s="350"/>
      <c r="N538" s="288"/>
      <c r="O538" s="288"/>
      <c r="P538" s="294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  <c r="AA538" s="294"/>
      <c r="AB538" s="294"/>
    </row>
    <row r="539">
      <c r="A539" s="353"/>
      <c r="B539" s="288"/>
      <c r="C539" s="288"/>
      <c r="D539" s="353"/>
      <c r="E539" s="288"/>
      <c r="F539" s="350"/>
      <c r="G539" s="289"/>
      <c r="H539" s="350"/>
      <c r="I539" s="350"/>
      <c r="J539" s="350"/>
      <c r="K539" s="350"/>
      <c r="L539" s="350"/>
      <c r="M539" s="350"/>
      <c r="N539" s="288"/>
      <c r="O539" s="288"/>
      <c r="P539" s="294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  <c r="AA539" s="294"/>
      <c r="AB539" s="294"/>
    </row>
    <row r="540">
      <c r="A540" s="353"/>
      <c r="B540" s="288"/>
      <c r="C540" s="288"/>
      <c r="D540" s="353"/>
      <c r="E540" s="288"/>
      <c r="F540" s="350"/>
      <c r="G540" s="289"/>
      <c r="H540" s="350"/>
      <c r="I540" s="350"/>
      <c r="J540" s="350"/>
      <c r="K540" s="350"/>
      <c r="L540" s="350"/>
      <c r="M540" s="350"/>
      <c r="N540" s="288"/>
      <c r="O540" s="288"/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  <c r="AA540" s="294"/>
      <c r="AB540" s="294"/>
    </row>
    <row r="541">
      <c r="A541" s="353"/>
      <c r="B541" s="288"/>
      <c r="C541" s="288"/>
      <c r="D541" s="353"/>
      <c r="E541" s="288"/>
      <c r="F541" s="350"/>
      <c r="G541" s="289"/>
      <c r="H541" s="350"/>
      <c r="I541" s="350"/>
      <c r="J541" s="350"/>
      <c r="K541" s="350"/>
      <c r="L541" s="350"/>
      <c r="M541" s="350"/>
      <c r="N541" s="288"/>
      <c r="O541" s="288"/>
      <c r="P541" s="294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  <c r="AA541" s="294"/>
      <c r="AB541" s="294"/>
    </row>
    <row r="542">
      <c r="A542" s="353"/>
      <c r="B542" s="288"/>
      <c r="C542" s="288"/>
      <c r="D542" s="353"/>
      <c r="E542" s="288"/>
      <c r="F542" s="350"/>
      <c r="G542" s="289"/>
      <c r="H542" s="350"/>
      <c r="I542" s="350"/>
      <c r="J542" s="350"/>
      <c r="K542" s="350"/>
      <c r="L542" s="350"/>
      <c r="M542" s="350"/>
      <c r="N542" s="288"/>
      <c r="O542" s="288"/>
      <c r="P542" s="294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  <c r="AA542" s="294"/>
      <c r="AB542" s="294"/>
    </row>
    <row r="543">
      <c r="A543" s="353"/>
      <c r="B543" s="288"/>
      <c r="C543" s="288"/>
      <c r="D543" s="353"/>
      <c r="E543" s="288"/>
      <c r="F543" s="350"/>
      <c r="G543" s="289"/>
      <c r="H543" s="350"/>
      <c r="I543" s="350"/>
      <c r="J543" s="350"/>
      <c r="K543" s="350"/>
      <c r="L543" s="350"/>
      <c r="M543" s="350"/>
      <c r="N543" s="288"/>
      <c r="O543" s="288"/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  <c r="AA543" s="294"/>
      <c r="AB543" s="294"/>
    </row>
    <row r="544">
      <c r="A544" s="353"/>
      <c r="B544" s="288"/>
      <c r="C544" s="288"/>
      <c r="D544" s="353"/>
      <c r="E544" s="288"/>
      <c r="F544" s="350"/>
      <c r="G544" s="289"/>
      <c r="H544" s="350"/>
      <c r="I544" s="350"/>
      <c r="J544" s="350"/>
      <c r="K544" s="350"/>
      <c r="L544" s="350"/>
      <c r="M544" s="350"/>
      <c r="N544" s="288"/>
      <c r="O544" s="288"/>
      <c r="P544" s="294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  <c r="AA544" s="294"/>
      <c r="AB544" s="294"/>
    </row>
    <row r="545">
      <c r="A545" s="353"/>
      <c r="B545" s="288"/>
      <c r="C545" s="288"/>
      <c r="D545" s="353"/>
      <c r="E545" s="288"/>
      <c r="F545" s="350"/>
      <c r="G545" s="289"/>
      <c r="H545" s="350"/>
      <c r="I545" s="350"/>
      <c r="J545" s="350"/>
      <c r="K545" s="350"/>
      <c r="L545" s="350"/>
      <c r="M545" s="350"/>
      <c r="N545" s="288"/>
      <c r="O545" s="288"/>
      <c r="P545" s="294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  <c r="AA545" s="294"/>
      <c r="AB545" s="294"/>
    </row>
    <row r="546">
      <c r="A546" s="353"/>
      <c r="B546" s="288"/>
      <c r="C546" s="288"/>
      <c r="D546" s="353"/>
      <c r="E546" s="288"/>
      <c r="F546" s="350"/>
      <c r="G546" s="289"/>
      <c r="H546" s="350"/>
      <c r="I546" s="350"/>
      <c r="J546" s="350"/>
      <c r="K546" s="350"/>
      <c r="L546" s="350"/>
      <c r="M546" s="350"/>
      <c r="N546" s="288"/>
      <c r="O546" s="288"/>
      <c r="P546" s="294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  <c r="AA546" s="294"/>
      <c r="AB546" s="294"/>
    </row>
    <row r="547">
      <c r="A547" s="353"/>
      <c r="B547" s="288"/>
      <c r="C547" s="288"/>
      <c r="D547" s="353"/>
      <c r="E547" s="288"/>
      <c r="F547" s="350"/>
      <c r="G547" s="289"/>
      <c r="H547" s="350"/>
      <c r="I547" s="350"/>
      <c r="J547" s="350"/>
      <c r="K547" s="350"/>
      <c r="L547" s="350"/>
      <c r="M547" s="350"/>
      <c r="N547" s="288"/>
      <c r="O547" s="288"/>
      <c r="P547" s="294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  <c r="AA547" s="294"/>
      <c r="AB547" s="294"/>
    </row>
    <row r="548">
      <c r="A548" s="353"/>
      <c r="B548" s="288"/>
      <c r="C548" s="288"/>
      <c r="D548" s="353"/>
      <c r="E548" s="288"/>
      <c r="F548" s="350"/>
      <c r="G548" s="289"/>
      <c r="H548" s="350"/>
      <c r="I548" s="350"/>
      <c r="J548" s="350"/>
      <c r="K548" s="350"/>
      <c r="L548" s="350"/>
      <c r="M548" s="350"/>
      <c r="N548" s="288"/>
      <c r="O548" s="288"/>
      <c r="P548" s="294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  <c r="AA548" s="294"/>
      <c r="AB548" s="294"/>
    </row>
    <row r="549">
      <c r="A549" s="353"/>
      <c r="B549" s="288"/>
      <c r="C549" s="288"/>
      <c r="D549" s="353"/>
      <c r="E549" s="288"/>
      <c r="F549" s="350"/>
      <c r="G549" s="289"/>
      <c r="H549" s="350"/>
      <c r="I549" s="350"/>
      <c r="J549" s="350"/>
      <c r="K549" s="350"/>
      <c r="L549" s="350"/>
      <c r="M549" s="350"/>
      <c r="N549" s="288"/>
      <c r="O549" s="288"/>
      <c r="P549" s="294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  <c r="AA549" s="294"/>
      <c r="AB549" s="294"/>
    </row>
    <row r="550">
      <c r="A550" s="353"/>
      <c r="B550" s="288"/>
      <c r="C550" s="288"/>
      <c r="D550" s="353"/>
      <c r="E550" s="288"/>
      <c r="F550" s="350"/>
      <c r="G550" s="289"/>
      <c r="H550" s="350"/>
      <c r="I550" s="350"/>
      <c r="J550" s="350"/>
      <c r="K550" s="350"/>
      <c r="L550" s="350"/>
      <c r="M550" s="350"/>
      <c r="N550" s="288"/>
      <c r="O550" s="288"/>
      <c r="P550" s="294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  <c r="AA550" s="294"/>
      <c r="AB550" s="294"/>
    </row>
    <row r="551">
      <c r="A551" s="353"/>
      <c r="B551" s="288"/>
      <c r="C551" s="288"/>
      <c r="D551" s="353"/>
      <c r="E551" s="288"/>
      <c r="F551" s="350"/>
      <c r="G551" s="289"/>
      <c r="H551" s="350"/>
      <c r="I551" s="350"/>
      <c r="J551" s="350"/>
      <c r="K551" s="350"/>
      <c r="L551" s="350"/>
      <c r="M551" s="350"/>
      <c r="N551" s="288"/>
      <c r="O551" s="288"/>
      <c r="P551" s="294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  <c r="AA551" s="294"/>
      <c r="AB551" s="294"/>
    </row>
    <row r="552">
      <c r="A552" s="353"/>
      <c r="B552" s="288"/>
      <c r="C552" s="288"/>
      <c r="D552" s="353"/>
      <c r="E552" s="288"/>
      <c r="F552" s="350"/>
      <c r="G552" s="289"/>
      <c r="H552" s="350"/>
      <c r="I552" s="350"/>
      <c r="J552" s="350"/>
      <c r="K552" s="350"/>
      <c r="L552" s="350"/>
      <c r="M552" s="350"/>
      <c r="N552" s="288"/>
      <c r="O552" s="288"/>
      <c r="P552" s="294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  <c r="AA552" s="294"/>
      <c r="AB552" s="294"/>
    </row>
    <row r="553">
      <c r="A553" s="353"/>
      <c r="B553" s="288"/>
      <c r="C553" s="288"/>
      <c r="D553" s="353"/>
      <c r="E553" s="288"/>
      <c r="F553" s="350"/>
      <c r="G553" s="289"/>
      <c r="H553" s="350"/>
      <c r="I553" s="350"/>
      <c r="J553" s="350"/>
      <c r="K553" s="350"/>
      <c r="L553" s="350"/>
      <c r="M553" s="350"/>
      <c r="N553" s="288"/>
      <c r="O553" s="288"/>
      <c r="P553" s="294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  <c r="AA553" s="294"/>
      <c r="AB553" s="294"/>
    </row>
    <row r="554">
      <c r="A554" s="353"/>
      <c r="B554" s="288"/>
      <c r="C554" s="288"/>
      <c r="D554" s="353"/>
      <c r="E554" s="288"/>
      <c r="F554" s="350"/>
      <c r="G554" s="289"/>
      <c r="H554" s="350"/>
      <c r="I554" s="350"/>
      <c r="J554" s="350"/>
      <c r="K554" s="350"/>
      <c r="L554" s="350"/>
      <c r="M554" s="350"/>
      <c r="N554" s="288"/>
      <c r="O554" s="288"/>
      <c r="P554" s="294"/>
      <c r="Q554" s="294"/>
      <c r="R554" s="294"/>
      <c r="S554" s="294"/>
      <c r="T554" s="294"/>
      <c r="U554" s="294"/>
      <c r="V554" s="294"/>
      <c r="W554" s="294"/>
      <c r="X554" s="294"/>
      <c r="Y554" s="294"/>
      <c r="Z554" s="294"/>
      <c r="AA554" s="294"/>
      <c r="AB554" s="294"/>
    </row>
    <row r="555">
      <c r="A555" s="353"/>
      <c r="B555" s="288"/>
      <c r="C555" s="288"/>
      <c r="D555" s="353"/>
      <c r="E555" s="288"/>
      <c r="F555" s="350"/>
      <c r="G555" s="289"/>
      <c r="H555" s="350"/>
      <c r="I555" s="350"/>
      <c r="J555" s="350"/>
      <c r="K555" s="350"/>
      <c r="L555" s="350"/>
      <c r="M555" s="350"/>
      <c r="N555" s="288"/>
      <c r="O555" s="288"/>
      <c r="P555" s="294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  <c r="AA555" s="294"/>
      <c r="AB555" s="294"/>
    </row>
    <row r="556">
      <c r="A556" s="353"/>
      <c r="B556" s="288"/>
      <c r="C556" s="288"/>
      <c r="D556" s="353"/>
      <c r="E556" s="288"/>
      <c r="F556" s="350"/>
      <c r="G556" s="289"/>
      <c r="H556" s="350"/>
      <c r="I556" s="350"/>
      <c r="J556" s="350"/>
      <c r="K556" s="350"/>
      <c r="L556" s="350"/>
      <c r="M556" s="350"/>
      <c r="N556" s="288"/>
      <c r="O556" s="288"/>
      <c r="P556" s="294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  <c r="AA556" s="294"/>
      <c r="AB556" s="294"/>
    </row>
    <row r="557">
      <c r="A557" s="353"/>
      <c r="B557" s="288"/>
      <c r="C557" s="288"/>
      <c r="D557" s="353"/>
      <c r="E557" s="288"/>
      <c r="F557" s="350"/>
      <c r="G557" s="289"/>
      <c r="H557" s="350"/>
      <c r="I557" s="350"/>
      <c r="J557" s="350"/>
      <c r="K557" s="350"/>
      <c r="L557" s="350"/>
      <c r="M557" s="350"/>
      <c r="N557" s="288"/>
      <c r="O557" s="288"/>
      <c r="P557" s="294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  <c r="AA557" s="294"/>
      <c r="AB557" s="294"/>
    </row>
    <row r="558">
      <c r="A558" s="353"/>
      <c r="B558" s="288"/>
      <c r="C558" s="288"/>
      <c r="D558" s="353"/>
      <c r="E558" s="288"/>
      <c r="F558" s="350"/>
      <c r="G558" s="289"/>
      <c r="H558" s="350"/>
      <c r="I558" s="350"/>
      <c r="J558" s="350"/>
      <c r="K558" s="350"/>
      <c r="L558" s="350"/>
      <c r="M558" s="350"/>
      <c r="N558" s="288"/>
      <c r="O558" s="288"/>
      <c r="P558" s="294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  <c r="AA558" s="294"/>
      <c r="AB558" s="294"/>
    </row>
    <row r="559">
      <c r="A559" s="353"/>
      <c r="B559" s="288"/>
      <c r="C559" s="288"/>
      <c r="D559" s="353"/>
      <c r="E559" s="288"/>
      <c r="F559" s="350"/>
      <c r="G559" s="289"/>
      <c r="H559" s="350"/>
      <c r="I559" s="350"/>
      <c r="J559" s="350"/>
      <c r="K559" s="350"/>
      <c r="L559" s="350"/>
      <c r="M559" s="350"/>
      <c r="N559" s="288"/>
      <c r="O559" s="288"/>
      <c r="P559" s="294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  <c r="AA559" s="294"/>
      <c r="AB559" s="294"/>
    </row>
    <row r="560">
      <c r="A560" s="353"/>
      <c r="B560" s="288"/>
      <c r="C560" s="288"/>
      <c r="D560" s="353"/>
      <c r="E560" s="288"/>
      <c r="F560" s="350"/>
      <c r="G560" s="289"/>
      <c r="H560" s="350"/>
      <c r="I560" s="350"/>
      <c r="J560" s="350"/>
      <c r="K560" s="350"/>
      <c r="L560" s="350"/>
      <c r="M560" s="350"/>
      <c r="N560" s="288"/>
      <c r="O560" s="288"/>
      <c r="P560" s="294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  <c r="AA560" s="294"/>
      <c r="AB560" s="294"/>
    </row>
    <row r="561">
      <c r="A561" s="353"/>
      <c r="B561" s="288"/>
      <c r="C561" s="288"/>
      <c r="D561" s="353"/>
      <c r="E561" s="288"/>
      <c r="F561" s="350"/>
      <c r="G561" s="289"/>
      <c r="H561" s="350"/>
      <c r="I561" s="350"/>
      <c r="J561" s="350"/>
      <c r="K561" s="350"/>
      <c r="L561" s="350"/>
      <c r="M561" s="350"/>
      <c r="N561" s="288"/>
      <c r="O561" s="288"/>
      <c r="P561" s="294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  <c r="AA561" s="294"/>
      <c r="AB561" s="294"/>
    </row>
    <row r="562">
      <c r="A562" s="353"/>
      <c r="B562" s="288"/>
      <c r="C562" s="288"/>
      <c r="D562" s="353"/>
      <c r="E562" s="288"/>
      <c r="F562" s="350"/>
      <c r="G562" s="289"/>
      <c r="H562" s="350"/>
      <c r="I562" s="350"/>
      <c r="J562" s="350"/>
      <c r="K562" s="350"/>
      <c r="L562" s="350"/>
      <c r="M562" s="350"/>
      <c r="N562" s="288"/>
      <c r="O562" s="288"/>
      <c r="P562" s="294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  <c r="AA562" s="294"/>
      <c r="AB562" s="294"/>
    </row>
    <row r="563">
      <c r="A563" s="353"/>
      <c r="B563" s="288"/>
      <c r="C563" s="288"/>
      <c r="D563" s="353"/>
      <c r="E563" s="288"/>
      <c r="F563" s="350"/>
      <c r="G563" s="289"/>
      <c r="H563" s="350"/>
      <c r="I563" s="350"/>
      <c r="J563" s="350"/>
      <c r="K563" s="350"/>
      <c r="L563" s="350"/>
      <c r="M563" s="350"/>
      <c r="N563" s="288"/>
      <c r="O563" s="288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  <c r="AA563" s="294"/>
      <c r="AB563" s="294"/>
    </row>
    <row r="564">
      <c r="A564" s="353"/>
      <c r="B564" s="288"/>
      <c r="C564" s="288"/>
      <c r="D564" s="353"/>
      <c r="E564" s="288"/>
      <c r="F564" s="350"/>
      <c r="G564" s="289"/>
      <c r="H564" s="350"/>
      <c r="I564" s="350"/>
      <c r="J564" s="350"/>
      <c r="K564" s="350"/>
      <c r="L564" s="350"/>
      <c r="M564" s="350"/>
      <c r="N564" s="288"/>
      <c r="O564" s="288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  <c r="AA564" s="294"/>
      <c r="AB564" s="294"/>
    </row>
    <row r="565">
      <c r="A565" s="353"/>
      <c r="B565" s="288"/>
      <c r="C565" s="288"/>
      <c r="D565" s="353"/>
      <c r="E565" s="288"/>
      <c r="F565" s="350"/>
      <c r="G565" s="289"/>
      <c r="H565" s="350"/>
      <c r="I565" s="350"/>
      <c r="J565" s="350"/>
      <c r="K565" s="350"/>
      <c r="L565" s="350"/>
      <c r="M565" s="350"/>
      <c r="N565" s="288"/>
      <c r="O565" s="288"/>
      <c r="P565" s="294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  <c r="AA565" s="294"/>
      <c r="AB565" s="294"/>
    </row>
    <row r="566">
      <c r="A566" s="353"/>
      <c r="B566" s="288"/>
      <c r="C566" s="288"/>
      <c r="D566" s="353"/>
      <c r="E566" s="288"/>
      <c r="F566" s="350"/>
      <c r="G566" s="289"/>
      <c r="H566" s="350"/>
      <c r="I566" s="350"/>
      <c r="J566" s="350"/>
      <c r="K566" s="350"/>
      <c r="L566" s="350"/>
      <c r="M566" s="350"/>
      <c r="N566" s="288"/>
      <c r="O566" s="288"/>
      <c r="P566" s="294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  <c r="AA566" s="294"/>
      <c r="AB566" s="294"/>
    </row>
    <row r="567">
      <c r="A567" s="353"/>
      <c r="B567" s="288"/>
      <c r="C567" s="288"/>
      <c r="D567" s="353"/>
      <c r="E567" s="288"/>
      <c r="F567" s="350"/>
      <c r="G567" s="289"/>
      <c r="H567" s="350"/>
      <c r="I567" s="350"/>
      <c r="J567" s="350"/>
      <c r="K567" s="350"/>
      <c r="L567" s="350"/>
      <c r="M567" s="350"/>
      <c r="N567" s="288"/>
      <c r="O567" s="288"/>
      <c r="P567" s="294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  <c r="AA567" s="294"/>
      <c r="AB567" s="294"/>
    </row>
    <row r="568">
      <c r="A568" s="288"/>
      <c r="B568" s="288"/>
      <c r="C568" s="288"/>
      <c r="D568" s="288"/>
      <c r="E568" s="288"/>
      <c r="F568" s="288"/>
      <c r="G568" s="289"/>
      <c r="H568" s="288"/>
      <c r="I568" s="288"/>
      <c r="J568" s="288"/>
      <c r="K568" s="288"/>
      <c r="L568" s="288"/>
      <c r="M568" s="288"/>
      <c r="N568" s="288"/>
      <c r="O568" s="288"/>
      <c r="P568" s="294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  <c r="AA568" s="294"/>
      <c r="AB568" s="294"/>
    </row>
    <row r="569">
      <c r="A569" s="288"/>
      <c r="B569" s="288"/>
      <c r="C569" s="288"/>
      <c r="D569" s="288"/>
      <c r="E569" s="288"/>
      <c r="F569" s="288"/>
      <c r="G569" s="289"/>
      <c r="H569" s="288"/>
      <c r="I569" s="288"/>
      <c r="J569" s="288"/>
      <c r="K569" s="288"/>
      <c r="L569" s="288"/>
      <c r="M569" s="288"/>
      <c r="N569" s="288"/>
      <c r="O569" s="288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  <c r="AA569" s="294"/>
      <c r="AB569" s="294"/>
    </row>
    <row r="570">
      <c r="A570" s="288"/>
      <c r="B570" s="288"/>
      <c r="C570" s="288"/>
      <c r="D570" s="288"/>
      <c r="E570" s="288"/>
      <c r="F570" s="288"/>
      <c r="G570" s="289"/>
      <c r="H570" s="288"/>
      <c r="I570" s="288"/>
      <c r="J570" s="288"/>
      <c r="K570" s="288"/>
      <c r="L570" s="288"/>
      <c r="M570" s="288"/>
      <c r="N570" s="288"/>
      <c r="O570" s="288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  <c r="AA570" s="294"/>
      <c r="AB570" s="294"/>
    </row>
    <row r="571">
      <c r="A571" s="288"/>
      <c r="B571" s="288"/>
      <c r="C571" s="288"/>
      <c r="D571" s="288"/>
      <c r="E571" s="288"/>
      <c r="F571" s="288"/>
      <c r="G571" s="289"/>
      <c r="H571" s="288"/>
      <c r="I571" s="288"/>
      <c r="J571" s="288"/>
      <c r="K571" s="288"/>
      <c r="L571" s="288"/>
      <c r="M571" s="288"/>
      <c r="N571" s="288"/>
      <c r="O571" s="288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  <c r="AA571" s="294"/>
      <c r="AB571" s="294"/>
    </row>
    <row r="572">
      <c r="A572" s="288"/>
      <c r="B572" s="288"/>
      <c r="C572" s="288"/>
      <c r="D572" s="288"/>
      <c r="E572" s="288"/>
      <c r="F572" s="288"/>
      <c r="G572" s="289"/>
      <c r="H572" s="288"/>
      <c r="I572" s="288"/>
      <c r="J572" s="288"/>
      <c r="K572" s="288"/>
      <c r="L572" s="288"/>
      <c r="M572" s="288"/>
      <c r="N572" s="288"/>
      <c r="O572" s="288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  <c r="AA572" s="294"/>
      <c r="AB572" s="294"/>
    </row>
    <row r="573">
      <c r="A573" s="288"/>
      <c r="B573" s="288"/>
      <c r="C573" s="288"/>
      <c r="D573" s="288"/>
      <c r="E573" s="288"/>
      <c r="F573" s="288"/>
      <c r="G573" s="289"/>
      <c r="H573" s="288"/>
      <c r="I573" s="288"/>
      <c r="J573" s="288"/>
      <c r="K573" s="288"/>
      <c r="L573" s="288"/>
      <c r="M573" s="288"/>
      <c r="N573" s="288"/>
      <c r="O573" s="288"/>
      <c r="P573" s="294"/>
      <c r="Q573" s="294"/>
      <c r="R573" s="294"/>
      <c r="S573" s="294"/>
      <c r="T573" s="294"/>
      <c r="U573" s="294"/>
      <c r="V573" s="294"/>
      <c r="W573" s="294"/>
      <c r="X573" s="294"/>
      <c r="Y573" s="294"/>
      <c r="Z573" s="294"/>
      <c r="AA573" s="294"/>
      <c r="AB573" s="294"/>
    </row>
    <row r="574">
      <c r="A574" s="288"/>
      <c r="B574" s="288"/>
      <c r="C574" s="288"/>
      <c r="D574" s="288"/>
      <c r="E574" s="288"/>
      <c r="F574" s="288"/>
      <c r="G574" s="289"/>
      <c r="H574" s="288"/>
      <c r="I574" s="288"/>
      <c r="J574" s="288"/>
      <c r="K574" s="288"/>
      <c r="L574" s="288"/>
      <c r="M574" s="288"/>
      <c r="N574" s="288"/>
      <c r="O574" s="288"/>
      <c r="P574" s="294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  <c r="AA574" s="294"/>
      <c r="AB574" s="294"/>
    </row>
    <row r="575">
      <c r="A575" s="288"/>
      <c r="B575" s="288"/>
      <c r="C575" s="288"/>
      <c r="D575" s="288"/>
      <c r="E575" s="288"/>
      <c r="F575" s="288"/>
      <c r="G575" s="289"/>
      <c r="H575" s="288"/>
      <c r="I575" s="288"/>
      <c r="J575" s="288"/>
      <c r="K575" s="288"/>
      <c r="L575" s="288"/>
      <c r="M575" s="288"/>
      <c r="N575" s="288"/>
      <c r="O575" s="288"/>
      <c r="P575" s="294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  <c r="AA575" s="294"/>
      <c r="AB575" s="294"/>
    </row>
    <row r="576">
      <c r="A576" s="288"/>
      <c r="B576" s="288"/>
      <c r="C576" s="288"/>
      <c r="D576" s="288"/>
      <c r="E576" s="288"/>
      <c r="F576" s="288"/>
      <c r="G576" s="289"/>
      <c r="H576" s="288"/>
      <c r="I576" s="288"/>
      <c r="J576" s="288"/>
      <c r="K576" s="288"/>
      <c r="L576" s="288"/>
      <c r="M576" s="288"/>
      <c r="N576" s="288"/>
      <c r="O576" s="288"/>
      <c r="P576" s="294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  <c r="AA576" s="294"/>
      <c r="AB576" s="294"/>
    </row>
    <row r="577">
      <c r="A577" s="288"/>
      <c r="B577" s="288"/>
      <c r="C577" s="288"/>
      <c r="D577" s="288"/>
      <c r="E577" s="288"/>
      <c r="F577" s="288"/>
      <c r="G577" s="289"/>
      <c r="H577" s="288"/>
      <c r="I577" s="288"/>
      <c r="J577" s="288"/>
      <c r="K577" s="288"/>
      <c r="L577" s="288"/>
      <c r="M577" s="288"/>
      <c r="N577" s="288"/>
      <c r="O577" s="288"/>
      <c r="P577" s="294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  <c r="AA577" s="294"/>
      <c r="AB577" s="294"/>
    </row>
    <row r="578">
      <c r="A578" s="288"/>
      <c r="B578" s="288"/>
      <c r="C578" s="288"/>
      <c r="D578" s="288"/>
      <c r="E578" s="288"/>
      <c r="F578" s="288"/>
      <c r="G578" s="289"/>
      <c r="H578" s="288"/>
      <c r="I578" s="288"/>
      <c r="J578" s="288"/>
      <c r="K578" s="288"/>
      <c r="L578" s="288"/>
      <c r="M578" s="288"/>
      <c r="N578" s="288"/>
      <c r="O578" s="288"/>
      <c r="P578" s="294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  <c r="AA578" s="294"/>
      <c r="AB578" s="294"/>
    </row>
    <row r="579">
      <c r="A579" s="288"/>
      <c r="B579" s="288"/>
      <c r="C579" s="288"/>
      <c r="D579" s="288"/>
      <c r="E579" s="288"/>
      <c r="F579" s="288"/>
      <c r="G579" s="289"/>
      <c r="H579" s="288"/>
      <c r="I579" s="288"/>
      <c r="J579" s="288"/>
      <c r="K579" s="288"/>
      <c r="L579" s="288"/>
      <c r="M579" s="288"/>
      <c r="N579" s="288"/>
      <c r="O579" s="288"/>
      <c r="P579" s="294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  <c r="AA579" s="294"/>
      <c r="AB579" s="294"/>
    </row>
    <row r="580">
      <c r="A580" s="288"/>
      <c r="B580" s="288"/>
      <c r="C580" s="288"/>
      <c r="D580" s="288"/>
      <c r="E580" s="288"/>
      <c r="F580" s="288"/>
      <c r="G580" s="289"/>
      <c r="H580" s="288"/>
      <c r="I580" s="288"/>
      <c r="J580" s="288"/>
      <c r="K580" s="288"/>
      <c r="L580" s="288"/>
      <c r="M580" s="288"/>
      <c r="N580" s="288"/>
      <c r="O580" s="288"/>
      <c r="P580" s="294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  <c r="AA580" s="294"/>
      <c r="AB580" s="294"/>
    </row>
    <row r="581">
      <c r="A581" s="288"/>
      <c r="B581" s="288"/>
      <c r="C581" s="288"/>
      <c r="D581" s="288"/>
      <c r="E581" s="288"/>
      <c r="F581" s="288"/>
      <c r="G581" s="289"/>
      <c r="H581" s="288"/>
      <c r="I581" s="288"/>
      <c r="J581" s="288"/>
      <c r="K581" s="288"/>
      <c r="L581" s="288"/>
      <c r="M581" s="288"/>
      <c r="N581" s="288"/>
      <c r="O581" s="288"/>
      <c r="P581" s="294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  <c r="AA581" s="294"/>
      <c r="AB581" s="294"/>
    </row>
    <row r="582">
      <c r="A582" s="288"/>
      <c r="B582" s="288"/>
      <c r="C582" s="288"/>
      <c r="D582" s="288"/>
      <c r="E582" s="288"/>
      <c r="F582" s="288"/>
      <c r="G582" s="289"/>
      <c r="H582" s="288"/>
      <c r="I582" s="288"/>
      <c r="J582" s="288"/>
      <c r="K582" s="288"/>
      <c r="L582" s="288"/>
      <c r="M582" s="288"/>
      <c r="N582" s="288"/>
      <c r="O582" s="288"/>
      <c r="P582" s="294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  <c r="AA582" s="294"/>
      <c r="AB582" s="294"/>
    </row>
    <row r="583">
      <c r="A583" s="288"/>
      <c r="B583" s="288"/>
      <c r="C583" s="288"/>
      <c r="D583" s="288"/>
      <c r="E583" s="288"/>
      <c r="F583" s="288"/>
      <c r="G583" s="289"/>
      <c r="H583" s="288"/>
      <c r="I583" s="288"/>
      <c r="J583" s="288"/>
      <c r="K583" s="288"/>
      <c r="L583" s="288"/>
      <c r="M583" s="288"/>
      <c r="N583" s="288"/>
      <c r="O583" s="288"/>
      <c r="P583" s="294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  <c r="AA583" s="294"/>
      <c r="AB583" s="294"/>
    </row>
    <row r="584">
      <c r="A584" s="288"/>
      <c r="B584" s="288"/>
      <c r="C584" s="288"/>
      <c r="D584" s="288"/>
      <c r="E584" s="288"/>
      <c r="F584" s="288"/>
      <c r="G584" s="289"/>
      <c r="H584" s="288"/>
      <c r="I584" s="288"/>
      <c r="J584" s="288"/>
      <c r="K584" s="288"/>
      <c r="L584" s="288"/>
      <c r="M584" s="288"/>
      <c r="N584" s="288"/>
      <c r="O584" s="288"/>
      <c r="P584" s="294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  <c r="AA584" s="294"/>
      <c r="AB584" s="294"/>
    </row>
    <row r="585">
      <c r="A585" s="288"/>
      <c r="B585" s="288"/>
      <c r="C585" s="288"/>
      <c r="D585" s="288"/>
      <c r="E585" s="288"/>
      <c r="F585" s="288"/>
      <c r="G585" s="289"/>
      <c r="H585" s="288"/>
      <c r="I585" s="288"/>
      <c r="J585" s="288"/>
      <c r="K585" s="288"/>
      <c r="L585" s="288"/>
      <c r="M585" s="288"/>
      <c r="N585" s="288"/>
      <c r="O585" s="288"/>
      <c r="P585" s="294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  <c r="AA585" s="294"/>
      <c r="AB585" s="294"/>
    </row>
    <row r="586">
      <c r="A586" s="288"/>
      <c r="B586" s="288"/>
      <c r="C586" s="288"/>
      <c r="D586" s="288"/>
      <c r="E586" s="288"/>
      <c r="F586" s="288"/>
      <c r="G586" s="289"/>
      <c r="H586" s="288"/>
      <c r="I586" s="288"/>
      <c r="J586" s="288"/>
      <c r="K586" s="288"/>
      <c r="L586" s="288"/>
      <c r="M586" s="288"/>
      <c r="N586" s="288"/>
      <c r="O586" s="288"/>
      <c r="P586" s="294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  <c r="AA586" s="294"/>
      <c r="AB586" s="294"/>
    </row>
    <row r="587">
      <c r="A587" s="288"/>
      <c r="B587" s="288"/>
      <c r="C587" s="288"/>
      <c r="D587" s="288"/>
      <c r="E587" s="288"/>
      <c r="F587" s="288"/>
      <c r="G587" s="289"/>
      <c r="H587" s="288"/>
      <c r="I587" s="288"/>
      <c r="J587" s="288"/>
      <c r="K587" s="288"/>
      <c r="L587" s="288"/>
      <c r="M587" s="288"/>
      <c r="N587" s="288"/>
      <c r="O587" s="288"/>
      <c r="P587" s="294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  <c r="AA587" s="294"/>
      <c r="AB587" s="294"/>
    </row>
    <row r="588">
      <c r="A588" s="288"/>
      <c r="B588" s="288"/>
      <c r="C588" s="288"/>
      <c r="D588" s="288"/>
      <c r="E588" s="288"/>
      <c r="F588" s="288"/>
      <c r="G588" s="289"/>
      <c r="H588" s="288"/>
      <c r="I588" s="288"/>
      <c r="J588" s="288"/>
      <c r="K588" s="288"/>
      <c r="L588" s="288"/>
      <c r="M588" s="288"/>
      <c r="N588" s="288"/>
      <c r="O588" s="288"/>
      <c r="P588" s="294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  <c r="AA588" s="294"/>
      <c r="AB588" s="294"/>
    </row>
    <row r="589">
      <c r="A589" s="288"/>
      <c r="B589" s="288"/>
      <c r="C589" s="288"/>
      <c r="D589" s="288"/>
      <c r="E589" s="288"/>
      <c r="F589" s="288"/>
      <c r="G589" s="289"/>
      <c r="H589" s="288"/>
      <c r="I589" s="288"/>
      <c r="J589" s="288"/>
      <c r="K589" s="288"/>
      <c r="L589" s="288"/>
      <c r="M589" s="288"/>
      <c r="N589" s="288"/>
      <c r="O589" s="288"/>
      <c r="P589" s="294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  <c r="AA589" s="294"/>
      <c r="AB589" s="294"/>
    </row>
    <row r="590">
      <c r="A590" s="288"/>
      <c r="B590" s="288"/>
      <c r="C590" s="288"/>
      <c r="D590" s="288"/>
      <c r="E590" s="288"/>
      <c r="F590" s="288"/>
      <c r="G590" s="289"/>
      <c r="H590" s="288"/>
      <c r="I590" s="288"/>
      <c r="J590" s="288"/>
      <c r="K590" s="288"/>
      <c r="L590" s="288"/>
      <c r="M590" s="288"/>
      <c r="N590" s="288"/>
      <c r="O590" s="288"/>
      <c r="P590" s="294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  <c r="AA590" s="294"/>
      <c r="AB590" s="294"/>
    </row>
    <row r="591">
      <c r="A591" s="288"/>
      <c r="B591" s="288"/>
      <c r="C591" s="288"/>
      <c r="D591" s="288"/>
      <c r="E591" s="288"/>
      <c r="F591" s="288"/>
      <c r="G591" s="289"/>
      <c r="H591" s="288"/>
      <c r="I591" s="288"/>
      <c r="J591" s="288"/>
      <c r="K591" s="288"/>
      <c r="L591" s="288"/>
      <c r="M591" s="288"/>
      <c r="N591" s="288"/>
      <c r="O591" s="288"/>
      <c r="P591" s="294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  <c r="AA591" s="294"/>
      <c r="AB591" s="294"/>
    </row>
    <row r="592">
      <c r="A592" s="288"/>
      <c r="B592" s="288"/>
      <c r="C592" s="288"/>
      <c r="D592" s="288"/>
      <c r="E592" s="288"/>
      <c r="F592" s="288"/>
      <c r="G592" s="289"/>
      <c r="H592" s="288"/>
      <c r="I592" s="288"/>
      <c r="J592" s="288"/>
      <c r="K592" s="288"/>
      <c r="L592" s="288"/>
      <c r="M592" s="288"/>
      <c r="N592" s="288"/>
      <c r="O592" s="288"/>
      <c r="P592" s="294"/>
      <c r="Q592" s="294"/>
      <c r="R592" s="294"/>
      <c r="S592" s="294"/>
      <c r="T592" s="294"/>
      <c r="U592" s="294"/>
      <c r="V592" s="294"/>
      <c r="W592" s="294"/>
      <c r="X592" s="294"/>
      <c r="Y592" s="294"/>
      <c r="Z592" s="294"/>
      <c r="AA592" s="294"/>
      <c r="AB592" s="294"/>
    </row>
    <row r="593">
      <c r="A593" s="288"/>
      <c r="B593" s="288"/>
      <c r="C593" s="288"/>
      <c r="D593" s="288"/>
      <c r="E593" s="288"/>
      <c r="F593" s="288"/>
      <c r="G593" s="289"/>
      <c r="H593" s="288"/>
      <c r="I593" s="288"/>
      <c r="J593" s="288"/>
      <c r="K593" s="288"/>
      <c r="L593" s="288"/>
      <c r="M593" s="288"/>
      <c r="N593" s="288"/>
      <c r="O593" s="288"/>
      <c r="P593" s="294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  <c r="AA593" s="294"/>
      <c r="AB593" s="294"/>
    </row>
    <row r="594">
      <c r="A594" s="288"/>
      <c r="B594" s="288"/>
      <c r="C594" s="288"/>
      <c r="D594" s="288"/>
      <c r="E594" s="288"/>
      <c r="F594" s="288"/>
      <c r="G594" s="289"/>
      <c r="H594" s="288"/>
      <c r="I594" s="288"/>
      <c r="J594" s="288"/>
      <c r="K594" s="288"/>
      <c r="L594" s="288"/>
      <c r="M594" s="288"/>
      <c r="N594" s="288"/>
      <c r="O594" s="288"/>
      <c r="P594" s="294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  <c r="AA594" s="294"/>
      <c r="AB594" s="294"/>
    </row>
    <row r="595">
      <c r="A595" s="288"/>
      <c r="B595" s="288"/>
      <c r="C595" s="288"/>
      <c r="D595" s="288"/>
      <c r="E595" s="288"/>
      <c r="F595" s="288"/>
      <c r="G595" s="289"/>
      <c r="H595" s="288"/>
      <c r="I595" s="288"/>
      <c r="J595" s="288"/>
      <c r="K595" s="288"/>
      <c r="L595" s="288"/>
      <c r="M595" s="288"/>
      <c r="N595" s="288"/>
      <c r="O595" s="288"/>
      <c r="P595" s="294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  <c r="AA595" s="294"/>
      <c r="AB595" s="294"/>
    </row>
    <row r="596">
      <c r="A596" s="288"/>
      <c r="B596" s="288"/>
      <c r="C596" s="288"/>
      <c r="D596" s="288"/>
      <c r="E596" s="288"/>
      <c r="F596" s="288"/>
      <c r="G596" s="289"/>
      <c r="H596" s="288"/>
      <c r="I596" s="288"/>
      <c r="J596" s="288"/>
      <c r="K596" s="288"/>
      <c r="L596" s="288"/>
      <c r="M596" s="288"/>
      <c r="N596" s="288"/>
      <c r="O596" s="288"/>
      <c r="P596" s="294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  <c r="AA596" s="294"/>
      <c r="AB596" s="294"/>
    </row>
    <row r="597">
      <c r="A597" s="288"/>
      <c r="B597" s="288"/>
      <c r="C597" s="288"/>
      <c r="D597" s="288"/>
      <c r="E597" s="288"/>
      <c r="F597" s="288"/>
      <c r="G597" s="289"/>
      <c r="H597" s="288"/>
      <c r="I597" s="288"/>
      <c r="J597" s="288"/>
      <c r="K597" s="288"/>
      <c r="L597" s="288"/>
      <c r="M597" s="288"/>
      <c r="N597" s="288"/>
      <c r="O597" s="288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  <c r="AA597" s="294"/>
      <c r="AB597" s="294"/>
    </row>
    <row r="598">
      <c r="A598" s="288"/>
      <c r="B598" s="288"/>
      <c r="C598" s="288"/>
      <c r="D598" s="288"/>
      <c r="E598" s="288"/>
      <c r="F598" s="288"/>
      <c r="G598" s="289"/>
      <c r="H598" s="288"/>
      <c r="I598" s="288"/>
      <c r="J598" s="288"/>
      <c r="K598" s="288"/>
      <c r="L598" s="288"/>
      <c r="M598" s="288"/>
      <c r="N598" s="288"/>
      <c r="O598" s="288"/>
      <c r="P598" s="294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  <c r="AA598" s="294"/>
      <c r="AB598" s="294"/>
    </row>
    <row r="599">
      <c r="A599" s="288"/>
      <c r="B599" s="288"/>
      <c r="C599" s="288"/>
      <c r="D599" s="288"/>
      <c r="E599" s="288"/>
      <c r="F599" s="288"/>
      <c r="G599" s="289"/>
      <c r="H599" s="288"/>
      <c r="I599" s="288"/>
      <c r="J599" s="288"/>
      <c r="K599" s="288"/>
      <c r="L599" s="288"/>
      <c r="M599" s="288"/>
      <c r="N599" s="288"/>
      <c r="O599" s="288"/>
      <c r="P599" s="294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  <c r="AA599" s="294"/>
      <c r="AB599" s="294"/>
    </row>
    <row r="600">
      <c r="A600" s="288"/>
      <c r="B600" s="288"/>
      <c r="C600" s="288"/>
      <c r="D600" s="288"/>
      <c r="E600" s="288"/>
      <c r="F600" s="288"/>
      <c r="G600" s="289"/>
      <c r="H600" s="288"/>
      <c r="I600" s="288"/>
      <c r="J600" s="288"/>
      <c r="K600" s="288"/>
      <c r="L600" s="288"/>
      <c r="M600" s="288"/>
      <c r="N600" s="288"/>
      <c r="O600" s="288"/>
      <c r="P600" s="294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  <c r="AA600" s="294"/>
      <c r="AB600" s="294"/>
    </row>
    <row r="601">
      <c r="A601" s="288"/>
      <c r="B601" s="288"/>
      <c r="C601" s="288"/>
      <c r="D601" s="288"/>
      <c r="E601" s="288"/>
      <c r="F601" s="288"/>
      <c r="G601" s="289"/>
      <c r="H601" s="288"/>
      <c r="I601" s="288"/>
      <c r="J601" s="288"/>
      <c r="K601" s="288"/>
      <c r="L601" s="288"/>
      <c r="M601" s="288"/>
      <c r="N601" s="288"/>
      <c r="O601" s="288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  <c r="AA601" s="294"/>
      <c r="AB601" s="294"/>
    </row>
    <row r="602">
      <c r="A602" s="288"/>
      <c r="B602" s="288"/>
      <c r="C602" s="288"/>
      <c r="D602" s="288"/>
      <c r="E602" s="288"/>
      <c r="F602" s="288"/>
      <c r="G602" s="289"/>
      <c r="H602" s="288"/>
      <c r="I602" s="288"/>
      <c r="J602" s="288"/>
      <c r="K602" s="288"/>
      <c r="L602" s="288"/>
      <c r="M602" s="288"/>
      <c r="N602" s="288"/>
      <c r="O602" s="288"/>
      <c r="P602" s="294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  <c r="AA602" s="294"/>
      <c r="AB602" s="294"/>
    </row>
    <row r="603">
      <c r="A603" s="288"/>
      <c r="B603" s="288"/>
      <c r="C603" s="288"/>
      <c r="D603" s="288"/>
      <c r="E603" s="288"/>
      <c r="F603" s="288"/>
      <c r="G603" s="289"/>
      <c r="H603" s="288"/>
      <c r="I603" s="288"/>
      <c r="J603" s="288"/>
      <c r="K603" s="288"/>
      <c r="L603" s="288"/>
      <c r="M603" s="288"/>
      <c r="N603" s="288"/>
      <c r="O603" s="288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  <c r="AA603" s="294"/>
      <c r="AB603" s="294"/>
    </row>
    <row r="604">
      <c r="A604" s="288"/>
      <c r="B604" s="288"/>
      <c r="C604" s="288"/>
      <c r="D604" s="288"/>
      <c r="E604" s="288"/>
      <c r="F604" s="288"/>
      <c r="G604" s="289"/>
      <c r="H604" s="288"/>
      <c r="I604" s="288"/>
      <c r="J604" s="288"/>
      <c r="K604" s="288"/>
      <c r="L604" s="288"/>
      <c r="M604" s="288"/>
      <c r="N604" s="288"/>
      <c r="O604" s="288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  <c r="AA604" s="294"/>
      <c r="AB604" s="294"/>
    </row>
    <row r="605">
      <c r="A605" s="288"/>
      <c r="B605" s="288"/>
      <c r="C605" s="288"/>
      <c r="D605" s="288"/>
      <c r="E605" s="288"/>
      <c r="F605" s="288"/>
      <c r="G605" s="289"/>
      <c r="H605" s="288"/>
      <c r="I605" s="288"/>
      <c r="J605" s="288"/>
      <c r="K605" s="288"/>
      <c r="L605" s="288"/>
      <c r="M605" s="288"/>
      <c r="N605" s="288"/>
      <c r="O605" s="288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  <c r="AA605" s="294"/>
      <c r="AB605" s="294"/>
    </row>
    <row r="606">
      <c r="A606" s="288"/>
      <c r="B606" s="288"/>
      <c r="C606" s="288"/>
      <c r="D606" s="288"/>
      <c r="E606" s="288"/>
      <c r="F606" s="288"/>
      <c r="G606" s="289"/>
      <c r="H606" s="288"/>
      <c r="I606" s="288"/>
      <c r="J606" s="288"/>
      <c r="K606" s="288"/>
      <c r="L606" s="288"/>
      <c r="M606" s="288"/>
      <c r="N606" s="288"/>
      <c r="O606" s="288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  <c r="AA606" s="294"/>
      <c r="AB606" s="294"/>
    </row>
    <row r="607">
      <c r="A607" s="288"/>
      <c r="B607" s="288"/>
      <c r="C607" s="288"/>
      <c r="D607" s="288"/>
      <c r="E607" s="288"/>
      <c r="F607" s="288"/>
      <c r="G607" s="289"/>
      <c r="H607" s="288"/>
      <c r="I607" s="288"/>
      <c r="J607" s="288"/>
      <c r="K607" s="288"/>
      <c r="L607" s="288"/>
      <c r="M607" s="288"/>
      <c r="N607" s="288"/>
      <c r="O607" s="288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  <c r="AA607" s="294"/>
      <c r="AB607" s="294"/>
    </row>
    <row r="608">
      <c r="A608" s="288"/>
      <c r="B608" s="288"/>
      <c r="C608" s="288"/>
      <c r="D608" s="288"/>
      <c r="E608" s="288"/>
      <c r="F608" s="288"/>
      <c r="G608" s="289"/>
      <c r="H608" s="288"/>
      <c r="I608" s="288"/>
      <c r="J608" s="288"/>
      <c r="K608" s="288"/>
      <c r="L608" s="288"/>
      <c r="M608" s="288"/>
      <c r="N608" s="288"/>
      <c r="O608" s="288"/>
      <c r="P608" s="294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  <c r="AA608" s="294"/>
      <c r="AB608" s="294"/>
    </row>
    <row r="609">
      <c r="A609" s="288"/>
      <c r="B609" s="288"/>
      <c r="C609" s="288"/>
      <c r="D609" s="288"/>
      <c r="E609" s="288"/>
      <c r="F609" s="288"/>
      <c r="G609" s="289"/>
      <c r="H609" s="288"/>
      <c r="I609" s="288"/>
      <c r="J609" s="288"/>
      <c r="K609" s="288"/>
      <c r="L609" s="288"/>
      <c r="M609" s="288"/>
      <c r="N609" s="288"/>
      <c r="O609" s="288"/>
      <c r="P609" s="294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  <c r="AA609" s="294"/>
      <c r="AB609" s="294"/>
    </row>
    <row r="610">
      <c r="A610" s="288"/>
      <c r="B610" s="288"/>
      <c r="C610" s="288"/>
      <c r="D610" s="288"/>
      <c r="E610" s="288"/>
      <c r="F610" s="288"/>
      <c r="G610" s="289"/>
      <c r="H610" s="288"/>
      <c r="I610" s="288"/>
      <c r="J610" s="288"/>
      <c r="K610" s="288"/>
      <c r="L610" s="288"/>
      <c r="M610" s="288"/>
      <c r="N610" s="288"/>
      <c r="O610" s="288"/>
      <c r="P610" s="294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  <c r="AA610" s="294"/>
      <c r="AB610" s="294"/>
    </row>
    <row r="611">
      <c r="A611" s="288"/>
      <c r="B611" s="288"/>
      <c r="C611" s="288"/>
      <c r="D611" s="288"/>
      <c r="E611" s="288"/>
      <c r="F611" s="288"/>
      <c r="G611" s="289"/>
      <c r="H611" s="288"/>
      <c r="I611" s="288"/>
      <c r="J611" s="288"/>
      <c r="K611" s="288"/>
      <c r="L611" s="288"/>
      <c r="M611" s="288"/>
      <c r="N611" s="288"/>
      <c r="O611" s="288"/>
      <c r="P611" s="294"/>
      <c r="Q611" s="294"/>
      <c r="R611" s="294"/>
      <c r="S611" s="294"/>
      <c r="T611" s="294"/>
      <c r="U611" s="294"/>
      <c r="V611" s="294"/>
      <c r="W611" s="294"/>
      <c r="X611" s="294"/>
      <c r="Y611" s="294"/>
      <c r="Z611" s="294"/>
      <c r="AA611" s="294"/>
      <c r="AB611" s="294"/>
    </row>
    <row r="612">
      <c r="A612" s="288"/>
      <c r="B612" s="288"/>
      <c r="C612" s="288"/>
      <c r="D612" s="288"/>
      <c r="E612" s="288"/>
      <c r="F612" s="288"/>
      <c r="G612" s="289"/>
      <c r="H612" s="288"/>
      <c r="I612" s="288"/>
      <c r="J612" s="288"/>
      <c r="K612" s="288"/>
      <c r="L612" s="288"/>
      <c r="M612" s="288"/>
      <c r="N612" s="288"/>
      <c r="O612" s="288"/>
      <c r="P612" s="294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  <c r="AA612" s="294"/>
      <c r="AB612" s="294"/>
    </row>
    <row r="613">
      <c r="A613" s="288"/>
      <c r="B613" s="288"/>
      <c r="C613" s="288"/>
      <c r="D613" s="288"/>
      <c r="E613" s="288"/>
      <c r="F613" s="288"/>
      <c r="G613" s="289"/>
      <c r="H613" s="288"/>
      <c r="I613" s="288"/>
      <c r="J613" s="288"/>
      <c r="K613" s="288"/>
      <c r="L613" s="288"/>
      <c r="M613" s="288"/>
      <c r="N613" s="288"/>
      <c r="O613" s="288"/>
      <c r="P613" s="294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  <c r="AA613" s="294"/>
      <c r="AB613" s="294"/>
    </row>
    <row r="614">
      <c r="A614" s="288"/>
      <c r="B614" s="288"/>
      <c r="C614" s="288"/>
      <c r="D614" s="288"/>
      <c r="E614" s="288"/>
      <c r="F614" s="288"/>
      <c r="G614" s="289"/>
      <c r="H614" s="288"/>
      <c r="I614" s="288"/>
      <c r="J614" s="288"/>
      <c r="K614" s="288"/>
      <c r="L614" s="288"/>
      <c r="M614" s="288"/>
      <c r="N614" s="288"/>
      <c r="O614" s="288"/>
      <c r="P614" s="294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  <c r="AA614" s="294"/>
      <c r="AB614" s="294"/>
    </row>
    <row r="615">
      <c r="A615" s="288"/>
      <c r="B615" s="288"/>
      <c r="C615" s="288"/>
      <c r="D615" s="288"/>
      <c r="E615" s="288"/>
      <c r="F615" s="288"/>
      <c r="G615" s="289"/>
      <c r="H615" s="288"/>
      <c r="I615" s="288"/>
      <c r="J615" s="288"/>
      <c r="K615" s="288"/>
      <c r="L615" s="288"/>
      <c r="M615" s="288"/>
      <c r="N615" s="288"/>
      <c r="O615" s="288"/>
      <c r="P615" s="294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  <c r="AA615" s="294"/>
      <c r="AB615" s="294"/>
    </row>
    <row r="616">
      <c r="A616" s="288"/>
      <c r="B616" s="288"/>
      <c r="C616" s="288"/>
      <c r="D616" s="288"/>
      <c r="E616" s="288"/>
      <c r="F616" s="288"/>
      <c r="G616" s="289"/>
      <c r="H616" s="288"/>
      <c r="I616" s="288"/>
      <c r="J616" s="288"/>
      <c r="K616" s="288"/>
      <c r="L616" s="288"/>
      <c r="M616" s="288"/>
      <c r="N616" s="288"/>
      <c r="O616" s="288"/>
      <c r="P616" s="294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  <c r="AA616" s="294"/>
      <c r="AB616" s="294"/>
    </row>
    <row r="617">
      <c r="A617" s="288"/>
      <c r="B617" s="288"/>
      <c r="C617" s="288"/>
      <c r="D617" s="288"/>
      <c r="E617" s="288"/>
      <c r="F617" s="288"/>
      <c r="G617" s="289"/>
      <c r="H617" s="288"/>
      <c r="I617" s="288"/>
      <c r="J617" s="288"/>
      <c r="K617" s="288"/>
      <c r="L617" s="288"/>
      <c r="M617" s="288"/>
      <c r="N617" s="288"/>
      <c r="O617" s="288"/>
      <c r="P617" s="294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  <c r="AA617" s="294"/>
      <c r="AB617" s="294"/>
    </row>
    <row r="618">
      <c r="A618" s="288"/>
      <c r="B618" s="288"/>
      <c r="C618" s="288"/>
      <c r="D618" s="288"/>
      <c r="E618" s="288"/>
      <c r="F618" s="288"/>
      <c r="G618" s="289"/>
      <c r="H618" s="288"/>
      <c r="I618" s="288"/>
      <c r="J618" s="288"/>
      <c r="K618" s="288"/>
      <c r="L618" s="288"/>
      <c r="M618" s="288"/>
      <c r="N618" s="288"/>
      <c r="O618" s="288"/>
      <c r="P618" s="294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  <c r="AA618" s="294"/>
      <c r="AB618" s="294"/>
    </row>
    <row r="619">
      <c r="A619" s="288"/>
      <c r="B619" s="288"/>
      <c r="C619" s="288"/>
      <c r="D619" s="288"/>
      <c r="E619" s="288"/>
      <c r="F619" s="288"/>
      <c r="G619" s="289"/>
      <c r="H619" s="288"/>
      <c r="I619" s="288"/>
      <c r="J619" s="288"/>
      <c r="K619" s="288"/>
      <c r="L619" s="288"/>
      <c r="M619" s="288"/>
      <c r="N619" s="288"/>
      <c r="O619" s="288"/>
      <c r="P619" s="294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  <c r="AA619" s="294"/>
      <c r="AB619" s="294"/>
    </row>
    <row r="620">
      <c r="A620" s="288"/>
      <c r="B620" s="288"/>
      <c r="C620" s="288"/>
      <c r="D620" s="288"/>
      <c r="E620" s="288"/>
      <c r="F620" s="288"/>
      <c r="G620" s="289"/>
      <c r="H620" s="288"/>
      <c r="I620" s="288"/>
      <c r="J620" s="288"/>
      <c r="K620" s="288"/>
      <c r="L620" s="288"/>
      <c r="M620" s="288"/>
      <c r="N620" s="288"/>
      <c r="O620" s="288"/>
      <c r="P620" s="294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  <c r="AA620" s="294"/>
      <c r="AB620" s="294"/>
    </row>
    <row r="621">
      <c r="A621" s="288"/>
      <c r="B621" s="288"/>
      <c r="C621" s="288"/>
      <c r="D621" s="288"/>
      <c r="E621" s="288"/>
      <c r="F621" s="288"/>
      <c r="G621" s="289"/>
      <c r="H621" s="288"/>
      <c r="I621" s="288"/>
      <c r="J621" s="288"/>
      <c r="K621" s="288"/>
      <c r="L621" s="288"/>
      <c r="M621" s="288"/>
      <c r="N621" s="288"/>
      <c r="O621" s="288"/>
      <c r="P621" s="294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  <c r="AA621" s="294"/>
      <c r="AB621" s="294"/>
    </row>
    <row r="622">
      <c r="A622" s="288"/>
      <c r="B622" s="288"/>
      <c r="C622" s="288"/>
      <c r="D622" s="288"/>
      <c r="E622" s="288"/>
      <c r="F622" s="288"/>
      <c r="G622" s="289"/>
      <c r="H622" s="288"/>
      <c r="I622" s="288"/>
      <c r="J622" s="288"/>
      <c r="K622" s="288"/>
      <c r="L622" s="288"/>
      <c r="M622" s="288"/>
      <c r="N622" s="288"/>
      <c r="O622" s="288"/>
      <c r="P622" s="294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  <c r="AA622" s="294"/>
      <c r="AB622" s="294"/>
    </row>
    <row r="623">
      <c r="A623" s="288"/>
      <c r="B623" s="288"/>
      <c r="C623" s="288"/>
      <c r="D623" s="288"/>
      <c r="E623" s="288"/>
      <c r="F623" s="288"/>
      <c r="G623" s="289"/>
      <c r="H623" s="288"/>
      <c r="I623" s="288"/>
      <c r="J623" s="288"/>
      <c r="K623" s="288"/>
      <c r="L623" s="288"/>
      <c r="M623" s="288"/>
      <c r="N623" s="288"/>
      <c r="O623" s="288"/>
      <c r="P623" s="294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  <c r="AA623" s="294"/>
      <c r="AB623" s="294"/>
    </row>
    <row r="624">
      <c r="A624" s="288"/>
      <c r="B624" s="288"/>
      <c r="C624" s="288"/>
      <c r="D624" s="288"/>
      <c r="E624" s="288"/>
      <c r="F624" s="288"/>
      <c r="G624" s="289"/>
      <c r="H624" s="288"/>
      <c r="I624" s="288"/>
      <c r="J624" s="288"/>
      <c r="K624" s="288"/>
      <c r="L624" s="288"/>
      <c r="M624" s="288"/>
      <c r="N624" s="288"/>
      <c r="O624" s="288"/>
      <c r="P624" s="294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  <c r="AA624" s="294"/>
      <c r="AB624" s="294"/>
    </row>
    <row r="625">
      <c r="A625" s="288"/>
      <c r="B625" s="288"/>
      <c r="C625" s="288"/>
      <c r="D625" s="288"/>
      <c r="E625" s="288"/>
      <c r="F625" s="288"/>
      <c r="G625" s="289"/>
      <c r="H625" s="288"/>
      <c r="I625" s="288"/>
      <c r="J625" s="288"/>
      <c r="K625" s="288"/>
      <c r="L625" s="288"/>
      <c r="M625" s="288"/>
      <c r="N625" s="288"/>
      <c r="O625" s="288"/>
      <c r="P625" s="294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  <c r="AA625" s="294"/>
      <c r="AB625" s="294"/>
    </row>
    <row r="626">
      <c r="A626" s="288"/>
      <c r="B626" s="288"/>
      <c r="C626" s="288"/>
      <c r="D626" s="288"/>
      <c r="E626" s="288"/>
      <c r="F626" s="288"/>
      <c r="G626" s="289"/>
      <c r="H626" s="288"/>
      <c r="I626" s="288"/>
      <c r="J626" s="288"/>
      <c r="K626" s="288"/>
      <c r="L626" s="288"/>
      <c r="M626" s="288"/>
      <c r="N626" s="288"/>
      <c r="O626" s="288"/>
      <c r="P626" s="294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  <c r="AA626" s="294"/>
      <c r="AB626" s="294"/>
    </row>
    <row r="627">
      <c r="A627" s="288"/>
      <c r="B627" s="288"/>
      <c r="C627" s="288"/>
      <c r="D627" s="288"/>
      <c r="E627" s="288"/>
      <c r="F627" s="288"/>
      <c r="G627" s="289"/>
      <c r="H627" s="288"/>
      <c r="I627" s="288"/>
      <c r="J627" s="288"/>
      <c r="K627" s="288"/>
      <c r="L627" s="288"/>
      <c r="M627" s="288"/>
      <c r="N627" s="288"/>
      <c r="O627" s="288"/>
      <c r="P627" s="294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  <c r="AA627" s="294"/>
      <c r="AB627" s="294"/>
    </row>
    <row r="628">
      <c r="A628" s="288"/>
      <c r="B628" s="288"/>
      <c r="C628" s="288"/>
      <c r="D628" s="288"/>
      <c r="E628" s="288"/>
      <c r="F628" s="288"/>
      <c r="G628" s="289"/>
      <c r="H628" s="288"/>
      <c r="I628" s="288"/>
      <c r="J628" s="288"/>
      <c r="K628" s="288"/>
      <c r="L628" s="288"/>
      <c r="M628" s="288"/>
      <c r="N628" s="288"/>
      <c r="O628" s="288"/>
      <c r="P628" s="294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  <c r="AA628" s="294"/>
      <c r="AB628" s="294"/>
    </row>
    <row r="629">
      <c r="A629" s="288"/>
      <c r="B629" s="288"/>
      <c r="C629" s="288"/>
      <c r="D629" s="288"/>
      <c r="E629" s="288"/>
      <c r="F629" s="288"/>
      <c r="G629" s="289"/>
      <c r="H629" s="288"/>
      <c r="I629" s="288"/>
      <c r="J629" s="288"/>
      <c r="K629" s="288"/>
      <c r="L629" s="288"/>
      <c r="M629" s="288"/>
      <c r="N629" s="288"/>
      <c r="O629" s="288"/>
      <c r="P629" s="294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  <c r="AA629" s="294"/>
      <c r="AB629" s="294"/>
    </row>
    <row r="630">
      <c r="A630" s="288"/>
      <c r="B630" s="288"/>
      <c r="C630" s="288"/>
      <c r="D630" s="288"/>
      <c r="E630" s="288"/>
      <c r="F630" s="288"/>
      <c r="G630" s="289"/>
      <c r="H630" s="288"/>
      <c r="I630" s="288"/>
      <c r="J630" s="288"/>
      <c r="K630" s="288"/>
      <c r="L630" s="288"/>
      <c r="M630" s="288"/>
      <c r="N630" s="288"/>
      <c r="O630" s="288"/>
      <c r="P630" s="294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  <c r="AA630" s="294"/>
      <c r="AB630" s="294"/>
    </row>
    <row r="631">
      <c r="A631" s="288"/>
      <c r="B631" s="288"/>
      <c r="C631" s="288"/>
      <c r="D631" s="288"/>
      <c r="E631" s="288"/>
      <c r="F631" s="288"/>
      <c r="G631" s="289"/>
      <c r="H631" s="288"/>
      <c r="I631" s="288"/>
      <c r="J631" s="288"/>
      <c r="K631" s="288"/>
      <c r="L631" s="288"/>
      <c r="M631" s="288"/>
      <c r="N631" s="288"/>
      <c r="O631" s="288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  <c r="AA631" s="294"/>
      <c r="AB631" s="294"/>
    </row>
    <row r="632">
      <c r="A632" s="288"/>
      <c r="B632" s="288"/>
      <c r="C632" s="288"/>
      <c r="D632" s="288"/>
      <c r="E632" s="288"/>
      <c r="F632" s="288"/>
      <c r="G632" s="289"/>
      <c r="H632" s="288"/>
      <c r="I632" s="288"/>
      <c r="J632" s="288"/>
      <c r="K632" s="288"/>
      <c r="L632" s="288"/>
      <c r="M632" s="288"/>
      <c r="N632" s="288"/>
      <c r="O632" s="288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  <c r="AA632" s="294"/>
      <c r="AB632" s="294"/>
    </row>
    <row r="633">
      <c r="A633" s="288"/>
      <c r="B633" s="288"/>
      <c r="C633" s="288"/>
      <c r="D633" s="288"/>
      <c r="E633" s="288"/>
      <c r="F633" s="288"/>
      <c r="G633" s="289"/>
      <c r="H633" s="288"/>
      <c r="I633" s="288"/>
      <c r="J633" s="288"/>
      <c r="K633" s="288"/>
      <c r="L633" s="288"/>
      <c r="M633" s="288"/>
      <c r="N633" s="288"/>
      <c r="O633" s="288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  <c r="AA633" s="294"/>
      <c r="AB633" s="294"/>
    </row>
    <row r="634">
      <c r="A634" s="288"/>
      <c r="B634" s="288"/>
      <c r="C634" s="288"/>
      <c r="D634" s="288"/>
      <c r="E634" s="288"/>
      <c r="F634" s="288"/>
      <c r="G634" s="289"/>
      <c r="H634" s="288"/>
      <c r="I634" s="288"/>
      <c r="J634" s="288"/>
      <c r="K634" s="288"/>
      <c r="L634" s="288"/>
      <c r="M634" s="288"/>
      <c r="N634" s="288"/>
      <c r="O634" s="288"/>
      <c r="P634" s="294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  <c r="AA634" s="294"/>
      <c r="AB634" s="294"/>
    </row>
    <row r="635">
      <c r="A635" s="288"/>
      <c r="B635" s="288"/>
      <c r="C635" s="288"/>
      <c r="D635" s="288"/>
      <c r="E635" s="288"/>
      <c r="F635" s="288"/>
      <c r="G635" s="289"/>
      <c r="H635" s="288"/>
      <c r="I635" s="288"/>
      <c r="J635" s="288"/>
      <c r="K635" s="288"/>
      <c r="L635" s="288"/>
      <c r="M635" s="288"/>
      <c r="N635" s="288"/>
      <c r="O635" s="288"/>
      <c r="P635" s="294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  <c r="AA635" s="294"/>
      <c r="AB635" s="294"/>
    </row>
    <row r="636">
      <c r="A636" s="288"/>
      <c r="B636" s="288"/>
      <c r="C636" s="288"/>
      <c r="D636" s="288"/>
      <c r="E636" s="288"/>
      <c r="F636" s="288"/>
      <c r="G636" s="289"/>
      <c r="H636" s="288"/>
      <c r="I636" s="288"/>
      <c r="J636" s="288"/>
      <c r="K636" s="288"/>
      <c r="L636" s="288"/>
      <c r="M636" s="288"/>
      <c r="N636" s="288"/>
      <c r="O636" s="288"/>
      <c r="P636" s="294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  <c r="AA636" s="294"/>
      <c r="AB636" s="294"/>
    </row>
    <row r="637">
      <c r="A637" s="288"/>
      <c r="B637" s="288"/>
      <c r="C637" s="288"/>
      <c r="D637" s="288"/>
      <c r="E637" s="288"/>
      <c r="F637" s="288"/>
      <c r="G637" s="289"/>
      <c r="H637" s="288"/>
      <c r="I637" s="288"/>
      <c r="J637" s="288"/>
      <c r="K637" s="288"/>
      <c r="L637" s="288"/>
      <c r="M637" s="288"/>
      <c r="N637" s="288"/>
      <c r="O637" s="288"/>
      <c r="P637" s="294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  <c r="AA637" s="294"/>
      <c r="AB637" s="294"/>
    </row>
    <row r="638">
      <c r="A638" s="288"/>
      <c r="B638" s="288"/>
      <c r="C638" s="288"/>
      <c r="D638" s="288"/>
      <c r="E638" s="288"/>
      <c r="F638" s="288"/>
      <c r="G638" s="289"/>
      <c r="H638" s="288"/>
      <c r="I638" s="288"/>
      <c r="J638" s="288"/>
      <c r="K638" s="288"/>
      <c r="L638" s="288"/>
      <c r="M638" s="288"/>
      <c r="N638" s="288"/>
      <c r="O638" s="288"/>
      <c r="P638" s="294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  <c r="AA638" s="294"/>
      <c r="AB638" s="294"/>
    </row>
    <row r="639">
      <c r="A639" s="288"/>
      <c r="B639" s="288"/>
      <c r="C639" s="288"/>
      <c r="D639" s="288"/>
      <c r="E639" s="288"/>
      <c r="F639" s="288"/>
      <c r="G639" s="289"/>
      <c r="H639" s="288"/>
      <c r="I639" s="288"/>
      <c r="J639" s="288"/>
      <c r="K639" s="288"/>
      <c r="L639" s="288"/>
      <c r="M639" s="288"/>
      <c r="N639" s="288"/>
      <c r="O639" s="288"/>
      <c r="P639" s="294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  <c r="AA639" s="294"/>
      <c r="AB639" s="294"/>
    </row>
    <row r="640">
      <c r="A640" s="288"/>
      <c r="B640" s="288"/>
      <c r="C640" s="288"/>
      <c r="D640" s="288"/>
      <c r="E640" s="288"/>
      <c r="F640" s="288"/>
      <c r="G640" s="289"/>
      <c r="H640" s="288"/>
      <c r="I640" s="288"/>
      <c r="J640" s="288"/>
      <c r="K640" s="288"/>
      <c r="L640" s="288"/>
      <c r="M640" s="288"/>
      <c r="N640" s="288"/>
      <c r="O640" s="288"/>
      <c r="P640" s="294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  <c r="AA640" s="294"/>
      <c r="AB640" s="294"/>
    </row>
    <row r="641">
      <c r="A641" s="288"/>
      <c r="B641" s="288"/>
      <c r="C641" s="288"/>
      <c r="D641" s="288"/>
      <c r="E641" s="288"/>
      <c r="F641" s="288"/>
      <c r="G641" s="289"/>
      <c r="H641" s="288"/>
      <c r="I641" s="288"/>
      <c r="J641" s="288"/>
      <c r="K641" s="288"/>
      <c r="L641" s="288"/>
      <c r="M641" s="288"/>
      <c r="N641" s="288"/>
      <c r="O641" s="288"/>
      <c r="P641" s="294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  <c r="AA641" s="294"/>
      <c r="AB641" s="294"/>
    </row>
    <row r="642">
      <c r="A642" s="288"/>
      <c r="B642" s="288"/>
      <c r="C642" s="288"/>
      <c r="D642" s="288"/>
      <c r="E642" s="288"/>
      <c r="F642" s="288"/>
      <c r="G642" s="289"/>
      <c r="H642" s="288"/>
      <c r="I642" s="288"/>
      <c r="J642" s="288"/>
      <c r="K642" s="288"/>
      <c r="L642" s="288"/>
      <c r="M642" s="288"/>
      <c r="N642" s="288"/>
      <c r="O642" s="288"/>
      <c r="P642" s="294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  <c r="AA642" s="294"/>
      <c r="AB642" s="294"/>
    </row>
    <row r="643">
      <c r="A643" s="288"/>
      <c r="B643" s="288"/>
      <c r="C643" s="288"/>
      <c r="D643" s="288"/>
      <c r="E643" s="288"/>
      <c r="F643" s="288"/>
      <c r="G643" s="289"/>
      <c r="H643" s="288"/>
      <c r="I643" s="288"/>
      <c r="J643" s="288"/>
      <c r="K643" s="288"/>
      <c r="L643" s="288"/>
      <c r="M643" s="288"/>
      <c r="N643" s="288"/>
      <c r="O643" s="288"/>
      <c r="P643" s="294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  <c r="AA643" s="294"/>
      <c r="AB643" s="294"/>
    </row>
    <row r="644">
      <c r="A644" s="288"/>
      <c r="B644" s="288"/>
      <c r="C644" s="288"/>
      <c r="D644" s="288"/>
      <c r="E644" s="288"/>
      <c r="F644" s="288"/>
      <c r="G644" s="289"/>
      <c r="H644" s="288"/>
      <c r="I644" s="288"/>
      <c r="J644" s="288"/>
      <c r="K644" s="288"/>
      <c r="L644" s="288"/>
      <c r="M644" s="288"/>
      <c r="N644" s="288"/>
      <c r="O644" s="288"/>
      <c r="P644" s="294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  <c r="AA644" s="294"/>
      <c r="AB644" s="294"/>
    </row>
    <row r="645">
      <c r="A645" s="288"/>
      <c r="B645" s="288"/>
      <c r="C645" s="288"/>
      <c r="D645" s="288"/>
      <c r="E645" s="288"/>
      <c r="F645" s="288"/>
      <c r="G645" s="289"/>
      <c r="H645" s="288"/>
      <c r="I645" s="288"/>
      <c r="J645" s="288"/>
      <c r="K645" s="288"/>
      <c r="L645" s="288"/>
      <c r="M645" s="288"/>
      <c r="N645" s="288"/>
      <c r="O645" s="288"/>
      <c r="P645" s="294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  <c r="AA645" s="294"/>
      <c r="AB645" s="294"/>
    </row>
    <row r="646">
      <c r="A646" s="288"/>
      <c r="B646" s="288"/>
      <c r="C646" s="288"/>
      <c r="D646" s="288"/>
      <c r="E646" s="288"/>
      <c r="F646" s="288"/>
      <c r="G646" s="289"/>
      <c r="H646" s="288"/>
      <c r="I646" s="288"/>
      <c r="J646" s="288"/>
      <c r="K646" s="288"/>
      <c r="L646" s="288"/>
      <c r="M646" s="288"/>
      <c r="N646" s="288"/>
      <c r="O646" s="288"/>
      <c r="P646" s="294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  <c r="AA646" s="294"/>
      <c r="AB646" s="294"/>
    </row>
    <row r="647">
      <c r="A647" s="288"/>
      <c r="B647" s="288"/>
      <c r="C647" s="288"/>
      <c r="D647" s="288"/>
      <c r="E647" s="288"/>
      <c r="F647" s="288"/>
      <c r="G647" s="289"/>
      <c r="H647" s="288"/>
      <c r="I647" s="288"/>
      <c r="J647" s="288"/>
      <c r="K647" s="288"/>
      <c r="L647" s="288"/>
      <c r="M647" s="288"/>
      <c r="N647" s="288"/>
      <c r="O647" s="288"/>
      <c r="P647" s="294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  <c r="AA647" s="294"/>
      <c r="AB647" s="294"/>
    </row>
    <row r="648">
      <c r="A648" s="288"/>
      <c r="B648" s="288"/>
      <c r="C648" s="288"/>
      <c r="D648" s="288"/>
      <c r="E648" s="288"/>
      <c r="F648" s="288"/>
      <c r="G648" s="289"/>
      <c r="H648" s="288"/>
      <c r="I648" s="288"/>
      <c r="J648" s="288"/>
      <c r="K648" s="288"/>
      <c r="L648" s="288"/>
      <c r="M648" s="288"/>
      <c r="N648" s="288"/>
      <c r="O648" s="288"/>
      <c r="P648" s="294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  <c r="AA648" s="294"/>
      <c r="AB648" s="294"/>
    </row>
    <row r="649">
      <c r="A649" s="288"/>
      <c r="B649" s="288"/>
      <c r="C649" s="288"/>
      <c r="D649" s="288"/>
      <c r="E649" s="288"/>
      <c r="F649" s="288"/>
      <c r="G649" s="289"/>
      <c r="H649" s="288"/>
      <c r="I649" s="288"/>
      <c r="J649" s="288"/>
      <c r="K649" s="288"/>
      <c r="L649" s="288"/>
      <c r="M649" s="288"/>
      <c r="N649" s="288"/>
      <c r="O649" s="288"/>
      <c r="P649" s="294"/>
      <c r="Q649" s="294"/>
      <c r="R649" s="294"/>
      <c r="S649" s="294"/>
      <c r="T649" s="294"/>
      <c r="U649" s="294"/>
      <c r="V649" s="294"/>
      <c r="W649" s="294"/>
      <c r="X649" s="294"/>
      <c r="Y649" s="294"/>
      <c r="Z649" s="294"/>
      <c r="AA649" s="294"/>
      <c r="AB649" s="294"/>
    </row>
    <row r="650">
      <c r="A650" s="288"/>
      <c r="B650" s="288"/>
      <c r="C650" s="288"/>
      <c r="D650" s="288"/>
      <c r="E650" s="288"/>
      <c r="F650" s="288"/>
      <c r="G650" s="289"/>
      <c r="H650" s="288"/>
      <c r="I650" s="288"/>
      <c r="J650" s="288"/>
      <c r="K650" s="288"/>
      <c r="L650" s="288"/>
      <c r="M650" s="288"/>
      <c r="N650" s="288"/>
      <c r="O650" s="288"/>
      <c r="P650" s="294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  <c r="AA650" s="294"/>
      <c r="AB650" s="294"/>
    </row>
    <row r="651">
      <c r="A651" s="288"/>
      <c r="B651" s="288"/>
      <c r="C651" s="288"/>
      <c r="D651" s="288"/>
      <c r="E651" s="288"/>
      <c r="F651" s="288"/>
      <c r="G651" s="289"/>
      <c r="H651" s="288"/>
      <c r="I651" s="288"/>
      <c r="J651" s="288"/>
      <c r="K651" s="288"/>
      <c r="L651" s="288"/>
      <c r="M651" s="288"/>
      <c r="N651" s="288"/>
      <c r="O651" s="288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  <c r="AA651" s="294"/>
      <c r="AB651" s="294"/>
    </row>
    <row r="652">
      <c r="A652" s="288"/>
      <c r="B652" s="288"/>
      <c r="C652" s="288"/>
      <c r="D652" s="288"/>
      <c r="E652" s="288"/>
      <c r="F652" s="288"/>
      <c r="G652" s="289"/>
      <c r="H652" s="288"/>
      <c r="I652" s="288"/>
      <c r="J652" s="288"/>
      <c r="K652" s="288"/>
      <c r="L652" s="288"/>
      <c r="M652" s="288"/>
      <c r="N652" s="288"/>
      <c r="O652" s="288"/>
      <c r="P652" s="294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  <c r="AA652" s="294"/>
      <c r="AB652" s="294"/>
    </row>
    <row r="653">
      <c r="A653" s="288"/>
      <c r="B653" s="288"/>
      <c r="C653" s="288"/>
      <c r="D653" s="288"/>
      <c r="E653" s="288"/>
      <c r="F653" s="288"/>
      <c r="G653" s="289"/>
      <c r="H653" s="288"/>
      <c r="I653" s="288"/>
      <c r="J653" s="288"/>
      <c r="K653" s="288"/>
      <c r="L653" s="288"/>
      <c r="M653" s="288"/>
      <c r="N653" s="288"/>
      <c r="O653" s="288"/>
      <c r="P653" s="294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  <c r="AA653" s="294"/>
      <c r="AB653" s="294"/>
    </row>
    <row r="654">
      <c r="A654" s="288"/>
      <c r="B654" s="288"/>
      <c r="C654" s="288"/>
      <c r="D654" s="288"/>
      <c r="E654" s="288"/>
      <c r="F654" s="288"/>
      <c r="G654" s="289"/>
      <c r="H654" s="288"/>
      <c r="I654" s="288"/>
      <c r="J654" s="288"/>
      <c r="K654" s="288"/>
      <c r="L654" s="288"/>
      <c r="M654" s="288"/>
      <c r="N654" s="288"/>
      <c r="O654" s="288"/>
      <c r="P654" s="294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  <c r="AA654" s="294"/>
      <c r="AB654" s="294"/>
    </row>
    <row r="655">
      <c r="A655" s="288"/>
      <c r="B655" s="288"/>
      <c r="C655" s="288"/>
      <c r="D655" s="288"/>
      <c r="E655" s="288"/>
      <c r="F655" s="288"/>
      <c r="G655" s="289"/>
      <c r="H655" s="288"/>
      <c r="I655" s="288"/>
      <c r="J655" s="288"/>
      <c r="K655" s="288"/>
      <c r="L655" s="288"/>
      <c r="M655" s="288"/>
      <c r="N655" s="288"/>
      <c r="O655" s="288"/>
      <c r="P655" s="294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  <c r="AA655" s="294"/>
      <c r="AB655" s="294"/>
    </row>
    <row r="656">
      <c r="A656" s="288"/>
      <c r="B656" s="288"/>
      <c r="C656" s="288"/>
      <c r="D656" s="288"/>
      <c r="E656" s="288"/>
      <c r="F656" s="288"/>
      <c r="G656" s="289"/>
      <c r="H656" s="288"/>
      <c r="I656" s="288"/>
      <c r="J656" s="288"/>
      <c r="K656" s="288"/>
      <c r="L656" s="288"/>
      <c r="M656" s="288"/>
      <c r="N656" s="288"/>
      <c r="O656" s="288"/>
      <c r="P656" s="294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  <c r="AA656" s="294"/>
      <c r="AB656" s="294"/>
    </row>
    <row r="657">
      <c r="A657" s="288"/>
      <c r="B657" s="288"/>
      <c r="C657" s="288"/>
      <c r="D657" s="288"/>
      <c r="E657" s="288"/>
      <c r="F657" s="288"/>
      <c r="G657" s="289"/>
      <c r="H657" s="288"/>
      <c r="I657" s="288"/>
      <c r="J657" s="288"/>
      <c r="K657" s="288"/>
      <c r="L657" s="288"/>
      <c r="M657" s="288"/>
      <c r="N657" s="288"/>
      <c r="O657" s="288"/>
      <c r="P657" s="294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  <c r="AA657" s="294"/>
      <c r="AB657" s="294"/>
    </row>
    <row r="658">
      <c r="A658" s="288"/>
      <c r="B658" s="288"/>
      <c r="C658" s="288"/>
      <c r="D658" s="288"/>
      <c r="E658" s="288"/>
      <c r="F658" s="288"/>
      <c r="G658" s="289"/>
      <c r="H658" s="288"/>
      <c r="I658" s="288"/>
      <c r="J658" s="288"/>
      <c r="K658" s="288"/>
      <c r="L658" s="288"/>
      <c r="M658" s="288"/>
      <c r="N658" s="288"/>
      <c r="O658" s="288"/>
      <c r="P658" s="294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  <c r="AA658" s="294"/>
      <c r="AB658" s="294"/>
    </row>
    <row r="659">
      <c r="A659" s="288"/>
      <c r="B659" s="288"/>
      <c r="C659" s="288"/>
      <c r="D659" s="288"/>
      <c r="E659" s="288"/>
      <c r="F659" s="288"/>
      <c r="G659" s="289"/>
      <c r="H659" s="288"/>
      <c r="I659" s="288"/>
      <c r="J659" s="288"/>
      <c r="K659" s="288"/>
      <c r="L659" s="288"/>
      <c r="M659" s="288"/>
      <c r="N659" s="288"/>
      <c r="O659" s="288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  <c r="AA659" s="294"/>
      <c r="AB659" s="294"/>
    </row>
    <row r="660">
      <c r="A660" s="288"/>
      <c r="B660" s="288"/>
      <c r="C660" s="288"/>
      <c r="D660" s="288"/>
      <c r="E660" s="288"/>
      <c r="F660" s="288"/>
      <c r="G660" s="289"/>
      <c r="H660" s="288"/>
      <c r="I660" s="288"/>
      <c r="J660" s="288"/>
      <c r="K660" s="288"/>
      <c r="L660" s="288"/>
      <c r="M660" s="288"/>
      <c r="N660" s="288"/>
      <c r="O660" s="288"/>
      <c r="P660" s="294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  <c r="AA660" s="294"/>
      <c r="AB660" s="294"/>
    </row>
    <row r="661">
      <c r="A661" s="288"/>
      <c r="B661" s="288"/>
      <c r="C661" s="288"/>
      <c r="D661" s="288"/>
      <c r="E661" s="288"/>
      <c r="F661" s="288"/>
      <c r="G661" s="289"/>
      <c r="H661" s="288"/>
      <c r="I661" s="288"/>
      <c r="J661" s="288"/>
      <c r="K661" s="288"/>
      <c r="L661" s="288"/>
      <c r="M661" s="288"/>
      <c r="N661" s="288"/>
      <c r="O661" s="288"/>
      <c r="P661" s="294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  <c r="AA661" s="294"/>
      <c r="AB661" s="294"/>
    </row>
    <row r="662">
      <c r="A662" s="288"/>
      <c r="B662" s="288"/>
      <c r="C662" s="288"/>
      <c r="D662" s="288"/>
      <c r="E662" s="288"/>
      <c r="F662" s="288"/>
      <c r="G662" s="289"/>
      <c r="H662" s="288"/>
      <c r="I662" s="288"/>
      <c r="J662" s="288"/>
      <c r="K662" s="288"/>
      <c r="L662" s="288"/>
      <c r="M662" s="288"/>
      <c r="N662" s="288"/>
      <c r="O662" s="288"/>
      <c r="P662" s="294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  <c r="AA662" s="294"/>
      <c r="AB662" s="294"/>
    </row>
    <row r="663">
      <c r="A663" s="288"/>
      <c r="B663" s="288"/>
      <c r="C663" s="288"/>
      <c r="D663" s="288"/>
      <c r="E663" s="288"/>
      <c r="F663" s="288"/>
      <c r="G663" s="289"/>
      <c r="H663" s="288"/>
      <c r="I663" s="288"/>
      <c r="J663" s="288"/>
      <c r="K663" s="288"/>
      <c r="L663" s="288"/>
      <c r="M663" s="288"/>
      <c r="N663" s="288"/>
      <c r="O663" s="288"/>
      <c r="P663" s="294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  <c r="AA663" s="294"/>
      <c r="AB663" s="294"/>
    </row>
    <row r="664">
      <c r="A664" s="288"/>
      <c r="B664" s="288"/>
      <c r="C664" s="288"/>
      <c r="D664" s="288"/>
      <c r="E664" s="288"/>
      <c r="F664" s="288"/>
      <c r="G664" s="289"/>
      <c r="H664" s="288"/>
      <c r="I664" s="288"/>
      <c r="J664" s="288"/>
      <c r="K664" s="288"/>
      <c r="L664" s="288"/>
      <c r="M664" s="288"/>
      <c r="N664" s="288"/>
      <c r="O664" s="288"/>
      <c r="P664" s="294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  <c r="AA664" s="294"/>
      <c r="AB664" s="294"/>
    </row>
    <row r="665">
      <c r="A665" s="288"/>
      <c r="B665" s="288"/>
      <c r="C665" s="288"/>
      <c r="D665" s="288"/>
      <c r="E665" s="288"/>
      <c r="F665" s="288"/>
      <c r="G665" s="289"/>
      <c r="H665" s="288"/>
      <c r="I665" s="288"/>
      <c r="J665" s="288"/>
      <c r="K665" s="288"/>
      <c r="L665" s="288"/>
      <c r="M665" s="288"/>
      <c r="N665" s="288"/>
      <c r="O665" s="288"/>
      <c r="P665" s="294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  <c r="AA665" s="294"/>
      <c r="AB665" s="294"/>
    </row>
    <row r="666">
      <c r="A666" s="288"/>
      <c r="B666" s="288"/>
      <c r="C666" s="288"/>
      <c r="D666" s="288"/>
      <c r="E666" s="288"/>
      <c r="F666" s="288"/>
      <c r="G666" s="289"/>
      <c r="H666" s="288"/>
      <c r="I666" s="288"/>
      <c r="J666" s="288"/>
      <c r="K666" s="288"/>
      <c r="L666" s="288"/>
      <c r="M666" s="288"/>
      <c r="N666" s="288"/>
      <c r="O666" s="288"/>
      <c r="P666" s="294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  <c r="AA666" s="294"/>
      <c r="AB666" s="294"/>
    </row>
    <row r="667">
      <c r="A667" s="288"/>
      <c r="B667" s="288"/>
      <c r="C667" s="288"/>
      <c r="D667" s="288"/>
      <c r="E667" s="288"/>
      <c r="F667" s="288"/>
      <c r="G667" s="289"/>
      <c r="H667" s="288"/>
      <c r="I667" s="288"/>
      <c r="J667" s="288"/>
      <c r="K667" s="288"/>
      <c r="L667" s="288"/>
      <c r="M667" s="288"/>
      <c r="N667" s="288"/>
      <c r="O667" s="288"/>
      <c r="P667" s="294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  <c r="AA667" s="294"/>
      <c r="AB667" s="294"/>
    </row>
    <row r="668">
      <c r="A668" s="288"/>
      <c r="B668" s="288"/>
      <c r="C668" s="288"/>
      <c r="D668" s="288"/>
      <c r="E668" s="288"/>
      <c r="F668" s="288"/>
      <c r="G668" s="289"/>
      <c r="H668" s="288"/>
      <c r="I668" s="288"/>
      <c r="J668" s="288"/>
      <c r="K668" s="288"/>
      <c r="L668" s="288"/>
      <c r="M668" s="288"/>
      <c r="N668" s="288"/>
      <c r="O668" s="288"/>
      <c r="P668" s="294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  <c r="AA668" s="294"/>
      <c r="AB668" s="294"/>
    </row>
    <row r="669">
      <c r="A669" s="288"/>
      <c r="B669" s="288"/>
      <c r="C669" s="288"/>
      <c r="D669" s="288"/>
      <c r="E669" s="288"/>
      <c r="F669" s="288"/>
      <c r="G669" s="289"/>
      <c r="H669" s="288"/>
      <c r="I669" s="288"/>
      <c r="J669" s="288"/>
      <c r="K669" s="288"/>
      <c r="L669" s="288"/>
      <c r="M669" s="288"/>
      <c r="N669" s="288"/>
      <c r="O669" s="288"/>
      <c r="P669" s="294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  <c r="AA669" s="294"/>
      <c r="AB669" s="294"/>
    </row>
    <row r="670">
      <c r="A670" s="288"/>
      <c r="B670" s="288"/>
      <c r="C670" s="288"/>
      <c r="D670" s="288"/>
      <c r="E670" s="288"/>
      <c r="F670" s="288"/>
      <c r="G670" s="289"/>
      <c r="H670" s="288"/>
      <c r="I670" s="288"/>
      <c r="J670" s="288"/>
      <c r="K670" s="288"/>
      <c r="L670" s="288"/>
      <c r="M670" s="288"/>
      <c r="N670" s="288"/>
      <c r="O670" s="288"/>
      <c r="P670" s="294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  <c r="AA670" s="294"/>
      <c r="AB670" s="294"/>
    </row>
    <row r="671">
      <c r="A671" s="288"/>
      <c r="B671" s="288"/>
      <c r="C671" s="288"/>
      <c r="D671" s="288"/>
      <c r="E671" s="288"/>
      <c r="F671" s="288"/>
      <c r="G671" s="289"/>
      <c r="H671" s="288"/>
      <c r="I671" s="288"/>
      <c r="J671" s="288"/>
      <c r="K671" s="288"/>
      <c r="L671" s="288"/>
      <c r="M671" s="288"/>
      <c r="N671" s="288"/>
      <c r="O671" s="288"/>
      <c r="P671" s="294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  <c r="AA671" s="294"/>
      <c r="AB671" s="294"/>
    </row>
    <row r="672">
      <c r="A672" s="288"/>
      <c r="B672" s="288"/>
      <c r="C672" s="288"/>
      <c r="D672" s="288"/>
      <c r="E672" s="288"/>
      <c r="F672" s="288"/>
      <c r="G672" s="289"/>
      <c r="H672" s="288"/>
      <c r="I672" s="288"/>
      <c r="J672" s="288"/>
      <c r="K672" s="288"/>
      <c r="L672" s="288"/>
      <c r="M672" s="288"/>
      <c r="N672" s="288"/>
      <c r="O672" s="288"/>
      <c r="P672" s="294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  <c r="AA672" s="294"/>
      <c r="AB672" s="294"/>
    </row>
    <row r="673">
      <c r="A673" s="288"/>
      <c r="B673" s="288"/>
      <c r="C673" s="288"/>
      <c r="D673" s="288"/>
      <c r="E673" s="288"/>
      <c r="F673" s="288"/>
      <c r="G673" s="289"/>
      <c r="H673" s="288"/>
      <c r="I673" s="288"/>
      <c r="J673" s="288"/>
      <c r="K673" s="288"/>
      <c r="L673" s="288"/>
      <c r="M673" s="288"/>
      <c r="N673" s="288"/>
      <c r="O673" s="288"/>
      <c r="P673" s="294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  <c r="AA673" s="294"/>
      <c r="AB673" s="294"/>
    </row>
    <row r="674">
      <c r="A674" s="288"/>
      <c r="B674" s="288"/>
      <c r="C674" s="288"/>
      <c r="D674" s="288"/>
      <c r="E674" s="288"/>
      <c r="F674" s="288"/>
      <c r="G674" s="289"/>
      <c r="H674" s="288"/>
      <c r="I674" s="288"/>
      <c r="J674" s="288"/>
      <c r="K674" s="288"/>
      <c r="L674" s="288"/>
      <c r="M674" s="288"/>
      <c r="N674" s="288"/>
      <c r="O674" s="288"/>
      <c r="P674" s="294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  <c r="AA674" s="294"/>
      <c r="AB674" s="294"/>
    </row>
    <row r="675">
      <c r="A675" s="288"/>
      <c r="B675" s="288"/>
      <c r="C675" s="288"/>
      <c r="D675" s="288"/>
      <c r="E675" s="288"/>
      <c r="F675" s="288"/>
      <c r="G675" s="289"/>
      <c r="H675" s="288"/>
      <c r="I675" s="288"/>
      <c r="J675" s="288"/>
      <c r="K675" s="288"/>
      <c r="L675" s="288"/>
      <c r="M675" s="288"/>
      <c r="N675" s="288"/>
      <c r="O675" s="288"/>
      <c r="P675" s="294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  <c r="AA675" s="294"/>
      <c r="AB675" s="294"/>
    </row>
    <row r="676">
      <c r="A676" s="288"/>
      <c r="B676" s="288"/>
      <c r="C676" s="288"/>
      <c r="D676" s="288"/>
      <c r="E676" s="288"/>
      <c r="F676" s="288"/>
      <c r="G676" s="289"/>
      <c r="H676" s="288"/>
      <c r="I676" s="288"/>
      <c r="J676" s="288"/>
      <c r="K676" s="288"/>
      <c r="L676" s="288"/>
      <c r="M676" s="288"/>
      <c r="N676" s="288"/>
      <c r="O676" s="288"/>
      <c r="P676" s="294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  <c r="AA676" s="294"/>
      <c r="AB676" s="294"/>
    </row>
    <row r="677">
      <c r="A677" s="288"/>
      <c r="B677" s="288"/>
      <c r="C677" s="288"/>
      <c r="D677" s="288"/>
      <c r="E677" s="288"/>
      <c r="F677" s="288"/>
      <c r="G677" s="289"/>
      <c r="H677" s="288"/>
      <c r="I677" s="288"/>
      <c r="J677" s="288"/>
      <c r="K677" s="288"/>
      <c r="L677" s="288"/>
      <c r="M677" s="288"/>
      <c r="N677" s="288"/>
      <c r="O677" s="288"/>
      <c r="P677" s="294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  <c r="AA677" s="294"/>
      <c r="AB677" s="294"/>
    </row>
    <row r="678">
      <c r="A678" s="288"/>
      <c r="B678" s="288"/>
      <c r="C678" s="288"/>
      <c r="D678" s="288"/>
      <c r="E678" s="288"/>
      <c r="F678" s="288"/>
      <c r="G678" s="289"/>
      <c r="H678" s="288"/>
      <c r="I678" s="288"/>
      <c r="J678" s="288"/>
      <c r="K678" s="288"/>
      <c r="L678" s="288"/>
      <c r="M678" s="288"/>
      <c r="N678" s="288"/>
      <c r="O678" s="288"/>
      <c r="P678" s="294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  <c r="AA678" s="294"/>
      <c r="AB678" s="294"/>
    </row>
    <row r="679">
      <c r="A679" s="288"/>
      <c r="B679" s="288"/>
      <c r="C679" s="288"/>
      <c r="D679" s="288"/>
      <c r="E679" s="288"/>
      <c r="F679" s="288"/>
      <c r="G679" s="289"/>
      <c r="H679" s="288"/>
      <c r="I679" s="288"/>
      <c r="J679" s="288"/>
      <c r="K679" s="288"/>
      <c r="L679" s="288"/>
      <c r="M679" s="288"/>
      <c r="N679" s="288"/>
      <c r="O679" s="288"/>
      <c r="P679" s="294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  <c r="AA679" s="294"/>
      <c r="AB679" s="294"/>
    </row>
    <row r="680">
      <c r="A680" s="288"/>
      <c r="B680" s="288"/>
      <c r="C680" s="288"/>
      <c r="D680" s="288"/>
      <c r="E680" s="288"/>
      <c r="F680" s="288"/>
      <c r="G680" s="289"/>
      <c r="H680" s="288"/>
      <c r="I680" s="288"/>
      <c r="J680" s="288"/>
      <c r="K680" s="288"/>
      <c r="L680" s="288"/>
      <c r="M680" s="288"/>
      <c r="N680" s="288"/>
      <c r="O680" s="288"/>
      <c r="P680" s="294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  <c r="AA680" s="294"/>
      <c r="AB680" s="294"/>
    </row>
    <row r="681">
      <c r="A681" s="288"/>
      <c r="B681" s="288"/>
      <c r="C681" s="288"/>
      <c r="D681" s="288"/>
      <c r="E681" s="288"/>
      <c r="F681" s="288"/>
      <c r="G681" s="289"/>
      <c r="H681" s="288"/>
      <c r="I681" s="288"/>
      <c r="J681" s="288"/>
      <c r="K681" s="288"/>
      <c r="L681" s="288"/>
      <c r="M681" s="288"/>
      <c r="N681" s="288"/>
      <c r="O681" s="288"/>
      <c r="P681" s="294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  <c r="AA681" s="294"/>
      <c r="AB681" s="294"/>
    </row>
    <row r="682">
      <c r="A682" s="288"/>
      <c r="B682" s="288"/>
      <c r="C682" s="288"/>
      <c r="D682" s="288"/>
      <c r="E682" s="288"/>
      <c r="F682" s="288"/>
      <c r="G682" s="289"/>
      <c r="H682" s="288"/>
      <c r="I682" s="288"/>
      <c r="J682" s="288"/>
      <c r="K682" s="288"/>
      <c r="L682" s="288"/>
      <c r="M682" s="288"/>
      <c r="N682" s="288"/>
      <c r="O682" s="288"/>
      <c r="P682" s="294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  <c r="AA682" s="294"/>
      <c r="AB682" s="294"/>
    </row>
    <row r="683">
      <c r="A683" s="288"/>
      <c r="B683" s="288"/>
      <c r="C683" s="288"/>
      <c r="D683" s="288"/>
      <c r="E683" s="288"/>
      <c r="F683" s="288"/>
      <c r="G683" s="289"/>
      <c r="H683" s="288"/>
      <c r="I683" s="288"/>
      <c r="J683" s="288"/>
      <c r="K683" s="288"/>
      <c r="L683" s="288"/>
      <c r="M683" s="288"/>
      <c r="N683" s="288"/>
      <c r="O683" s="288"/>
      <c r="P683" s="294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  <c r="AA683" s="294"/>
      <c r="AB683" s="294"/>
    </row>
    <row r="684">
      <c r="A684" s="288"/>
      <c r="B684" s="288"/>
      <c r="C684" s="288"/>
      <c r="D684" s="288"/>
      <c r="E684" s="288"/>
      <c r="F684" s="288"/>
      <c r="G684" s="289"/>
      <c r="H684" s="288"/>
      <c r="I684" s="288"/>
      <c r="J684" s="288"/>
      <c r="K684" s="288"/>
      <c r="L684" s="288"/>
      <c r="M684" s="288"/>
      <c r="N684" s="288"/>
      <c r="O684" s="288"/>
      <c r="P684" s="294"/>
      <c r="Q684" s="294"/>
      <c r="R684" s="294"/>
      <c r="S684" s="294"/>
      <c r="T684" s="294"/>
      <c r="U684" s="294"/>
      <c r="V684" s="294"/>
      <c r="W684" s="294"/>
      <c r="X684" s="294"/>
      <c r="Y684" s="294"/>
      <c r="Z684" s="294"/>
      <c r="AA684" s="294"/>
      <c r="AB684" s="294"/>
    </row>
    <row r="685">
      <c r="A685" s="288"/>
      <c r="B685" s="288"/>
      <c r="C685" s="288"/>
      <c r="D685" s="288"/>
      <c r="E685" s="288"/>
      <c r="F685" s="288"/>
      <c r="G685" s="289"/>
      <c r="H685" s="288"/>
      <c r="I685" s="288"/>
      <c r="J685" s="288"/>
      <c r="K685" s="288"/>
      <c r="L685" s="288"/>
      <c r="M685" s="288"/>
      <c r="N685" s="288"/>
      <c r="O685" s="288"/>
      <c r="P685" s="294"/>
      <c r="Q685" s="294"/>
      <c r="R685" s="294"/>
      <c r="S685" s="294"/>
      <c r="T685" s="294"/>
      <c r="U685" s="294"/>
      <c r="V685" s="294"/>
      <c r="W685" s="294"/>
      <c r="X685" s="294"/>
      <c r="Y685" s="294"/>
      <c r="Z685" s="294"/>
      <c r="AA685" s="294"/>
      <c r="AB685" s="294"/>
    </row>
    <row r="686">
      <c r="A686" s="288"/>
      <c r="B686" s="288"/>
      <c r="C686" s="288"/>
      <c r="D686" s="288"/>
      <c r="E686" s="288"/>
      <c r="F686" s="288"/>
      <c r="G686" s="289"/>
      <c r="H686" s="288"/>
      <c r="I686" s="288"/>
      <c r="J686" s="288"/>
      <c r="K686" s="288"/>
      <c r="L686" s="288"/>
      <c r="M686" s="288"/>
      <c r="N686" s="288"/>
      <c r="O686" s="288"/>
      <c r="P686" s="294"/>
      <c r="Q686" s="294"/>
      <c r="R686" s="294"/>
      <c r="S686" s="294"/>
      <c r="T686" s="294"/>
      <c r="U686" s="294"/>
      <c r="V686" s="294"/>
      <c r="W686" s="294"/>
      <c r="X686" s="294"/>
      <c r="Y686" s="294"/>
      <c r="Z686" s="294"/>
      <c r="AA686" s="294"/>
      <c r="AB686" s="294"/>
    </row>
    <row r="687">
      <c r="A687" s="288"/>
      <c r="B687" s="288"/>
      <c r="C687" s="288"/>
      <c r="D687" s="288"/>
      <c r="E687" s="288"/>
      <c r="F687" s="288"/>
      <c r="G687" s="289"/>
      <c r="H687" s="288"/>
      <c r="I687" s="288"/>
      <c r="J687" s="288"/>
      <c r="K687" s="288"/>
      <c r="L687" s="288"/>
      <c r="M687" s="288"/>
      <c r="N687" s="288"/>
      <c r="O687" s="288"/>
      <c r="P687" s="294"/>
      <c r="Q687" s="294"/>
      <c r="R687" s="294"/>
      <c r="S687" s="294"/>
      <c r="T687" s="294"/>
      <c r="U687" s="294"/>
      <c r="V687" s="294"/>
      <c r="W687" s="294"/>
      <c r="X687" s="294"/>
      <c r="Y687" s="294"/>
      <c r="Z687" s="294"/>
      <c r="AA687" s="294"/>
      <c r="AB687" s="294"/>
    </row>
    <row r="688">
      <c r="A688" s="288"/>
      <c r="B688" s="288"/>
      <c r="C688" s="288"/>
      <c r="D688" s="288"/>
      <c r="E688" s="288"/>
      <c r="F688" s="288"/>
      <c r="G688" s="289"/>
      <c r="H688" s="288"/>
      <c r="I688" s="288"/>
      <c r="J688" s="288"/>
      <c r="K688" s="288"/>
      <c r="L688" s="288"/>
      <c r="M688" s="288"/>
      <c r="N688" s="288"/>
      <c r="O688" s="288"/>
      <c r="P688" s="294"/>
      <c r="Q688" s="294"/>
      <c r="R688" s="294"/>
      <c r="S688" s="294"/>
      <c r="T688" s="294"/>
      <c r="U688" s="294"/>
      <c r="V688" s="294"/>
      <c r="W688" s="294"/>
      <c r="X688" s="294"/>
      <c r="Y688" s="294"/>
      <c r="Z688" s="294"/>
      <c r="AA688" s="294"/>
      <c r="AB688" s="294"/>
    </row>
    <row r="689">
      <c r="A689" s="288"/>
      <c r="B689" s="288"/>
      <c r="C689" s="288"/>
      <c r="D689" s="288"/>
      <c r="E689" s="288"/>
      <c r="F689" s="288"/>
      <c r="G689" s="289"/>
      <c r="H689" s="288"/>
      <c r="I689" s="288"/>
      <c r="J689" s="288"/>
      <c r="K689" s="288"/>
      <c r="L689" s="288"/>
      <c r="M689" s="288"/>
      <c r="N689" s="288"/>
      <c r="O689" s="288"/>
      <c r="P689" s="294"/>
      <c r="Q689" s="294"/>
      <c r="R689" s="294"/>
      <c r="S689" s="294"/>
      <c r="T689" s="294"/>
      <c r="U689" s="294"/>
      <c r="V689" s="294"/>
      <c r="W689" s="294"/>
      <c r="X689" s="294"/>
      <c r="Y689" s="294"/>
      <c r="Z689" s="294"/>
      <c r="AA689" s="294"/>
      <c r="AB689" s="294"/>
    </row>
    <row r="690">
      <c r="A690" s="288"/>
      <c r="B690" s="288"/>
      <c r="C690" s="288"/>
      <c r="D690" s="288"/>
      <c r="E690" s="288"/>
      <c r="F690" s="288"/>
      <c r="G690" s="289"/>
      <c r="H690" s="288"/>
      <c r="I690" s="288"/>
      <c r="J690" s="288"/>
      <c r="K690" s="288"/>
      <c r="L690" s="288"/>
      <c r="M690" s="288"/>
      <c r="N690" s="288"/>
      <c r="O690" s="288"/>
      <c r="P690" s="294"/>
      <c r="Q690" s="294"/>
      <c r="R690" s="294"/>
      <c r="S690" s="294"/>
      <c r="T690" s="294"/>
      <c r="U690" s="294"/>
      <c r="V690" s="294"/>
      <c r="W690" s="294"/>
      <c r="X690" s="294"/>
      <c r="Y690" s="294"/>
      <c r="Z690" s="294"/>
      <c r="AA690" s="294"/>
      <c r="AB690" s="294"/>
    </row>
    <row r="691">
      <c r="A691" s="288"/>
      <c r="B691" s="288"/>
      <c r="C691" s="288"/>
      <c r="D691" s="288"/>
      <c r="E691" s="288"/>
      <c r="F691" s="288"/>
      <c r="G691" s="289"/>
      <c r="H691" s="288"/>
      <c r="I691" s="288"/>
      <c r="J691" s="288"/>
      <c r="K691" s="288"/>
      <c r="L691" s="288"/>
      <c r="M691" s="288"/>
      <c r="N691" s="288"/>
      <c r="O691" s="288"/>
      <c r="P691" s="294"/>
      <c r="Q691" s="294"/>
      <c r="R691" s="294"/>
      <c r="S691" s="294"/>
      <c r="T691" s="294"/>
      <c r="U691" s="294"/>
      <c r="V691" s="294"/>
      <c r="W691" s="294"/>
      <c r="X691" s="294"/>
      <c r="Y691" s="294"/>
      <c r="Z691" s="294"/>
      <c r="AA691" s="294"/>
      <c r="AB691" s="294"/>
    </row>
    <row r="692">
      <c r="A692" s="288"/>
      <c r="B692" s="288"/>
      <c r="C692" s="288"/>
      <c r="D692" s="288"/>
      <c r="E692" s="288"/>
      <c r="F692" s="288"/>
      <c r="G692" s="289"/>
      <c r="H692" s="288"/>
      <c r="I692" s="288"/>
      <c r="J692" s="288"/>
      <c r="K692" s="288"/>
      <c r="L692" s="288"/>
      <c r="M692" s="288"/>
      <c r="N692" s="288"/>
      <c r="O692" s="288"/>
      <c r="P692" s="294"/>
      <c r="Q692" s="294"/>
      <c r="R692" s="294"/>
      <c r="S692" s="294"/>
      <c r="T692" s="294"/>
      <c r="U692" s="294"/>
      <c r="V692" s="294"/>
      <c r="W692" s="294"/>
      <c r="X692" s="294"/>
      <c r="Y692" s="294"/>
      <c r="Z692" s="294"/>
      <c r="AA692" s="294"/>
      <c r="AB692" s="294"/>
    </row>
    <row r="693">
      <c r="A693" s="288"/>
      <c r="B693" s="288"/>
      <c r="C693" s="288"/>
      <c r="D693" s="288"/>
      <c r="E693" s="288"/>
      <c r="F693" s="288"/>
      <c r="G693" s="289"/>
      <c r="H693" s="288"/>
      <c r="I693" s="288"/>
      <c r="J693" s="288"/>
      <c r="K693" s="288"/>
      <c r="L693" s="288"/>
      <c r="M693" s="288"/>
      <c r="N693" s="288"/>
      <c r="O693" s="288"/>
      <c r="P693" s="294"/>
      <c r="Q693" s="294"/>
      <c r="R693" s="294"/>
      <c r="S693" s="294"/>
      <c r="T693" s="294"/>
      <c r="U693" s="294"/>
      <c r="V693" s="294"/>
      <c r="W693" s="294"/>
      <c r="X693" s="294"/>
      <c r="Y693" s="294"/>
      <c r="Z693" s="294"/>
      <c r="AA693" s="294"/>
      <c r="AB693" s="294"/>
    </row>
    <row r="694">
      <c r="A694" s="288"/>
      <c r="B694" s="288"/>
      <c r="C694" s="288"/>
      <c r="D694" s="288"/>
      <c r="E694" s="288"/>
      <c r="F694" s="288"/>
      <c r="G694" s="289"/>
      <c r="H694" s="288"/>
      <c r="I694" s="288"/>
      <c r="J694" s="288"/>
      <c r="K694" s="288"/>
      <c r="L694" s="288"/>
      <c r="M694" s="288"/>
      <c r="N694" s="288"/>
      <c r="O694" s="288"/>
      <c r="P694" s="294"/>
      <c r="Q694" s="294"/>
      <c r="R694" s="294"/>
      <c r="S694" s="294"/>
      <c r="T694" s="294"/>
      <c r="U694" s="294"/>
      <c r="V694" s="294"/>
      <c r="W694" s="294"/>
      <c r="X694" s="294"/>
      <c r="Y694" s="294"/>
      <c r="Z694" s="294"/>
      <c r="AA694" s="294"/>
      <c r="AB694" s="294"/>
    </row>
    <row r="695">
      <c r="A695" s="288"/>
      <c r="B695" s="288"/>
      <c r="C695" s="288"/>
      <c r="D695" s="288"/>
      <c r="E695" s="288"/>
      <c r="F695" s="288"/>
      <c r="G695" s="289"/>
      <c r="H695" s="288"/>
      <c r="I695" s="288"/>
      <c r="J695" s="288"/>
      <c r="K695" s="288"/>
      <c r="L695" s="288"/>
      <c r="M695" s="288"/>
      <c r="N695" s="288"/>
      <c r="O695" s="288"/>
      <c r="P695" s="294"/>
      <c r="Q695" s="294"/>
      <c r="R695" s="294"/>
      <c r="S695" s="294"/>
      <c r="T695" s="294"/>
      <c r="U695" s="294"/>
      <c r="V695" s="294"/>
      <c r="W695" s="294"/>
      <c r="X695" s="294"/>
      <c r="Y695" s="294"/>
      <c r="Z695" s="294"/>
      <c r="AA695" s="294"/>
      <c r="AB695" s="294"/>
    </row>
    <row r="696">
      <c r="A696" s="288"/>
      <c r="B696" s="288"/>
      <c r="C696" s="288"/>
      <c r="D696" s="288"/>
      <c r="E696" s="288"/>
      <c r="F696" s="288"/>
      <c r="G696" s="289"/>
      <c r="H696" s="288"/>
      <c r="I696" s="288"/>
      <c r="J696" s="288"/>
      <c r="K696" s="288"/>
      <c r="L696" s="288"/>
      <c r="M696" s="288"/>
      <c r="N696" s="288"/>
      <c r="O696" s="288"/>
      <c r="P696" s="294"/>
      <c r="Q696" s="294"/>
      <c r="R696" s="294"/>
      <c r="S696" s="294"/>
      <c r="T696" s="294"/>
      <c r="U696" s="294"/>
      <c r="V696" s="294"/>
      <c r="W696" s="294"/>
      <c r="X696" s="294"/>
      <c r="Y696" s="294"/>
      <c r="Z696" s="294"/>
      <c r="AA696" s="294"/>
      <c r="AB696" s="294"/>
    </row>
    <row r="697">
      <c r="A697" s="288"/>
      <c r="B697" s="288"/>
      <c r="C697" s="288"/>
      <c r="D697" s="288"/>
      <c r="E697" s="288"/>
      <c r="F697" s="288"/>
      <c r="G697" s="289"/>
      <c r="H697" s="288"/>
      <c r="I697" s="288"/>
      <c r="J697" s="288"/>
      <c r="K697" s="288"/>
      <c r="L697" s="288"/>
      <c r="M697" s="288"/>
      <c r="N697" s="288"/>
      <c r="O697" s="288"/>
      <c r="P697" s="294"/>
      <c r="Q697" s="294"/>
      <c r="R697" s="294"/>
      <c r="S697" s="294"/>
      <c r="T697" s="294"/>
      <c r="U697" s="294"/>
      <c r="V697" s="294"/>
      <c r="W697" s="294"/>
      <c r="X697" s="294"/>
      <c r="Y697" s="294"/>
      <c r="Z697" s="294"/>
      <c r="AA697" s="294"/>
      <c r="AB697" s="294"/>
    </row>
    <row r="698">
      <c r="A698" s="288"/>
      <c r="B698" s="288"/>
      <c r="C698" s="288"/>
      <c r="D698" s="288"/>
      <c r="E698" s="288"/>
      <c r="F698" s="288"/>
      <c r="G698" s="289"/>
      <c r="H698" s="288"/>
      <c r="I698" s="288"/>
      <c r="J698" s="288"/>
      <c r="K698" s="288"/>
      <c r="L698" s="288"/>
      <c r="M698" s="288"/>
      <c r="N698" s="288"/>
      <c r="O698" s="288"/>
      <c r="P698" s="294"/>
      <c r="Q698" s="294"/>
      <c r="R698" s="294"/>
      <c r="S698" s="294"/>
      <c r="T698" s="294"/>
      <c r="U698" s="294"/>
      <c r="V698" s="294"/>
      <c r="W698" s="294"/>
      <c r="X698" s="294"/>
      <c r="Y698" s="294"/>
      <c r="Z698" s="294"/>
      <c r="AA698" s="294"/>
      <c r="AB698" s="294"/>
    </row>
    <row r="699">
      <c r="A699" s="288"/>
      <c r="B699" s="288"/>
      <c r="C699" s="288"/>
      <c r="D699" s="288"/>
      <c r="E699" s="288"/>
      <c r="F699" s="288"/>
      <c r="G699" s="289"/>
      <c r="H699" s="288"/>
      <c r="I699" s="288"/>
      <c r="J699" s="288"/>
      <c r="K699" s="288"/>
      <c r="L699" s="288"/>
      <c r="M699" s="288"/>
      <c r="N699" s="288"/>
      <c r="O699" s="288"/>
      <c r="P699" s="294"/>
      <c r="Q699" s="294"/>
      <c r="R699" s="294"/>
      <c r="S699" s="294"/>
      <c r="T699" s="294"/>
      <c r="U699" s="294"/>
      <c r="V699" s="294"/>
      <c r="W699" s="294"/>
      <c r="X699" s="294"/>
      <c r="Y699" s="294"/>
      <c r="Z699" s="294"/>
      <c r="AA699" s="294"/>
      <c r="AB699" s="294"/>
    </row>
    <row r="700">
      <c r="A700" s="288"/>
      <c r="B700" s="288"/>
      <c r="C700" s="288"/>
      <c r="D700" s="288"/>
      <c r="E700" s="288"/>
      <c r="F700" s="288"/>
      <c r="G700" s="289"/>
      <c r="H700" s="288"/>
      <c r="I700" s="288"/>
      <c r="J700" s="288"/>
      <c r="K700" s="288"/>
      <c r="L700" s="288"/>
      <c r="M700" s="288"/>
      <c r="N700" s="288"/>
      <c r="O700" s="288"/>
      <c r="P700" s="294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  <c r="AA700" s="294"/>
      <c r="AB700" s="294"/>
    </row>
    <row r="701">
      <c r="A701" s="288"/>
      <c r="B701" s="288"/>
      <c r="C701" s="288"/>
      <c r="D701" s="288"/>
      <c r="E701" s="288"/>
      <c r="F701" s="288"/>
      <c r="G701" s="289"/>
      <c r="H701" s="288"/>
      <c r="I701" s="288"/>
      <c r="J701" s="288"/>
      <c r="K701" s="288"/>
      <c r="L701" s="288"/>
      <c r="M701" s="288"/>
      <c r="N701" s="288"/>
      <c r="O701" s="288"/>
      <c r="P701" s="294"/>
      <c r="Q701" s="294"/>
      <c r="R701" s="294"/>
      <c r="S701" s="294"/>
      <c r="T701" s="294"/>
      <c r="U701" s="294"/>
      <c r="V701" s="294"/>
      <c r="W701" s="294"/>
      <c r="X701" s="294"/>
      <c r="Y701" s="294"/>
      <c r="Z701" s="294"/>
      <c r="AA701" s="294"/>
      <c r="AB701" s="294"/>
    </row>
    <row r="702">
      <c r="A702" s="288"/>
      <c r="B702" s="288"/>
      <c r="C702" s="288"/>
      <c r="D702" s="288"/>
      <c r="E702" s="288"/>
      <c r="F702" s="288"/>
      <c r="G702" s="289"/>
      <c r="H702" s="288"/>
      <c r="I702" s="288"/>
      <c r="J702" s="288"/>
      <c r="K702" s="288"/>
      <c r="L702" s="288"/>
      <c r="M702" s="288"/>
      <c r="N702" s="288"/>
      <c r="O702" s="288"/>
      <c r="P702" s="294"/>
      <c r="Q702" s="294"/>
      <c r="R702" s="294"/>
      <c r="S702" s="294"/>
      <c r="T702" s="294"/>
      <c r="U702" s="294"/>
      <c r="V702" s="294"/>
      <c r="W702" s="294"/>
      <c r="X702" s="294"/>
      <c r="Y702" s="294"/>
      <c r="Z702" s="294"/>
      <c r="AA702" s="294"/>
      <c r="AB702" s="294"/>
    </row>
    <row r="703">
      <c r="A703" s="288"/>
      <c r="B703" s="288"/>
      <c r="C703" s="288"/>
      <c r="D703" s="288"/>
      <c r="E703" s="288"/>
      <c r="F703" s="288"/>
      <c r="G703" s="289"/>
      <c r="H703" s="288"/>
      <c r="I703" s="288"/>
      <c r="J703" s="288"/>
      <c r="K703" s="288"/>
      <c r="L703" s="288"/>
      <c r="M703" s="288"/>
      <c r="N703" s="288"/>
      <c r="O703" s="288"/>
      <c r="P703" s="294"/>
      <c r="Q703" s="294"/>
      <c r="R703" s="294"/>
      <c r="S703" s="294"/>
      <c r="T703" s="294"/>
      <c r="U703" s="294"/>
      <c r="V703" s="294"/>
      <c r="W703" s="294"/>
      <c r="X703" s="294"/>
      <c r="Y703" s="294"/>
      <c r="Z703" s="294"/>
      <c r="AA703" s="294"/>
      <c r="AB703" s="294"/>
    </row>
    <row r="704">
      <c r="A704" s="288"/>
      <c r="B704" s="288"/>
      <c r="C704" s="288"/>
      <c r="D704" s="288"/>
      <c r="E704" s="288"/>
      <c r="F704" s="288"/>
      <c r="G704" s="289"/>
      <c r="H704" s="288"/>
      <c r="I704" s="288"/>
      <c r="J704" s="288"/>
      <c r="K704" s="288"/>
      <c r="L704" s="288"/>
      <c r="M704" s="288"/>
      <c r="N704" s="288"/>
      <c r="O704" s="288"/>
      <c r="P704" s="294"/>
      <c r="Q704" s="294"/>
      <c r="R704" s="294"/>
      <c r="S704" s="294"/>
      <c r="T704" s="294"/>
      <c r="U704" s="294"/>
      <c r="V704" s="294"/>
      <c r="W704" s="294"/>
      <c r="X704" s="294"/>
      <c r="Y704" s="294"/>
      <c r="Z704" s="294"/>
      <c r="AA704" s="294"/>
      <c r="AB704" s="294"/>
    </row>
    <row r="705">
      <c r="A705" s="288"/>
      <c r="B705" s="288"/>
      <c r="C705" s="288"/>
      <c r="D705" s="288"/>
      <c r="E705" s="288"/>
      <c r="F705" s="288"/>
      <c r="G705" s="289"/>
      <c r="H705" s="288"/>
      <c r="I705" s="288"/>
      <c r="J705" s="288"/>
      <c r="K705" s="288"/>
      <c r="L705" s="288"/>
      <c r="M705" s="288"/>
      <c r="N705" s="288"/>
      <c r="O705" s="288"/>
      <c r="P705" s="294"/>
      <c r="Q705" s="294"/>
      <c r="R705" s="294"/>
      <c r="S705" s="294"/>
      <c r="T705" s="294"/>
      <c r="U705" s="294"/>
      <c r="V705" s="294"/>
      <c r="W705" s="294"/>
      <c r="X705" s="294"/>
      <c r="Y705" s="294"/>
      <c r="Z705" s="294"/>
      <c r="AA705" s="294"/>
      <c r="AB705" s="294"/>
    </row>
    <row r="706">
      <c r="A706" s="288"/>
      <c r="B706" s="288"/>
      <c r="C706" s="288"/>
      <c r="D706" s="288"/>
      <c r="E706" s="288"/>
      <c r="F706" s="288"/>
      <c r="G706" s="289"/>
      <c r="H706" s="288"/>
      <c r="I706" s="288"/>
      <c r="J706" s="288"/>
      <c r="K706" s="288"/>
      <c r="L706" s="288"/>
      <c r="M706" s="288"/>
      <c r="N706" s="288"/>
      <c r="O706" s="288"/>
      <c r="P706" s="294"/>
      <c r="Q706" s="294"/>
      <c r="R706" s="294"/>
      <c r="S706" s="294"/>
      <c r="T706" s="294"/>
      <c r="U706" s="294"/>
      <c r="V706" s="294"/>
      <c r="W706" s="294"/>
      <c r="X706" s="294"/>
      <c r="Y706" s="294"/>
      <c r="Z706" s="294"/>
      <c r="AA706" s="294"/>
      <c r="AB706" s="294"/>
    </row>
    <row r="707">
      <c r="A707" s="288"/>
      <c r="B707" s="288"/>
      <c r="C707" s="288"/>
      <c r="D707" s="288"/>
      <c r="E707" s="288"/>
      <c r="F707" s="288"/>
      <c r="G707" s="289"/>
      <c r="H707" s="288"/>
      <c r="I707" s="288"/>
      <c r="J707" s="288"/>
      <c r="K707" s="288"/>
      <c r="L707" s="288"/>
      <c r="M707" s="288"/>
      <c r="N707" s="288"/>
      <c r="O707" s="288"/>
      <c r="P707" s="294"/>
      <c r="Q707" s="294"/>
      <c r="R707" s="294"/>
      <c r="S707" s="294"/>
      <c r="T707" s="294"/>
      <c r="U707" s="294"/>
      <c r="V707" s="294"/>
      <c r="W707" s="294"/>
      <c r="X707" s="294"/>
      <c r="Y707" s="294"/>
      <c r="Z707" s="294"/>
      <c r="AA707" s="294"/>
      <c r="AB707" s="294"/>
    </row>
    <row r="708">
      <c r="A708" s="288"/>
      <c r="B708" s="288"/>
      <c r="C708" s="288"/>
      <c r="D708" s="288"/>
      <c r="E708" s="288"/>
      <c r="F708" s="288"/>
      <c r="G708" s="289"/>
      <c r="H708" s="288"/>
      <c r="I708" s="288"/>
      <c r="J708" s="288"/>
      <c r="K708" s="288"/>
      <c r="L708" s="288"/>
      <c r="M708" s="288"/>
      <c r="N708" s="288"/>
      <c r="O708" s="288"/>
      <c r="P708" s="294"/>
      <c r="Q708" s="294"/>
      <c r="R708" s="294"/>
      <c r="S708" s="294"/>
      <c r="T708" s="294"/>
      <c r="U708" s="294"/>
      <c r="V708" s="294"/>
      <c r="W708" s="294"/>
      <c r="X708" s="294"/>
      <c r="Y708" s="294"/>
      <c r="Z708" s="294"/>
      <c r="AA708" s="294"/>
      <c r="AB708" s="294"/>
    </row>
    <row r="709">
      <c r="A709" s="288"/>
      <c r="B709" s="288"/>
      <c r="C709" s="288"/>
      <c r="D709" s="288"/>
      <c r="E709" s="288"/>
      <c r="F709" s="288"/>
      <c r="G709" s="289"/>
      <c r="H709" s="288"/>
      <c r="I709" s="288"/>
      <c r="J709" s="288"/>
      <c r="K709" s="288"/>
      <c r="L709" s="288"/>
      <c r="M709" s="288"/>
      <c r="N709" s="288"/>
      <c r="O709" s="288"/>
      <c r="P709" s="294"/>
      <c r="Q709" s="294"/>
      <c r="R709" s="294"/>
      <c r="S709" s="294"/>
      <c r="T709" s="294"/>
      <c r="U709" s="294"/>
      <c r="V709" s="294"/>
      <c r="W709" s="294"/>
      <c r="X709" s="294"/>
      <c r="Y709" s="294"/>
      <c r="Z709" s="294"/>
      <c r="AA709" s="294"/>
      <c r="AB709" s="294"/>
    </row>
    <row r="710">
      <c r="A710" s="288"/>
      <c r="B710" s="288"/>
      <c r="C710" s="288"/>
      <c r="D710" s="288"/>
      <c r="E710" s="288"/>
      <c r="F710" s="288"/>
      <c r="G710" s="289"/>
      <c r="H710" s="288"/>
      <c r="I710" s="288"/>
      <c r="J710" s="288"/>
      <c r="K710" s="288"/>
      <c r="L710" s="288"/>
      <c r="M710" s="288"/>
      <c r="N710" s="288"/>
      <c r="O710" s="288"/>
      <c r="P710" s="294"/>
      <c r="Q710" s="294"/>
      <c r="R710" s="294"/>
      <c r="S710" s="294"/>
      <c r="T710" s="294"/>
      <c r="U710" s="294"/>
      <c r="V710" s="294"/>
      <c r="W710" s="294"/>
      <c r="X710" s="294"/>
      <c r="Y710" s="294"/>
      <c r="Z710" s="294"/>
      <c r="AA710" s="294"/>
      <c r="AB710" s="294"/>
    </row>
    <row r="711">
      <c r="A711" s="288"/>
      <c r="B711" s="288"/>
      <c r="C711" s="288"/>
      <c r="D711" s="288"/>
      <c r="E711" s="288"/>
      <c r="F711" s="288"/>
      <c r="G711" s="289"/>
      <c r="H711" s="288"/>
      <c r="I711" s="288"/>
      <c r="J711" s="288"/>
      <c r="K711" s="288"/>
      <c r="L711" s="288"/>
      <c r="M711" s="288"/>
      <c r="N711" s="288"/>
      <c r="O711" s="288"/>
      <c r="P711" s="294"/>
      <c r="Q711" s="294"/>
      <c r="R711" s="294"/>
      <c r="S711" s="294"/>
      <c r="T711" s="294"/>
      <c r="U711" s="294"/>
      <c r="V711" s="294"/>
      <c r="W711" s="294"/>
      <c r="X711" s="294"/>
      <c r="Y711" s="294"/>
      <c r="Z711" s="294"/>
      <c r="AA711" s="294"/>
      <c r="AB711" s="294"/>
    </row>
    <row r="712">
      <c r="A712" s="288"/>
      <c r="B712" s="288"/>
      <c r="C712" s="288"/>
      <c r="D712" s="288"/>
      <c r="E712" s="288"/>
      <c r="F712" s="288"/>
      <c r="G712" s="289"/>
      <c r="H712" s="288"/>
      <c r="I712" s="288"/>
      <c r="J712" s="288"/>
      <c r="K712" s="288"/>
      <c r="L712" s="288"/>
      <c r="M712" s="288"/>
      <c r="N712" s="288"/>
      <c r="O712" s="288"/>
      <c r="P712" s="294"/>
      <c r="Q712" s="294"/>
      <c r="R712" s="294"/>
      <c r="S712" s="294"/>
      <c r="T712" s="294"/>
      <c r="U712" s="294"/>
      <c r="V712" s="294"/>
      <c r="W712" s="294"/>
      <c r="X712" s="294"/>
      <c r="Y712" s="294"/>
      <c r="Z712" s="294"/>
      <c r="AA712" s="294"/>
      <c r="AB712" s="294"/>
    </row>
    <row r="713">
      <c r="A713" s="288"/>
      <c r="B713" s="288"/>
      <c r="C713" s="288"/>
      <c r="D713" s="288"/>
      <c r="E713" s="288"/>
      <c r="F713" s="288"/>
      <c r="G713" s="289"/>
      <c r="H713" s="288"/>
      <c r="I713" s="288"/>
      <c r="J713" s="288"/>
      <c r="K713" s="288"/>
      <c r="L713" s="288"/>
      <c r="M713" s="288"/>
      <c r="N713" s="288"/>
      <c r="O713" s="288"/>
      <c r="P713" s="294"/>
      <c r="Q713" s="294"/>
      <c r="R713" s="294"/>
      <c r="S713" s="294"/>
      <c r="T713" s="294"/>
      <c r="U713" s="294"/>
      <c r="V713" s="294"/>
      <c r="W713" s="294"/>
      <c r="X713" s="294"/>
      <c r="Y713" s="294"/>
      <c r="Z713" s="294"/>
      <c r="AA713" s="294"/>
      <c r="AB713" s="294"/>
    </row>
    <row r="714">
      <c r="A714" s="288"/>
      <c r="B714" s="288"/>
      <c r="C714" s="288"/>
      <c r="D714" s="288"/>
      <c r="E714" s="288"/>
      <c r="F714" s="288"/>
      <c r="G714" s="289"/>
      <c r="H714" s="288"/>
      <c r="I714" s="288"/>
      <c r="J714" s="288"/>
      <c r="K714" s="288"/>
      <c r="L714" s="288"/>
      <c r="M714" s="288"/>
      <c r="N714" s="288"/>
      <c r="O714" s="288"/>
      <c r="P714" s="294"/>
      <c r="Q714" s="294"/>
      <c r="R714" s="294"/>
      <c r="S714" s="294"/>
      <c r="T714" s="294"/>
      <c r="U714" s="294"/>
      <c r="V714" s="294"/>
      <c r="W714" s="294"/>
      <c r="X714" s="294"/>
      <c r="Y714" s="294"/>
      <c r="Z714" s="294"/>
      <c r="AA714" s="294"/>
      <c r="AB714" s="294"/>
    </row>
    <row r="715">
      <c r="A715" s="288"/>
      <c r="B715" s="288"/>
      <c r="C715" s="288"/>
      <c r="D715" s="288"/>
      <c r="E715" s="288"/>
      <c r="F715" s="288"/>
      <c r="G715" s="289"/>
      <c r="H715" s="288"/>
      <c r="I715" s="288"/>
      <c r="J715" s="288"/>
      <c r="K715" s="288"/>
      <c r="L715" s="288"/>
      <c r="M715" s="288"/>
      <c r="N715" s="288"/>
      <c r="O715" s="288"/>
      <c r="P715" s="294"/>
      <c r="Q715" s="294"/>
      <c r="R715" s="294"/>
      <c r="S715" s="294"/>
      <c r="T715" s="294"/>
      <c r="U715" s="294"/>
      <c r="V715" s="294"/>
      <c r="W715" s="294"/>
      <c r="X715" s="294"/>
      <c r="Y715" s="294"/>
      <c r="Z715" s="294"/>
      <c r="AA715" s="294"/>
      <c r="AB715" s="294"/>
    </row>
    <row r="716">
      <c r="A716" s="288"/>
      <c r="B716" s="288"/>
      <c r="C716" s="288"/>
      <c r="D716" s="288"/>
      <c r="E716" s="288"/>
      <c r="F716" s="288"/>
      <c r="G716" s="289"/>
      <c r="H716" s="288"/>
      <c r="I716" s="288"/>
      <c r="J716" s="288"/>
      <c r="K716" s="288"/>
      <c r="L716" s="288"/>
      <c r="M716" s="288"/>
      <c r="N716" s="288"/>
      <c r="O716" s="288"/>
      <c r="P716" s="294"/>
      <c r="Q716" s="294"/>
      <c r="R716" s="294"/>
      <c r="S716" s="294"/>
      <c r="T716" s="294"/>
      <c r="U716" s="294"/>
      <c r="V716" s="294"/>
      <c r="W716" s="294"/>
      <c r="X716" s="294"/>
      <c r="Y716" s="294"/>
      <c r="Z716" s="294"/>
      <c r="AA716" s="294"/>
      <c r="AB716" s="294"/>
    </row>
    <row r="717">
      <c r="A717" s="288"/>
      <c r="B717" s="288"/>
      <c r="C717" s="288"/>
      <c r="D717" s="288"/>
      <c r="E717" s="288"/>
      <c r="F717" s="288"/>
      <c r="G717" s="289"/>
      <c r="H717" s="288"/>
      <c r="I717" s="288"/>
      <c r="J717" s="288"/>
      <c r="K717" s="288"/>
      <c r="L717" s="288"/>
      <c r="M717" s="288"/>
      <c r="N717" s="288"/>
      <c r="O717" s="288"/>
      <c r="P717" s="294"/>
      <c r="Q717" s="294"/>
      <c r="R717" s="294"/>
      <c r="S717" s="294"/>
      <c r="T717" s="294"/>
      <c r="U717" s="294"/>
      <c r="V717" s="294"/>
      <c r="W717" s="294"/>
      <c r="X717" s="294"/>
      <c r="Y717" s="294"/>
      <c r="Z717" s="294"/>
      <c r="AA717" s="294"/>
      <c r="AB717" s="294"/>
    </row>
    <row r="718">
      <c r="A718" s="288"/>
      <c r="B718" s="288"/>
      <c r="C718" s="288"/>
      <c r="D718" s="288"/>
      <c r="E718" s="288"/>
      <c r="F718" s="288"/>
      <c r="G718" s="289"/>
      <c r="H718" s="288"/>
      <c r="I718" s="288"/>
      <c r="J718" s="288"/>
      <c r="K718" s="288"/>
      <c r="L718" s="288"/>
      <c r="M718" s="288"/>
      <c r="N718" s="288"/>
      <c r="O718" s="288"/>
      <c r="P718" s="294"/>
      <c r="Q718" s="294"/>
      <c r="R718" s="294"/>
      <c r="S718" s="294"/>
      <c r="T718" s="294"/>
      <c r="U718" s="294"/>
      <c r="V718" s="294"/>
      <c r="W718" s="294"/>
      <c r="X718" s="294"/>
      <c r="Y718" s="294"/>
      <c r="Z718" s="294"/>
      <c r="AA718" s="294"/>
      <c r="AB718" s="294"/>
    </row>
    <row r="719">
      <c r="A719" s="288"/>
      <c r="B719" s="288"/>
      <c r="C719" s="288"/>
      <c r="D719" s="288"/>
      <c r="E719" s="288"/>
      <c r="F719" s="288"/>
      <c r="G719" s="289"/>
      <c r="H719" s="288"/>
      <c r="I719" s="288"/>
      <c r="J719" s="288"/>
      <c r="K719" s="288"/>
      <c r="L719" s="288"/>
      <c r="M719" s="288"/>
      <c r="N719" s="288"/>
      <c r="O719" s="288"/>
      <c r="P719" s="294"/>
      <c r="Q719" s="294"/>
      <c r="R719" s="294"/>
      <c r="S719" s="294"/>
      <c r="T719" s="294"/>
      <c r="U719" s="294"/>
      <c r="V719" s="294"/>
      <c r="W719" s="294"/>
      <c r="X719" s="294"/>
      <c r="Y719" s="294"/>
      <c r="Z719" s="294"/>
      <c r="AA719" s="294"/>
      <c r="AB719" s="294"/>
    </row>
    <row r="720">
      <c r="A720" s="288"/>
      <c r="B720" s="288"/>
      <c r="C720" s="288"/>
      <c r="D720" s="288"/>
      <c r="E720" s="288"/>
      <c r="F720" s="288"/>
      <c r="G720" s="289"/>
      <c r="H720" s="288"/>
      <c r="I720" s="288"/>
      <c r="J720" s="288"/>
      <c r="K720" s="288"/>
      <c r="L720" s="288"/>
      <c r="M720" s="288"/>
      <c r="N720" s="288"/>
      <c r="O720" s="288"/>
      <c r="P720" s="294"/>
      <c r="Q720" s="294"/>
      <c r="R720" s="294"/>
      <c r="S720" s="294"/>
      <c r="T720" s="294"/>
      <c r="U720" s="294"/>
      <c r="V720" s="294"/>
      <c r="W720" s="294"/>
      <c r="X720" s="294"/>
      <c r="Y720" s="294"/>
      <c r="Z720" s="294"/>
      <c r="AA720" s="294"/>
      <c r="AB720" s="294"/>
    </row>
    <row r="721">
      <c r="A721" s="288"/>
      <c r="B721" s="288"/>
      <c r="C721" s="288"/>
      <c r="D721" s="288"/>
      <c r="E721" s="288"/>
      <c r="F721" s="288"/>
      <c r="G721" s="289"/>
      <c r="H721" s="288"/>
      <c r="I721" s="288"/>
      <c r="J721" s="288"/>
      <c r="K721" s="288"/>
      <c r="L721" s="288"/>
      <c r="M721" s="288"/>
      <c r="N721" s="288"/>
      <c r="O721" s="288"/>
      <c r="P721" s="294"/>
      <c r="Q721" s="294"/>
      <c r="R721" s="294"/>
      <c r="S721" s="294"/>
      <c r="T721" s="294"/>
      <c r="U721" s="294"/>
      <c r="V721" s="294"/>
      <c r="W721" s="294"/>
      <c r="X721" s="294"/>
      <c r="Y721" s="294"/>
      <c r="Z721" s="294"/>
      <c r="AA721" s="294"/>
      <c r="AB721" s="294"/>
    </row>
    <row r="722">
      <c r="A722" s="288"/>
      <c r="B722" s="288"/>
      <c r="C722" s="288"/>
      <c r="D722" s="288"/>
      <c r="E722" s="288"/>
      <c r="F722" s="288"/>
      <c r="G722" s="289"/>
      <c r="H722" s="288"/>
      <c r="I722" s="288"/>
      <c r="J722" s="288"/>
      <c r="K722" s="288"/>
      <c r="L722" s="288"/>
      <c r="M722" s="288"/>
      <c r="N722" s="288"/>
      <c r="O722" s="288"/>
      <c r="P722" s="294"/>
      <c r="Q722" s="294"/>
      <c r="R722" s="294"/>
      <c r="S722" s="294"/>
      <c r="T722" s="294"/>
      <c r="U722" s="294"/>
      <c r="V722" s="294"/>
      <c r="W722" s="294"/>
      <c r="X722" s="294"/>
      <c r="Y722" s="294"/>
      <c r="Z722" s="294"/>
      <c r="AA722" s="294"/>
      <c r="AB722" s="294"/>
    </row>
    <row r="723">
      <c r="A723" s="288"/>
      <c r="B723" s="288"/>
      <c r="C723" s="288"/>
      <c r="D723" s="288"/>
      <c r="E723" s="288"/>
      <c r="F723" s="288"/>
      <c r="G723" s="289"/>
      <c r="H723" s="288"/>
      <c r="I723" s="288"/>
      <c r="J723" s="288"/>
      <c r="K723" s="288"/>
      <c r="L723" s="288"/>
      <c r="M723" s="288"/>
      <c r="N723" s="288"/>
      <c r="O723" s="288"/>
      <c r="P723" s="294"/>
      <c r="Q723" s="294"/>
      <c r="R723" s="294"/>
      <c r="S723" s="294"/>
      <c r="T723" s="294"/>
      <c r="U723" s="294"/>
      <c r="V723" s="294"/>
      <c r="W723" s="294"/>
      <c r="X723" s="294"/>
      <c r="Y723" s="294"/>
      <c r="Z723" s="294"/>
      <c r="AA723" s="294"/>
      <c r="AB723" s="294"/>
    </row>
    <row r="724">
      <c r="A724" s="288"/>
      <c r="B724" s="288"/>
      <c r="C724" s="288"/>
      <c r="D724" s="288"/>
      <c r="E724" s="288"/>
      <c r="F724" s="288"/>
      <c r="G724" s="289"/>
      <c r="H724" s="288"/>
      <c r="I724" s="288"/>
      <c r="J724" s="288"/>
      <c r="K724" s="288"/>
      <c r="L724" s="288"/>
      <c r="M724" s="288"/>
      <c r="N724" s="288"/>
      <c r="O724" s="288"/>
      <c r="P724" s="294"/>
      <c r="Q724" s="294"/>
      <c r="R724" s="294"/>
      <c r="S724" s="294"/>
      <c r="T724" s="294"/>
      <c r="U724" s="294"/>
      <c r="V724" s="294"/>
      <c r="W724" s="294"/>
      <c r="X724" s="294"/>
      <c r="Y724" s="294"/>
      <c r="Z724" s="294"/>
      <c r="AA724" s="294"/>
      <c r="AB724" s="294"/>
    </row>
    <row r="725">
      <c r="A725" s="288"/>
      <c r="B725" s="288"/>
      <c r="C725" s="288"/>
      <c r="D725" s="288"/>
      <c r="E725" s="288"/>
      <c r="F725" s="288"/>
      <c r="G725" s="289"/>
      <c r="H725" s="288"/>
      <c r="I725" s="288"/>
      <c r="J725" s="288"/>
      <c r="K725" s="288"/>
      <c r="L725" s="288"/>
      <c r="M725" s="288"/>
      <c r="N725" s="288"/>
      <c r="O725" s="288"/>
      <c r="P725" s="294"/>
      <c r="Q725" s="294"/>
      <c r="R725" s="294"/>
      <c r="S725" s="294"/>
      <c r="T725" s="294"/>
      <c r="U725" s="294"/>
      <c r="V725" s="294"/>
      <c r="W725" s="294"/>
      <c r="X725" s="294"/>
      <c r="Y725" s="294"/>
      <c r="Z725" s="294"/>
      <c r="AA725" s="294"/>
      <c r="AB725" s="294"/>
    </row>
    <row r="726">
      <c r="A726" s="288"/>
      <c r="B726" s="288"/>
      <c r="C726" s="288"/>
      <c r="D726" s="288"/>
      <c r="E726" s="288"/>
      <c r="F726" s="288"/>
      <c r="G726" s="289"/>
      <c r="H726" s="288"/>
      <c r="I726" s="288"/>
      <c r="J726" s="288"/>
      <c r="K726" s="288"/>
      <c r="L726" s="288"/>
      <c r="M726" s="288"/>
      <c r="N726" s="288"/>
      <c r="O726" s="288"/>
      <c r="P726" s="294"/>
      <c r="Q726" s="294"/>
      <c r="R726" s="294"/>
      <c r="S726" s="294"/>
      <c r="T726" s="294"/>
      <c r="U726" s="294"/>
      <c r="V726" s="294"/>
      <c r="W726" s="294"/>
      <c r="X726" s="294"/>
      <c r="Y726" s="294"/>
      <c r="Z726" s="294"/>
      <c r="AA726" s="294"/>
      <c r="AB726" s="294"/>
    </row>
    <row r="727">
      <c r="A727" s="288"/>
      <c r="B727" s="288"/>
      <c r="C727" s="288"/>
      <c r="D727" s="288"/>
      <c r="E727" s="288"/>
      <c r="F727" s="288"/>
      <c r="G727" s="289"/>
      <c r="H727" s="288"/>
      <c r="I727" s="288"/>
      <c r="J727" s="288"/>
      <c r="K727" s="288"/>
      <c r="L727" s="288"/>
      <c r="M727" s="288"/>
      <c r="N727" s="288"/>
      <c r="O727" s="288"/>
      <c r="P727" s="294"/>
      <c r="Q727" s="294"/>
      <c r="R727" s="294"/>
      <c r="S727" s="294"/>
      <c r="T727" s="294"/>
      <c r="U727" s="294"/>
      <c r="V727" s="294"/>
      <c r="W727" s="294"/>
      <c r="X727" s="294"/>
      <c r="Y727" s="294"/>
      <c r="Z727" s="294"/>
      <c r="AA727" s="294"/>
      <c r="AB727" s="294"/>
    </row>
    <row r="728">
      <c r="A728" s="288"/>
      <c r="B728" s="288"/>
      <c r="C728" s="288"/>
      <c r="D728" s="288"/>
      <c r="E728" s="288"/>
      <c r="F728" s="288"/>
      <c r="G728" s="289"/>
      <c r="H728" s="288"/>
      <c r="I728" s="288"/>
      <c r="J728" s="288"/>
      <c r="K728" s="288"/>
      <c r="L728" s="288"/>
      <c r="M728" s="288"/>
      <c r="N728" s="288"/>
      <c r="O728" s="288"/>
      <c r="P728" s="294"/>
      <c r="Q728" s="294"/>
      <c r="R728" s="294"/>
      <c r="S728" s="294"/>
      <c r="T728" s="294"/>
      <c r="U728" s="294"/>
      <c r="V728" s="294"/>
      <c r="W728" s="294"/>
      <c r="X728" s="294"/>
      <c r="Y728" s="294"/>
      <c r="Z728" s="294"/>
      <c r="AA728" s="294"/>
      <c r="AB728" s="294"/>
    </row>
    <row r="729">
      <c r="A729" s="288"/>
      <c r="B729" s="288"/>
      <c r="C729" s="288"/>
      <c r="D729" s="288"/>
      <c r="E729" s="288"/>
      <c r="F729" s="288"/>
      <c r="G729" s="289"/>
      <c r="H729" s="288"/>
      <c r="I729" s="288"/>
      <c r="J729" s="288"/>
      <c r="K729" s="288"/>
      <c r="L729" s="288"/>
      <c r="M729" s="288"/>
      <c r="N729" s="288"/>
      <c r="O729" s="288"/>
      <c r="P729" s="294"/>
      <c r="Q729" s="294"/>
      <c r="R729" s="294"/>
      <c r="S729" s="294"/>
      <c r="T729" s="294"/>
      <c r="U729" s="294"/>
      <c r="V729" s="294"/>
      <c r="W729" s="294"/>
      <c r="X729" s="294"/>
      <c r="Y729" s="294"/>
      <c r="Z729" s="294"/>
      <c r="AA729" s="294"/>
      <c r="AB729" s="294"/>
    </row>
    <row r="730">
      <c r="A730" s="288"/>
      <c r="B730" s="288"/>
      <c r="C730" s="288"/>
      <c r="D730" s="288"/>
      <c r="E730" s="288"/>
      <c r="F730" s="288"/>
      <c r="G730" s="289"/>
      <c r="H730" s="288"/>
      <c r="I730" s="288"/>
      <c r="J730" s="288"/>
      <c r="K730" s="288"/>
      <c r="L730" s="288"/>
      <c r="M730" s="288"/>
      <c r="N730" s="288"/>
      <c r="O730" s="288"/>
      <c r="P730" s="294"/>
      <c r="Q730" s="294"/>
      <c r="R730" s="294"/>
      <c r="S730" s="294"/>
      <c r="T730" s="294"/>
      <c r="U730" s="294"/>
      <c r="V730" s="294"/>
      <c r="W730" s="294"/>
      <c r="X730" s="294"/>
      <c r="Y730" s="294"/>
      <c r="Z730" s="294"/>
      <c r="AA730" s="294"/>
      <c r="AB730" s="294"/>
    </row>
    <row r="731">
      <c r="A731" s="288"/>
      <c r="B731" s="288"/>
      <c r="C731" s="288"/>
      <c r="D731" s="288"/>
      <c r="E731" s="288"/>
      <c r="F731" s="288"/>
      <c r="G731" s="289"/>
      <c r="H731" s="288"/>
      <c r="I731" s="288"/>
      <c r="J731" s="288"/>
      <c r="K731" s="288"/>
      <c r="L731" s="288"/>
      <c r="M731" s="288"/>
      <c r="N731" s="288"/>
      <c r="O731" s="288"/>
      <c r="P731" s="294"/>
      <c r="Q731" s="294"/>
      <c r="R731" s="294"/>
      <c r="S731" s="294"/>
      <c r="T731" s="294"/>
      <c r="U731" s="294"/>
      <c r="V731" s="294"/>
      <c r="W731" s="294"/>
      <c r="X731" s="294"/>
      <c r="Y731" s="294"/>
      <c r="Z731" s="294"/>
      <c r="AA731" s="294"/>
      <c r="AB731" s="294"/>
    </row>
    <row r="732">
      <c r="A732" s="288"/>
      <c r="B732" s="288"/>
      <c r="C732" s="288"/>
      <c r="D732" s="288"/>
      <c r="E732" s="288"/>
      <c r="F732" s="288"/>
      <c r="G732" s="289"/>
      <c r="H732" s="288"/>
      <c r="I732" s="288"/>
      <c r="J732" s="288"/>
      <c r="K732" s="288"/>
      <c r="L732" s="288"/>
      <c r="M732" s="288"/>
      <c r="N732" s="288"/>
      <c r="O732" s="288"/>
      <c r="P732" s="294"/>
      <c r="Q732" s="294"/>
      <c r="R732" s="294"/>
      <c r="S732" s="294"/>
      <c r="T732" s="294"/>
      <c r="U732" s="294"/>
      <c r="V732" s="294"/>
      <c r="W732" s="294"/>
      <c r="X732" s="294"/>
      <c r="Y732" s="294"/>
      <c r="Z732" s="294"/>
      <c r="AA732" s="294"/>
      <c r="AB732" s="294"/>
    </row>
    <row r="733">
      <c r="A733" s="288"/>
      <c r="B733" s="288"/>
      <c r="C733" s="288"/>
      <c r="D733" s="288"/>
      <c r="E733" s="288"/>
      <c r="F733" s="288"/>
      <c r="G733" s="289"/>
      <c r="H733" s="288"/>
      <c r="I733" s="288"/>
      <c r="J733" s="288"/>
      <c r="K733" s="288"/>
      <c r="L733" s="288"/>
      <c r="M733" s="288"/>
      <c r="N733" s="288"/>
      <c r="O733" s="288"/>
      <c r="P733" s="294"/>
      <c r="Q733" s="294"/>
      <c r="R733" s="294"/>
      <c r="S733" s="294"/>
      <c r="T733" s="294"/>
      <c r="U733" s="294"/>
      <c r="V733" s="294"/>
      <c r="W733" s="294"/>
      <c r="X733" s="294"/>
      <c r="Y733" s="294"/>
      <c r="Z733" s="294"/>
      <c r="AA733" s="294"/>
      <c r="AB733" s="294"/>
    </row>
    <row r="734">
      <c r="A734" s="288"/>
      <c r="B734" s="288"/>
      <c r="C734" s="288"/>
      <c r="D734" s="288"/>
      <c r="E734" s="288"/>
      <c r="F734" s="288"/>
      <c r="G734" s="289"/>
      <c r="H734" s="288"/>
      <c r="I734" s="288"/>
      <c r="J734" s="288"/>
      <c r="K734" s="288"/>
      <c r="L734" s="288"/>
      <c r="M734" s="288"/>
      <c r="N734" s="288"/>
      <c r="O734" s="288"/>
      <c r="P734" s="294"/>
      <c r="Q734" s="294"/>
      <c r="R734" s="294"/>
      <c r="S734" s="294"/>
      <c r="T734" s="294"/>
      <c r="U734" s="294"/>
      <c r="V734" s="294"/>
      <c r="W734" s="294"/>
      <c r="X734" s="294"/>
      <c r="Y734" s="294"/>
      <c r="Z734" s="294"/>
      <c r="AA734" s="294"/>
      <c r="AB734" s="294"/>
    </row>
    <row r="735">
      <c r="A735" s="288"/>
      <c r="B735" s="288"/>
      <c r="C735" s="288"/>
      <c r="D735" s="288"/>
      <c r="E735" s="288"/>
      <c r="F735" s="288"/>
      <c r="G735" s="289"/>
      <c r="H735" s="288"/>
      <c r="I735" s="288"/>
      <c r="J735" s="288"/>
      <c r="K735" s="288"/>
      <c r="L735" s="288"/>
      <c r="M735" s="288"/>
      <c r="N735" s="288"/>
      <c r="O735" s="288"/>
      <c r="P735" s="294"/>
      <c r="Q735" s="294"/>
      <c r="R735" s="294"/>
      <c r="S735" s="294"/>
      <c r="T735" s="294"/>
      <c r="U735" s="294"/>
      <c r="V735" s="294"/>
      <c r="W735" s="294"/>
      <c r="X735" s="294"/>
      <c r="Y735" s="294"/>
      <c r="Z735" s="294"/>
      <c r="AA735" s="294"/>
      <c r="AB735" s="294"/>
    </row>
    <row r="736">
      <c r="A736" s="288"/>
      <c r="B736" s="288"/>
      <c r="C736" s="288"/>
      <c r="D736" s="288"/>
      <c r="E736" s="288"/>
      <c r="F736" s="288"/>
      <c r="G736" s="289"/>
      <c r="H736" s="288"/>
      <c r="I736" s="288"/>
      <c r="J736" s="288"/>
      <c r="K736" s="288"/>
      <c r="L736" s="288"/>
      <c r="M736" s="288"/>
      <c r="N736" s="288"/>
      <c r="O736" s="288"/>
      <c r="P736" s="294"/>
      <c r="Q736" s="294"/>
      <c r="R736" s="294"/>
      <c r="S736" s="294"/>
      <c r="T736" s="294"/>
      <c r="U736" s="294"/>
      <c r="V736" s="294"/>
      <c r="W736" s="294"/>
      <c r="X736" s="294"/>
      <c r="Y736" s="294"/>
      <c r="Z736" s="294"/>
      <c r="AA736" s="294"/>
      <c r="AB736" s="294"/>
    </row>
    <row r="737">
      <c r="A737" s="288"/>
      <c r="B737" s="288"/>
      <c r="C737" s="288"/>
      <c r="D737" s="288"/>
      <c r="E737" s="288"/>
      <c r="F737" s="288"/>
      <c r="G737" s="289"/>
      <c r="H737" s="288"/>
      <c r="I737" s="288"/>
      <c r="J737" s="288"/>
      <c r="K737" s="288"/>
      <c r="L737" s="288"/>
      <c r="M737" s="288"/>
      <c r="N737" s="288"/>
      <c r="O737" s="288"/>
      <c r="P737" s="294"/>
      <c r="Q737" s="294"/>
      <c r="R737" s="294"/>
      <c r="S737" s="294"/>
      <c r="T737" s="294"/>
      <c r="U737" s="294"/>
      <c r="V737" s="294"/>
      <c r="W737" s="294"/>
      <c r="X737" s="294"/>
      <c r="Y737" s="294"/>
      <c r="Z737" s="294"/>
      <c r="AA737" s="294"/>
      <c r="AB737" s="294"/>
    </row>
    <row r="738">
      <c r="A738" s="288"/>
      <c r="B738" s="288"/>
      <c r="C738" s="288"/>
      <c r="D738" s="288"/>
      <c r="E738" s="288"/>
      <c r="F738" s="288"/>
      <c r="G738" s="289"/>
      <c r="H738" s="288"/>
      <c r="I738" s="288"/>
      <c r="J738" s="288"/>
      <c r="K738" s="288"/>
      <c r="L738" s="288"/>
      <c r="M738" s="288"/>
      <c r="N738" s="288"/>
      <c r="O738" s="288"/>
      <c r="P738" s="294"/>
      <c r="Q738" s="294"/>
      <c r="R738" s="294"/>
      <c r="S738" s="294"/>
      <c r="T738" s="294"/>
      <c r="U738" s="294"/>
      <c r="V738" s="294"/>
      <c r="W738" s="294"/>
      <c r="X738" s="294"/>
      <c r="Y738" s="294"/>
      <c r="Z738" s="294"/>
      <c r="AA738" s="294"/>
      <c r="AB738" s="294"/>
    </row>
    <row r="739">
      <c r="A739" s="288"/>
      <c r="B739" s="288"/>
      <c r="C739" s="288"/>
      <c r="D739" s="288"/>
      <c r="E739" s="288"/>
      <c r="F739" s="288"/>
      <c r="G739" s="289"/>
      <c r="H739" s="288"/>
      <c r="I739" s="288"/>
      <c r="J739" s="288"/>
      <c r="K739" s="288"/>
      <c r="L739" s="288"/>
      <c r="M739" s="288"/>
      <c r="N739" s="288"/>
      <c r="O739" s="288"/>
      <c r="P739" s="294"/>
      <c r="Q739" s="294"/>
      <c r="R739" s="294"/>
      <c r="S739" s="294"/>
      <c r="T739" s="294"/>
      <c r="U739" s="294"/>
      <c r="V739" s="294"/>
      <c r="W739" s="294"/>
      <c r="X739" s="294"/>
      <c r="Y739" s="294"/>
      <c r="Z739" s="294"/>
      <c r="AA739" s="294"/>
      <c r="AB739" s="294"/>
    </row>
    <row r="740">
      <c r="A740" s="288"/>
      <c r="B740" s="288"/>
      <c r="C740" s="288"/>
      <c r="D740" s="288"/>
      <c r="E740" s="288"/>
      <c r="F740" s="288"/>
      <c r="G740" s="289"/>
      <c r="H740" s="288"/>
      <c r="I740" s="288"/>
      <c r="J740" s="288"/>
      <c r="K740" s="288"/>
      <c r="L740" s="288"/>
      <c r="M740" s="288"/>
      <c r="N740" s="288"/>
      <c r="O740" s="288"/>
      <c r="P740" s="294"/>
      <c r="Q740" s="294"/>
      <c r="R740" s="294"/>
      <c r="S740" s="294"/>
      <c r="T740" s="294"/>
      <c r="U740" s="294"/>
      <c r="V740" s="294"/>
      <c r="W740" s="294"/>
      <c r="X740" s="294"/>
      <c r="Y740" s="294"/>
      <c r="Z740" s="294"/>
      <c r="AA740" s="294"/>
      <c r="AB740" s="294"/>
    </row>
    <row r="741">
      <c r="A741" s="288"/>
      <c r="B741" s="288"/>
      <c r="C741" s="288"/>
      <c r="D741" s="288"/>
      <c r="E741" s="288"/>
      <c r="F741" s="288"/>
      <c r="G741" s="289"/>
      <c r="H741" s="288"/>
      <c r="I741" s="288"/>
      <c r="J741" s="288"/>
      <c r="K741" s="288"/>
      <c r="L741" s="288"/>
      <c r="M741" s="288"/>
      <c r="N741" s="288"/>
      <c r="O741" s="288"/>
      <c r="P741" s="294"/>
      <c r="Q741" s="294"/>
      <c r="R741" s="294"/>
      <c r="S741" s="294"/>
      <c r="T741" s="294"/>
      <c r="U741" s="294"/>
      <c r="V741" s="294"/>
      <c r="W741" s="294"/>
      <c r="X741" s="294"/>
      <c r="Y741" s="294"/>
      <c r="Z741" s="294"/>
      <c r="AA741" s="294"/>
      <c r="AB741" s="294"/>
    </row>
    <row r="742">
      <c r="A742" s="288"/>
      <c r="B742" s="288"/>
      <c r="C742" s="288"/>
      <c r="D742" s="288"/>
      <c r="E742" s="288"/>
      <c r="F742" s="288"/>
      <c r="G742" s="289"/>
      <c r="H742" s="288"/>
      <c r="I742" s="288"/>
      <c r="J742" s="288"/>
      <c r="K742" s="288"/>
      <c r="L742" s="288"/>
      <c r="M742" s="288"/>
      <c r="N742" s="288"/>
      <c r="O742" s="288"/>
      <c r="P742" s="294"/>
      <c r="Q742" s="294"/>
      <c r="R742" s="294"/>
      <c r="S742" s="294"/>
      <c r="T742" s="294"/>
      <c r="U742" s="294"/>
      <c r="V742" s="294"/>
      <c r="W742" s="294"/>
      <c r="X742" s="294"/>
      <c r="Y742" s="294"/>
      <c r="Z742" s="294"/>
      <c r="AA742" s="294"/>
      <c r="AB742" s="294"/>
    </row>
    <row r="743">
      <c r="A743" s="288"/>
      <c r="B743" s="288"/>
      <c r="C743" s="288"/>
      <c r="D743" s="288"/>
      <c r="E743" s="288"/>
      <c r="F743" s="288"/>
      <c r="G743" s="289"/>
      <c r="H743" s="288"/>
      <c r="I743" s="288"/>
      <c r="J743" s="288"/>
      <c r="K743" s="288"/>
      <c r="L743" s="288"/>
      <c r="M743" s="288"/>
      <c r="N743" s="288"/>
      <c r="O743" s="288"/>
      <c r="P743" s="294"/>
      <c r="Q743" s="294"/>
      <c r="R743" s="294"/>
      <c r="S743" s="294"/>
      <c r="T743" s="294"/>
      <c r="U743" s="294"/>
      <c r="V743" s="294"/>
      <c r="W743" s="294"/>
      <c r="X743" s="294"/>
      <c r="Y743" s="294"/>
      <c r="Z743" s="294"/>
      <c r="AA743" s="294"/>
      <c r="AB743" s="294"/>
    </row>
    <row r="744">
      <c r="A744" s="288"/>
      <c r="B744" s="288"/>
      <c r="C744" s="288"/>
      <c r="D744" s="288"/>
      <c r="E744" s="288"/>
      <c r="F744" s="288"/>
      <c r="G744" s="289"/>
      <c r="H744" s="288"/>
      <c r="I744" s="288"/>
      <c r="J744" s="288"/>
      <c r="K744" s="288"/>
      <c r="L744" s="288"/>
      <c r="M744" s="288"/>
      <c r="N744" s="288"/>
      <c r="O744" s="288"/>
      <c r="P744" s="294"/>
      <c r="Q744" s="294"/>
      <c r="R744" s="294"/>
      <c r="S744" s="294"/>
      <c r="T744" s="294"/>
      <c r="U744" s="294"/>
      <c r="V744" s="294"/>
      <c r="W744" s="294"/>
      <c r="X744" s="294"/>
      <c r="Y744" s="294"/>
      <c r="Z744" s="294"/>
      <c r="AA744" s="294"/>
      <c r="AB744" s="294"/>
    </row>
    <row r="745">
      <c r="A745" s="288"/>
      <c r="B745" s="288"/>
      <c r="C745" s="288"/>
      <c r="D745" s="288"/>
      <c r="E745" s="288"/>
      <c r="F745" s="288"/>
      <c r="G745" s="289"/>
      <c r="H745" s="288"/>
      <c r="I745" s="288"/>
      <c r="J745" s="288"/>
      <c r="K745" s="288"/>
      <c r="L745" s="288"/>
      <c r="M745" s="288"/>
      <c r="N745" s="288"/>
      <c r="O745" s="288"/>
      <c r="P745" s="294"/>
      <c r="Q745" s="294"/>
      <c r="R745" s="294"/>
      <c r="S745" s="294"/>
      <c r="T745" s="294"/>
      <c r="U745" s="294"/>
      <c r="V745" s="294"/>
      <c r="W745" s="294"/>
      <c r="X745" s="294"/>
      <c r="Y745" s="294"/>
      <c r="Z745" s="294"/>
      <c r="AA745" s="294"/>
      <c r="AB745" s="294"/>
    </row>
    <row r="746">
      <c r="A746" s="288"/>
      <c r="B746" s="288"/>
      <c r="C746" s="288"/>
      <c r="D746" s="288"/>
      <c r="E746" s="288"/>
      <c r="F746" s="288"/>
      <c r="G746" s="289"/>
      <c r="H746" s="288"/>
      <c r="I746" s="288"/>
      <c r="J746" s="288"/>
      <c r="K746" s="288"/>
      <c r="L746" s="288"/>
      <c r="M746" s="288"/>
      <c r="N746" s="288"/>
      <c r="O746" s="288"/>
      <c r="P746" s="294"/>
      <c r="Q746" s="294"/>
      <c r="R746" s="294"/>
      <c r="S746" s="294"/>
      <c r="T746" s="294"/>
      <c r="U746" s="294"/>
      <c r="V746" s="294"/>
      <c r="W746" s="294"/>
      <c r="X746" s="294"/>
      <c r="Y746" s="294"/>
      <c r="Z746" s="294"/>
      <c r="AA746" s="294"/>
      <c r="AB746" s="294"/>
    </row>
    <row r="747">
      <c r="A747" s="288"/>
      <c r="B747" s="288"/>
      <c r="C747" s="288"/>
      <c r="D747" s="288"/>
      <c r="E747" s="288"/>
      <c r="F747" s="288"/>
      <c r="G747" s="289"/>
      <c r="H747" s="288"/>
      <c r="I747" s="288"/>
      <c r="J747" s="288"/>
      <c r="K747" s="288"/>
      <c r="L747" s="288"/>
      <c r="M747" s="288"/>
      <c r="N747" s="288"/>
      <c r="O747" s="288"/>
      <c r="P747" s="294"/>
      <c r="Q747" s="294"/>
      <c r="R747" s="294"/>
      <c r="S747" s="294"/>
      <c r="T747" s="294"/>
      <c r="U747" s="294"/>
      <c r="V747" s="294"/>
      <c r="W747" s="294"/>
      <c r="X747" s="294"/>
      <c r="Y747" s="294"/>
      <c r="Z747" s="294"/>
      <c r="AA747" s="294"/>
      <c r="AB747" s="294"/>
    </row>
    <row r="748">
      <c r="A748" s="288"/>
      <c r="B748" s="288"/>
      <c r="C748" s="288"/>
      <c r="D748" s="288"/>
      <c r="E748" s="288"/>
      <c r="F748" s="288"/>
      <c r="G748" s="289"/>
      <c r="H748" s="288"/>
      <c r="I748" s="288"/>
      <c r="J748" s="288"/>
      <c r="K748" s="288"/>
      <c r="L748" s="288"/>
      <c r="M748" s="288"/>
      <c r="N748" s="288"/>
      <c r="O748" s="288"/>
      <c r="P748" s="294"/>
      <c r="Q748" s="294"/>
      <c r="R748" s="294"/>
      <c r="S748" s="294"/>
      <c r="T748" s="294"/>
      <c r="U748" s="294"/>
      <c r="V748" s="294"/>
      <c r="W748" s="294"/>
      <c r="X748" s="294"/>
      <c r="Y748" s="294"/>
      <c r="Z748" s="294"/>
      <c r="AA748" s="294"/>
      <c r="AB748" s="294"/>
    </row>
    <row r="749">
      <c r="A749" s="288"/>
      <c r="B749" s="288"/>
      <c r="C749" s="288"/>
      <c r="D749" s="288"/>
      <c r="E749" s="288"/>
      <c r="F749" s="288"/>
      <c r="G749" s="289"/>
      <c r="H749" s="288"/>
      <c r="I749" s="288"/>
      <c r="J749" s="288"/>
      <c r="K749" s="288"/>
      <c r="L749" s="288"/>
      <c r="M749" s="288"/>
      <c r="N749" s="288"/>
      <c r="O749" s="288"/>
      <c r="P749" s="294"/>
      <c r="Q749" s="294"/>
      <c r="R749" s="294"/>
      <c r="S749" s="294"/>
      <c r="T749" s="294"/>
      <c r="U749" s="294"/>
      <c r="V749" s="294"/>
      <c r="W749" s="294"/>
      <c r="X749" s="294"/>
      <c r="Y749" s="294"/>
      <c r="Z749" s="294"/>
      <c r="AA749" s="294"/>
      <c r="AB749" s="294"/>
    </row>
    <row r="750">
      <c r="A750" s="288"/>
      <c r="B750" s="288"/>
      <c r="C750" s="288"/>
      <c r="D750" s="288"/>
      <c r="E750" s="288"/>
      <c r="F750" s="288"/>
      <c r="G750" s="289"/>
      <c r="H750" s="288"/>
      <c r="I750" s="288"/>
      <c r="J750" s="288"/>
      <c r="K750" s="288"/>
      <c r="L750" s="288"/>
      <c r="M750" s="288"/>
      <c r="N750" s="288"/>
      <c r="O750" s="288"/>
      <c r="P750" s="294"/>
      <c r="Q750" s="294"/>
      <c r="R750" s="294"/>
      <c r="S750" s="294"/>
      <c r="T750" s="294"/>
      <c r="U750" s="294"/>
      <c r="V750" s="294"/>
      <c r="W750" s="294"/>
      <c r="X750" s="294"/>
      <c r="Y750" s="294"/>
      <c r="Z750" s="294"/>
      <c r="AA750" s="294"/>
      <c r="AB750" s="294"/>
    </row>
    <row r="751">
      <c r="A751" s="288"/>
      <c r="B751" s="288"/>
      <c r="C751" s="288"/>
      <c r="D751" s="288"/>
      <c r="E751" s="288"/>
      <c r="F751" s="288"/>
      <c r="G751" s="289"/>
      <c r="H751" s="288"/>
      <c r="I751" s="288"/>
      <c r="J751" s="288"/>
      <c r="K751" s="288"/>
      <c r="L751" s="288"/>
      <c r="M751" s="288"/>
      <c r="N751" s="288"/>
      <c r="O751" s="288"/>
      <c r="P751" s="294"/>
      <c r="Q751" s="294"/>
      <c r="R751" s="294"/>
      <c r="S751" s="294"/>
      <c r="T751" s="294"/>
      <c r="U751" s="294"/>
      <c r="V751" s="294"/>
      <c r="W751" s="294"/>
      <c r="X751" s="294"/>
      <c r="Y751" s="294"/>
      <c r="Z751" s="294"/>
      <c r="AA751" s="294"/>
      <c r="AB751" s="294"/>
    </row>
    <row r="752">
      <c r="A752" s="288"/>
      <c r="B752" s="288"/>
      <c r="C752" s="288"/>
      <c r="D752" s="288"/>
      <c r="E752" s="288"/>
      <c r="F752" s="288"/>
      <c r="G752" s="289"/>
      <c r="H752" s="288"/>
      <c r="I752" s="288"/>
      <c r="J752" s="288"/>
      <c r="K752" s="288"/>
      <c r="L752" s="288"/>
      <c r="M752" s="288"/>
      <c r="N752" s="288"/>
      <c r="O752" s="288"/>
      <c r="P752" s="294"/>
      <c r="Q752" s="294"/>
      <c r="R752" s="294"/>
      <c r="S752" s="294"/>
      <c r="T752" s="294"/>
      <c r="U752" s="294"/>
      <c r="V752" s="294"/>
      <c r="W752" s="294"/>
      <c r="X752" s="294"/>
      <c r="Y752" s="294"/>
      <c r="Z752" s="294"/>
      <c r="AA752" s="294"/>
      <c r="AB752" s="294"/>
    </row>
    <row r="753">
      <c r="A753" s="288"/>
      <c r="B753" s="288"/>
      <c r="C753" s="288"/>
      <c r="D753" s="288"/>
      <c r="E753" s="288"/>
      <c r="F753" s="288"/>
      <c r="G753" s="289"/>
      <c r="H753" s="288"/>
      <c r="I753" s="288"/>
      <c r="J753" s="288"/>
      <c r="K753" s="288"/>
      <c r="L753" s="288"/>
      <c r="M753" s="288"/>
      <c r="N753" s="288"/>
      <c r="O753" s="288"/>
      <c r="P753" s="294"/>
      <c r="Q753" s="294"/>
      <c r="R753" s="294"/>
      <c r="S753" s="294"/>
      <c r="T753" s="294"/>
      <c r="U753" s="294"/>
      <c r="V753" s="294"/>
      <c r="W753" s="294"/>
      <c r="X753" s="294"/>
      <c r="Y753" s="294"/>
      <c r="Z753" s="294"/>
      <c r="AA753" s="294"/>
      <c r="AB753" s="294"/>
    </row>
    <row r="754">
      <c r="A754" s="288"/>
      <c r="B754" s="288"/>
      <c r="C754" s="288"/>
      <c r="D754" s="288"/>
      <c r="E754" s="288"/>
      <c r="F754" s="288"/>
      <c r="G754" s="289"/>
      <c r="H754" s="288"/>
      <c r="I754" s="288"/>
      <c r="J754" s="288"/>
      <c r="K754" s="288"/>
      <c r="L754" s="288"/>
      <c r="M754" s="288"/>
      <c r="N754" s="288"/>
      <c r="O754" s="288"/>
      <c r="P754" s="294"/>
      <c r="Q754" s="294"/>
      <c r="R754" s="294"/>
      <c r="S754" s="294"/>
      <c r="T754" s="294"/>
      <c r="U754" s="294"/>
      <c r="V754" s="294"/>
      <c r="W754" s="294"/>
      <c r="X754" s="294"/>
      <c r="Y754" s="294"/>
      <c r="Z754" s="294"/>
      <c r="AA754" s="294"/>
      <c r="AB754" s="294"/>
    </row>
    <row r="755">
      <c r="A755" s="288"/>
      <c r="B755" s="288"/>
      <c r="C755" s="288"/>
      <c r="D755" s="288"/>
      <c r="E755" s="288"/>
      <c r="F755" s="288"/>
      <c r="G755" s="289"/>
      <c r="H755" s="288"/>
      <c r="I755" s="288"/>
      <c r="J755" s="288"/>
      <c r="K755" s="288"/>
      <c r="L755" s="288"/>
      <c r="M755" s="288"/>
      <c r="N755" s="288"/>
      <c r="O755" s="288"/>
      <c r="P755" s="294"/>
      <c r="Q755" s="294"/>
      <c r="R755" s="294"/>
      <c r="S755" s="294"/>
      <c r="T755" s="294"/>
      <c r="U755" s="294"/>
      <c r="V755" s="294"/>
      <c r="W755" s="294"/>
      <c r="X755" s="294"/>
      <c r="Y755" s="294"/>
      <c r="Z755" s="294"/>
      <c r="AA755" s="294"/>
      <c r="AB755" s="294"/>
    </row>
    <row r="756">
      <c r="A756" s="288"/>
      <c r="B756" s="288"/>
      <c r="C756" s="288"/>
      <c r="D756" s="288"/>
      <c r="E756" s="288"/>
      <c r="F756" s="288"/>
      <c r="G756" s="289"/>
      <c r="H756" s="288"/>
      <c r="I756" s="288"/>
      <c r="J756" s="288"/>
      <c r="K756" s="288"/>
      <c r="L756" s="288"/>
      <c r="M756" s="288"/>
      <c r="N756" s="288"/>
      <c r="O756" s="288"/>
      <c r="P756" s="294"/>
      <c r="Q756" s="294"/>
      <c r="R756" s="294"/>
      <c r="S756" s="294"/>
      <c r="T756" s="294"/>
      <c r="U756" s="294"/>
      <c r="V756" s="294"/>
      <c r="W756" s="294"/>
      <c r="X756" s="294"/>
      <c r="Y756" s="294"/>
      <c r="Z756" s="294"/>
      <c r="AA756" s="294"/>
      <c r="AB756" s="294"/>
    </row>
    <row r="757">
      <c r="A757" s="288"/>
      <c r="B757" s="288"/>
      <c r="C757" s="288"/>
      <c r="D757" s="288"/>
      <c r="E757" s="288"/>
      <c r="F757" s="288"/>
      <c r="G757" s="289"/>
      <c r="H757" s="288"/>
      <c r="I757" s="288"/>
      <c r="J757" s="288"/>
      <c r="K757" s="288"/>
      <c r="L757" s="288"/>
      <c r="M757" s="288"/>
      <c r="N757" s="288"/>
      <c r="O757" s="288"/>
      <c r="P757" s="294"/>
      <c r="Q757" s="294"/>
      <c r="R757" s="294"/>
      <c r="S757" s="294"/>
      <c r="T757" s="294"/>
      <c r="U757" s="294"/>
      <c r="V757" s="294"/>
      <c r="W757" s="294"/>
      <c r="X757" s="294"/>
      <c r="Y757" s="294"/>
      <c r="Z757" s="294"/>
      <c r="AA757" s="294"/>
      <c r="AB757" s="294"/>
    </row>
    <row r="758">
      <c r="A758" s="288"/>
      <c r="B758" s="288"/>
      <c r="C758" s="288"/>
      <c r="D758" s="288"/>
      <c r="E758" s="288"/>
      <c r="F758" s="288"/>
      <c r="G758" s="289"/>
      <c r="H758" s="288"/>
      <c r="I758" s="288"/>
      <c r="J758" s="288"/>
      <c r="K758" s="288"/>
      <c r="L758" s="288"/>
      <c r="M758" s="288"/>
      <c r="N758" s="288"/>
      <c r="O758" s="288"/>
      <c r="P758" s="294"/>
      <c r="Q758" s="294"/>
      <c r="R758" s="294"/>
      <c r="S758" s="294"/>
      <c r="T758" s="294"/>
      <c r="U758" s="294"/>
      <c r="V758" s="294"/>
      <c r="W758" s="294"/>
      <c r="X758" s="294"/>
      <c r="Y758" s="294"/>
      <c r="Z758" s="294"/>
      <c r="AA758" s="294"/>
      <c r="AB758" s="294"/>
    </row>
    <row r="759">
      <c r="A759" s="288"/>
      <c r="B759" s="288"/>
      <c r="C759" s="288"/>
      <c r="D759" s="288"/>
      <c r="E759" s="288"/>
      <c r="F759" s="288"/>
      <c r="G759" s="289"/>
      <c r="H759" s="288"/>
      <c r="I759" s="288"/>
      <c r="J759" s="288"/>
      <c r="K759" s="288"/>
      <c r="L759" s="288"/>
      <c r="M759" s="288"/>
      <c r="N759" s="288"/>
      <c r="O759" s="288"/>
      <c r="P759" s="294"/>
      <c r="Q759" s="294"/>
      <c r="R759" s="294"/>
      <c r="S759" s="294"/>
      <c r="T759" s="294"/>
      <c r="U759" s="294"/>
      <c r="V759" s="294"/>
      <c r="W759" s="294"/>
      <c r="X759" s="294"/>
      <c r="Y759" s="294"/>
      <c r="Z759" s="294"/>
      <c r="AA759" s="294"/>
      <c r="AB759" s="294"/>
    </row>
    <row r="760">
      <c r="A760" s="288"/>
      <c r="B760" s="288"/>
      <c r="C760" s="288"/>
      <c r="D760" s="288"/>
      <c r="E760" s="288"/>
      <c r="F760" s="288"/>
      <c r="G760" s="289"/>
      <c r="H760" s="288"/>
      <c r="I760" s="288"/>
      <c r="J760" s="288"/>
      <c r="K760" s="288"/>
      <c r="L760" s="288"/>
      <c r="M760" s="288"/>
      <c r="N760" s="288"/>
      <c r="O760" s="288"/>
      <c r="P760" s="294"/>
      <c r="Q760" s="294"/>
      <c r="R760" s="294"/>
      <c r="S760" s="294"/>
      <c r="T760" s="294"/>
      <c r="U760" s="294"/>
      <c r="V760" s="294"/>
      <c r="W760" s="294"/>
      <c r="X760" s="294"/>
      <c r="Y760" s="294"/>
      <c r="Z760" s="294"/>
      <c r="AA760" s="294"/>
      <c r="AB760" s="294"/>
    </row>
    <row r="761">
      <c r="A761" s="288"/>
      <c r="B761" s="288"/>
      <c r="C761" s="288"/>
      <c r="D761" s="288"/>
      <c r="E761" s="288"/>
      <c r="F761" s="288"/>
      <c r="G761" s="289"/>
      <c r="H761" s="288"/>
      <c r="I761" s="288"/>
      <c r="J761" s="288"/>
      <c r="K761" s="288"/>
      <c r="L761" s="288"/>
      <c r="M761" s="288"/>
      <c r="N761" s="288"/>
      <c r="O761" s="288"/>
      <c r="P761" s="294"/>
      <c r="Q761" s="294"/>
      <c r="R761" s="294"/>
      <c r="S761" s="294"/>
      <c r="T761" s="294"/>
      <c r="U761" s="294"/>
      <c r="V761" s="294"/>
      <c r="W761" s="294"/>
      <c r="X761" s="294"/>
      <c r="Y761" s="294"/>
      <c r="Z761" s="294"/>
      <c r="AA761" s="294"/>
      <c r="AB761" s="294"/>
    </row>
    <row r="762">
      <c r="A762" s="288"/>
      <c r="B762" s="288"/>
      <c r="C762" s="288"/>
      <c r="D762" s="288"/>
      <c r="E762" s="288"/>
      <c r="F762" s="288"/>
      <c r="G762" s="289"/>
      <c r="H762" s="288"/>
      <c r="I762" s="288"/>
      <c r="J762" s="288"/>
      <c r="K762" s="288"/>
      <c r="L762" s="288"/>
      <c r="M762" s="288"/>
      <c r="N762" s="288"/>
      <c r="O762" s="288"/>
      <c r="P762" s="294"/>
      <c r="Q762" s="294"/>
      <c r="R762" s="294"/>
      <c r="S762" s="294"/>
      <c r="T762" s="294"/>
      <c r="U762" s="294"/>
      <c r="V762" s="294"/>
      <c r="W762" s="294"/>
      <c r="X762" s="294"/>
      <c r="Y762" s="294"/>
      <c r="Z762" s="294"/>
      <c r="AA762" s="294"/>
      <c r="AB762" s="294"/>
    </row>
    <row r="763">
      <c r="A763" s="288"/>
      <c r="B763" s="288"/>
      <c r="C763" s="288"/>
      <c r="D763" s="288"/>
      <c r="E763" s="288"/>
      <c r="F763" s="288"/>
      <c r="G763" s="289"/>
      <c r="H763" s="288"/>
      <c r="I763" s="288"/>
      <c r="J763" s="288"/>
      <c r="K763" s="288"/>
      <c r="L763" s="288"/>
      <c r="M763" s="288"/>
      <c r="N763" s="288"/>
      <c r="O763" s="288"/>
      <c r="P763" s="294"/>
      <c r="Q763" s="294"/>
      <c r="R763" s="294"/>
      <c r="S763" s="294"/>
      <c r="T763" s="294"/>
      <c r="U763" s="294"/>
      <c r="V763" s="294"/>
      <c r="W763" s="294"/>
      <c r="X763" s="294"/>
      <c r="Y763" s="294"/>
      <c r="Z763" s="294"/>
      <c r="AA763" s="294"/>
      <c r="AB763" s="294"/>
    </row>
    <row r="764">
      <c r="A764" s="288"/>
      <c r="B764" s="288"/>
      <c r="C764" s="288"/>
      <c r="D764" s="288"/>
      <c r="E764" s="288"/>
      <c r="F764" s="288"/>
      <c r="G764" s="289"/>
      <c r="H764" s="288"/>
      <c r="I764" s="288"/>
      <c r="J764" s="288"/>
      <c r="K764" s="288"/>
      <c r="L764" s="288"/>
      <c r="M764" s="288"/>
      <c r="N764" s="288"/>
      <c r="O764" s="288"/>
      <c r="P764" s="294"/>
      <c r="Q764" s="294"/>
      <c r="R764" s="294"/>
      <c r="S764" s="294"/>
      <c r="T764" s="294"/>
      <c r="U764" s="294"/>
      <c r="V764" s="294"/>
      <c r="W764" s="294"/>
      <c r="X764" s="294"/>
      <c r="Y764" s="294"/>
      <c r="Z764" s="294"/>
      <c r="AA764" s="294"/>
      <c r="AB764" s="294"/>
    </row>
    <row r="765">
      <c r="A765" s="288"/>
      <c r="B765" s="288"/>
      <c r="C765" s="288"/>
      <c r="D765" s="288"/>
      <c r="E765" s="288"/>
      <c r="F765" s="288"/>
      <c r="G765" s="289"/>
      <c r="H765" s="288"/>
      <c r="I765" s="288"/>
      <c r="J765" s="288"/>
      <c r="K765" s="288"/>
      <c r="L765" s="288"/>
      <c r="M765" s="288"/>
      <c r="N765" s="288"/>
      <c r="O765" s="288"/>
      <c r="P765" s="294"/>
      <c r="Q765" s="294"/>
      <c r="R765" s="294"/>
      <c r="S765" s="294"/>
      <c r="T765" s="294"/>
      <c r="U765" s="294"/>
      <c r="V765" s="294"/>
      <c r="W765" s="294"/>
      <c r="X765" s="294"/>
      <c r="Y765" s="294"/>
      <c r="Z765" s="294"/>
      <c r="AA765" s="294"/>
      <c r="AB765" s="294"/>
    </row>
    <row r="766">
      <c r="A766" s="288"/>
      <c r="B766" s="288"/>
      <c r="C766" s="288"/>
      <c r="D766" s="288"/>
      <c r="E766" s="288"/>
      <c r="F766" s="288"/>
      <c r="G766" s="289"/>
      <c r="H766" s="288"/>
      <c r="I766" s="288"/>
      <c r="J766" s="288"/>
      <c r="K766" s="288"/>
      <c r="L766" s="288"/>
      <c r="M766" s="288"/>
      <c r="N766" s="288"/>
      <c r="O766" s="288"/>
      <c r="P766" s="294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  <c r="AA766" s="294"/>
      <c r="AB766" s="294"/>
    </row>
    <row r="767">
      <c r="A767" s="288"/>
      <c r="B767" s="288"/>
      <c r="C767" s="288"/>
      <c r="D767" s="288"/>
      <c r="E767" s="288"/>
      <c r="F767" s="288"/>
      <c r="G767" s="289"/>
      <c r="H767" s="288"/>
      <c r="I767" s="288"/>
      <c r="J767" s="288"/>
      <c r="K767" s="288"/>
      <c r="L767" s="288"/>
      <c r="M767" s="288"/>
      <c r="N767" s="288"/>
      <c r="O767" s="288"/>
      <c r="P767" s="294"/>
      <c r="Q767" s="294"/>
      <c r="R767" s="294"/>
      <c r="S767" s="294"/>
      <c r="T767" s="294"/>
      <c r="U767" s="294"/>
      <c r="V767" s="294"/>
      <c r="W767" s="294"/>
      <c r="X767" s="294"/>
      <c r="Y767" s="294"/>
      <c r="Z767" s="294"/>
      <c r="AA767" s="294"/>
      <c r="AB767" s="294"/>
    </row>
    <row r="768">
      <c r="A768" s="288"/>
      <c r="B768" s="288"/>
      <c r="C768" s="288"/>
      <c r="D768" s="288"/>
      <c r="E768" s="288"/>
      <c r="F768" s="288"/>
      <c r="G768" s="289"/>
      <c r="H768" s="288"/>
      <c r="I768" s="288"/>
      <c r="J768" s="288"/>
      <c r="K768" s="288"/>
      <c r="L768" s="288"/>
      <c r="M768" s="288"/>
      <c r="N768" s="288"/>
      <c r="O768" s="288"/>
      <c r="P768" s="294"/>
      <c r="Q768" s="294"/>
      <c r="R768" s="294"/>
      <c r="S768" s="294"/>
      <c r="T768" s="294"/>
      <c r="U768" s="294"/>
      <c r="V768" s="294"/>
      <c r="W768" s="294"/>
      <c r="X768" s="294"/>
      <c r="Y768" s="294"/>
      <c r="Z768" s="294"/>
      <c r="AA768" s="294"/>
      <c r="AB768" s="294"/>
    </row>
    <row r="769">
      <c r="A769" s="288"/>
      <c r="B769" s="288"/>
      <c r="C769" s="288"/>
      <c r="D769" s="288"/>
      <c r="E769" s="288"/>
      <c r="F769" s="288"/>
      <c r="G769" s="289"/>
      <c r="H769" s="288"/>
      <c r="I769" s="288"/>
      <c r="J769" s="288"/>
      <c r="K769" s="288"/>
      <c r="L769" s="288"/>
      <c r="M769" s="288"/>
      <c r="N769" s="288"/>
      <c r="O769" s="288"/>
      <c r="P769" s="294"/>
      <c r="Q769" s="294"/>
      <c r="R769" s="294"/>
      <c r="S769" s="294"/>
      <c r="T769" s="294"/>
      <c r="U769" s="294"/>
      <c r="V769" s="294"/>
      <c r="W769" s="294"/>
      <c r="X769" s="294"/>
      <c r="Y769" s="294"/>
      <c r="Z769" s="294"/>
      <c r="AA769" s="294"/>
      <c r="AB769" s="294"/>
    </row>
    <row r="770">
      <c r="A770" s="288"/>
      <c r="B770" s="288"/>
      <c r="C770" s="288"/>
      <c r="D770" s="288"/>
      <c r="E770" s="288"/>
      <c r="F770" s="288"/>
      <c r="G770" s="289"/>
      <c r="H770" s="288"/>
      <c r="I770" s="288"/>
      <c r="J770" s="288"/>
      <c r="K770" s="288"/>
      <c r="L770" s="288"/>
      <c r="M770" s="288"/>
      <c r="N770" s="288"/>
      <c r="O770" s="288"/>
      <c r="P770" s="294"/>
      <c r="Q770" s="294"/>
      <c r="R770" s="294"/>
      <c r="S770" s="294"/>
      <c r="T770" s="294"/>
      <c r="U770" s="294"/>
      <c r="V770" s="294"/>
      <c r="W770" s="294"/>
      <c r="X770" s="294"/>
      <c r="Y770" s="294"/>
      <c r="Z770" s="294"/>
      <c r="AA770" s="294"/>
      <c r="AB770" s="294"/>
    </row>
    <row r="771">
      <c r="A771" s="288"/>
      <c r="B771" s="288"/>
      <c r="C771" s="288"/>
      <c r="D771" s="288"/>
      <c r="E771" s="288"/>
      <c r="F771" s="288"/>
      <c r="G771" s="289"/>
      <c r="H771" s="288"/>
      <c r="I771" s="288"/>
      <c r="J771" s="288"/>
      <c r="K771" s="288"/>
      <c r="L771" s="288"/>
      <c r="M771" s="288"/>
      <c r="N771" s="288"/>
      <c r="O771" s="288"/>
      <c r="P771" s="294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  <c r="AA771" s="294"/>
      <c r="AB771" s="294"/>
    </row>
    <row r="772">
      <c r="A772" s="288"/>
      <c r="B772" s="288"/>
      <c r="C772" s="288"/>
      <c r="D772" s="288"/>
      <c r="E772" s="288"/>
      <c r="F772" s="288"/>
      <c r="G772" s="289"/>
      <c r="H772" s="288"/>
      <c r="I772" s="288"/>
      <c r="J772" s="288"/>
      <c r="K772" s="288"/>
      <c r="L772" s="288"/>
      <c r="M772" s="288"/>
      <c r="N772" s="288"/>
      <c r="O772" s="288"/>
      <c r="P772" s="294"/>
      <c r="Q772" s="294"/>
      <c r="R772" s="294"/>
      <c r="S772" s="294"/>
      <c r="T772" s="294"/>
      <c r="U772" s="294"/>
      <c r="V772" s="294"/>
      <c r="W772" s="294"/>
      <c r="X772" s="294"/>
      <c r="Y772" s="294"/>
      <c r="Z772" s="294"/>
      <c r="AA772" s="294"/>
      <c r="AB772" s="294"/>
    </row>
    <row r="773">
      <c r="A773" s="288"/>
      <c r="B773" s="288"/>
      <c r="C773" s="288"/>
      <c r="D773" s="288"/>
      <c r="E773" s="288"/>
      <c r="F773" s="288"/>
      <c r="G773" s="289"/>
      <c r="H773" s="288"/>
      <c r="I773" s="288"/>
      <c r="J773" s="288"/>
      <c r="K773" s="288"/>
      <c r="L773" s="288"/>
      <c r="M773" s="288"/>
      <c r="N773" s="288"/>
      <c r="O773" s="288"/>
      <c r="P773" s="294"/>
      <c r="Q773" s="294"/>
      <c r="R773" s="294"/>
      <c r="S773" s="294"/>
      <c r="T773" s="294"/>
      <c r="U773" s="294"/>
      <c r="V773" s="294"/>
      <c r="W773" s="294"/>
      <c r="X773" s="294"/>
      <c r="Y773" s="294"/>
      <c r="Z773" s="294"/>
      <c r="AA773" s="294"/>
      <c r="AB773" s="294"/>
    </row>
    <row r="774">
      <c r="A774" s="288"/>
      <c r="B774" s="288"/>
      <c r="C774" s="288"/>
      <c r="D774" s="288"/>
      <c r="E774" s="288"/>
      <c r="F774" s="288"/>
      <c r="G774" s="289"/>
      <c r="H774" s="288"/>
      <c r="I774" s="288"/>
      <c r="J774" s="288"/>
      <c r="K774" s="288"/>
      <c r="L774" s="288"/>
      <c r="M774" s="288"/>
      <c r="N774" s="288"/>
      <c r="O774" s="288"/>
      <c r="P774" s="294"/>
      <c r="Q774" s="294"/>
      <c r="R774" s="294"/>
      <c r="S774" s="294"/>
      <c r="T774" s="294"/>
      <c r="U774" s="294"/>
      <c r="V774" s="294"/>
      <c r="W774" s="294"/>
      <c r="X774" s="294"/>
      <c r="Y774" s="294"/>
      <c r="Z774" s="294"/>
      <c r="AA774" s="294"/>
      <c r="AB774" s="294"/>
    </row>
    <row r="775">
      <c r="A775" s="288"/>
      <c r="B775" s="288"/>
      <c r="C775" s="288"/>
      <c r="D775" s="288"/>
      <c r="E775" s="288"/>
      <c r="F775" s="288"/>
      <c r="G775" s="289"/>
      <c r="H775" s="288"/>
      <c r="I775" s="288"/>
      <c r="J775" s="288"/>
      <c r="K775" s="288"/>
      <c r="L775" s="288"/>
      <c r="M775" s="288"/>
      <c r="N775" s="288"/>
      <c r="O775" s="288"/>
      <c r="P775" s="294"/>
      <c r="Q775" s="294"/>
      <c r="R775" s="294"/>
      <c r="S775" s="294"/>
      <c r="T775" s="294"/>
      <c r="U775" s="294"/>
      <c r="V775" s="294"/>
      <c r="W775" s="294"/>
      <c r="X775" s="294"/>
      <c r="Y775" s="294"/>
      <c r="Z775" s="294"/>
      <c r="AA775" s="294"/>
      <c r="AB775" s="294"/>
    </row>
    <row r="776">
      <c r="A776" s="288"/>
      <c r="B776" s="288"/>
      <c r="C776" s="288"/>
      <c r="D776" s="288"/>
      <c r="E776" s="288"/>
      <c r="F776" s="288"/>
      <c r="G776" s="289"/>
      <c r="H776" s="288"/>
      <c r="I776" s="288"/>
      <c r="J776" s="288"/>
      <c r="K776" s="288"/>
      <c r="L776" s="288"/>
      <c r="M776" s="288"/>
      <c r="N776" s="288"/>
      <c r="O776" s="288"/>
      <c r="P776" s="294"/>
      <c r="Q776" s="294"/>
      <c r="R776" s="294"/>
      <c r="S776" s="294"/>
      <c r="T776" s="294"/>
      <c r="U776" s="294"/>
      <c r="V776" s="294"/>
      <c r="W776" s="294"/>
      <c r="X776" s="294"/>
      <c r="Y776" s="294"/>
      <c r="Z776" s="294"/>
      <c r="AA776" s="294"/>
      <c r="AB776" s="294"/>
    </row>
    <row r="777">
      <c r="A777" s="288"/>
      <c r="B777" s="288"/>
      <c r="C777" s="288"/>
      <c r="D777" s="288"/>
      <c r="E777" s="288"/>
      <c r="F777" s="288"/>
      <c r="G777" s="289"/>
      <c r="H777" s="288"/>
      <c r="I777" s="288"/>
      <c r="J777" s="288"/>
      <c r="K777" s="288"/>
      <c r="L777" s="288"/>
      <c r="M777" s="288"/>
      <c r="N777" s="288"/>
      <c r="O777" s="288"/>
      <c r="P777" s="294"/>
      <c r="Q777" s="294"/>
      <c r="R777" s="294"/>
      <c r="S777" s="294"/>
      <c r="T777" s="294"/>
      <c r="U777" s="294"/>
      <c r="V777" s="294"/>
      <c r="W777" s="294"/>
      <c r="X777" s="294"/>
      <c r="Y777" s="294"/>
      <c r="Z777" s="294"/>
      <c r="AA777" s="294"/>
      <c r="AB777" s="294"/>
    </row>
    <row r="778">
      <c r="A778" s="288"/>
      <c r="B778" s="288"/>
      <c r="C778" s="288"/>
      <c r="D778" s="288"/>
      <c r="E778" s="288"/>
      <c r="F778" s="288"/>
      <c r="G778" s="289"/>
      <c r="H778" s="288"/>
      <c r="I778" s="288"/>
      <c r="J778" s="288"/>
      <c r="K778" s="288"/>
      <c r="L778" s="288"/>
      <c r="M778" s="288"/>
      <c r="N778" s="288"/>
      <c r="O778" s="288"/>
      <c r="P778" s="294"/>
      <c r="Q778" s="294"/>
      <c r="R778" s="294"/>
      <c r="S778" s="294"/>
      <c r="T778" s="294"/>
      <c r="U778" s="294"/>
      <c r="V778" s="294"/>
      <c r="W778" s="294"/>
      <c r="X778" s="294"/>
      <c r="Y778" s="294"/>
      <c r="Z778" s="294"/>
      <c r="AA778" s="294"/>
      <c r="AB778" s="294"/>
    </row>
    <row r="779">
      <c r="A779" s="288"/>
      <c r="B779" s="288"/>
      <c r="C779" s="288"/>
      <c r="D779" s="288"/>
      <c r="E779" s="288"/>
      <c r="F779" s="288"/>
      <c r="G779" s="289"/>
      <c r="H779" s="288"/>
      <c r="I779" s="288"/>
      <c r="J779" s="288"/>
      <c r="K779" s="288"/>
      <c r="L779" s="288"/>
      <c r="M779" s="288"/>
      <c r="N779" s="288"/>
      <c r="O779" s="288"/>
      <c r="P779" s="294"/>
      <c r="Q779" s="294"/>
      <c r="R779" s="294"/>
      <c r="S779" s="294"/>
      <c r="T779" s="294"/>
      <c r="U779" s="294"/>
      <c r="V779" s="294"/>
      <c r="W779" s="294"/>
      <c r="X779" s="294"/>
      <c r="Y779" s="294"/>
      <c r="Z779" s="294"/>
      <c r="AA779" s="294"/>
      <c r="AB779" s="294"/>
    </row>
    <row r="780">
      <c r="A780" s="288"/>
      <c r="B780" s="288"/>
      <c r="C780" s="288"/>
      <c r="D780" s="288"/>
      <c r="E780" s="288"/>
      <c r="F780" s="288"/>
      <c r="G780" s="289"/>
      <c r="H780" s="288"/>
      <c r="I780" s="288"/>
      <c r="J780" s="288"/>
      <c r="K780" s="288"/>
      <c r="L780" s="288"/>
      <c r="M780" s="288"/>
      <c r="N780" s="288"/>
      <c r="O780" s="288"/>
      <c r="P780" s="294"/>
      <c r="Q780" s="294"/>
      <c r="R780" s="294"/>
      <c r="S780" s="294"/>
      <c r="T780" s="294"/>
      <c r="U780" s="294"/>
      <c r="V780" s="294"/>
      <c r="W780" s="294"/>
      <c r="X780" s="294"/>
      <c r="Y780" s="294"/>
      <c r="Z780" s="294"/>
      <c r="AA780" s="294"/>
      <c r="AB780" s="294"/>
    </row>
    <row r="781">
      <c r="A781" s="288"/>
      <c r="B781" s="288"/>
      <c r="C781" s="288"/>
      <c r="D781" s="288"/>
      <c r="E781" s="288"/>
      <c r="F781" s="288"/>
      <c r="G781" s="289"/>
      <c r="H781" s="288"/>
      <c r="I781" s="288"/>
      <c r="J781" s="288"/>
      <c r="K781" s="288"/>
      <c r="L781" s="288"/>
      <c r="M781" s="288"/>
      <c r="N781" s="288"/>
      <c r="O781" s="288"/>
      <c r="P781" s="294"/>
      <c r="Q781" s="294"/>
      <c r="R781" s="294"/>
      <c r="S781" s="294"/>
      <c r="T781" s="294"/>
      <c r="U781" s="294"/>
      <c r="V781" s="294"/>
      <c r="W781" s="294"/>
      <c r="X781" s="294"/>
      <c r="Y781" s="294"/>
      <c r="Z781" s="294"/>
      <c r="AA781" s="294"/>
      <c r="AB781" s="294"/>
    </row>
    <row r="782">
      <c r="A782" s="288"/>
      <c r="B782" s="288"/>
      <c r="C782" s="288"/>
      <c r="D782" s="288"/>
      <c r="E782" s="288"/>
      <c r="F782" s="288"/>
      <c r="G782" s="289"/>
      <c r="H782" s="288"/>
      <c r="I782" s="288"/>
      <c r="J782" s="288"/>
      <c r="K782" s="288"/>
      <c r="L782" s="288"/>
      <c r="M782" s="288"/>
      <c r="N782" s="288"/>
      <c r="O782" s="288"/>
      <c r="P782" s="294"/>
      <c r="Q782" s="294"/>
      <c r="R782" s="294"/>
      <c r="S782" s="294"/>
      <c r="T782" s="294"/>
      <c r="U782" s="294"/>
      <c r="V782" s="294"/>
      <c r="W782" s="294"/>
      <c r="X782" s="294"/>
      <c r="Y782" s="294"/>
      <c r="Z782" s="294"/>
      <c r="AA782" s="294"/>
      <c r="AB782" s="294"/>
    </row>
    <row r="783">
      <c r="A783" s="288"/>
      <c r="B783" s="288"/>
      <c r="C783" s="288"/>
      <c r="D783" s="288"/>
      <c r="E783" s="288"/>
      <c r="F783" s="288"/>
      <c r="G783" s="289"/>
      <c r="H783" s="288"/>
      <c r="I783" s="288"/>
      <c r="J783" s="288"/>
      <c r="K783" s="288"/>
      <c r="L783" s="288"/>
      <c r="M783" s="288"/>
      <c r="N783" s="288"/>
      <c r="O783" s="288"/>
      <c r="P783" s="294"/>
      <c r="Q783" s="294"/>
      <c r="R783" s="294"/>
      <c r="S783" s="294"/>
      <c r="T783" s="294"/>
      <c r="U783" s="294"/>
      <c r="V783" s="294"/>
      <c r="W783" s="294"/>
      <c r="X783" s="294"/>
      <c r="Y783" s="294"/>
      <c r="Z783" s="294"/>
      <c r="AA783" s="294"/>
      <c r="AB783" s="294"/>
    </row>
    <row r="784">
      <c r="A784" s="288"/>
      <c r="B784" s="288"/>
      <c r="C784" s="288"/>
      <c r="D784" s="288"/>
      <c r="E784" s="288"/>
      <c r="F784" s="288"/>
      <c r="G784" s="289"/>
      <c r="H784" s="288"/>
      <c r="I784" s="288"/>
      <c r="J784" s="288"/>
      <c r="K784" s="288"/>
      <c r="L784" s="288"/>
      <c r="M784" s="288"/>
      <c r="N784" s="288"/>
      <c r="O784" s="288"/>
      <c r="P784" s="294"/>
      <c r="Q784" s="294"/>
      <c r="R784" s="294"/>
      <c r="S784" s="294"/>
      <c r="T784" s="294"/>
      <c r="U784" s="294"/>
      <c r="V784" s="294"/>
      <c r="W784" s="294"/>
      <c r="X784" s="294"/>
      <c r="Y784" s="294"/>
      <c r="Z784" s="294"/>
      <c r="AA784" s="294"/>
      <c r="AB784" s="294"/>
    </row>
    <row r="785">
      <c r="A785" s="288"/>
      <c r="B785" s="288"/>
      <c r="C785" s="288"/>
      <c r="D785" s="288"/>
      <c r="E785" s="288"/>
      <c r="F785" s="288"/>
      <c r="G785" s="289"/>
      <c r="H785" s="288"/>
      <c r="I785" s="288"/>
      <c r="J785" s="288"/>
      <c r="K785" s="288"/>
      <c r="L785" s="288"/>
      <c r="M785" s="288"/>
      <c r="N785" s="288"/>
      <c r="O785" s="288"/>
      <c r="P785" s="294"/>
      <c r="Q785" s="294"/>
      <c r="R785" s="294"/>
      <c r="S785" s="294"/>
      <c r="T785" s="294"/>
      <c r="U785" s="294"/>
      <c r="V785" s="294"/>
      <c r="W785" s="294"/>
      <c r="X785" s="294"/>
      <c r="Y785" s="294"/>
      <c r="Z785" s="294"/>
      <c r="AA785" s="294"/>
      <c r="AB785" s="294"/>
    </row>
    <row r="786">
      <c r="A786" s="288"/>
      <c r="B786" s="288"/>
      <c r="C786" s="288"/>
      <c r="D786" s="288"/>
      <c r="E786" s="288"/>
      <c r="F786" s="288"/>
      <c r="G786" s="289"/>
      <c r="H786" s="288"/>
      <c r="I786" s="288"/>
      <c r="J786" s="288"/>
      <c r="K786" s="288"/>
      <c r="L786" s="288"/>
      <c r="M786" s="288"/>
      <c r="N786" s="288"/>
      <c r="O786" s="288"/>
      <c r="P786" s="294"/>
      <c r="Q786" s="294"/>
      <c r="R786" s="294"/>
      <c r="S786" s="294"/>
      <c r="T786" s="294"/>
      <c r="U786" s="294"/>
      <c r="V786" s="294"/>
      <c r="W786" s="294"/>
      <c r="X786" s="294"/>
      <c r="Y786" s="294"/>
      <c r="Z786" s="294"/>
      <c r="AA786" s="294"/>
      <c r="AB786" s="294"/>
    </row>
    <row r="787">
      <c r="A787" s="288"/>
      <c r="B787" s="288"/>
      <c r="C787" s="288"/>
      <c r="D787" s="288"/>
      <c r="E787" s="288"/>
      <c r="F787" s="288"/>
      <c r="G787" s="289"/>
      <c r="H787" s="288"/>
      <c r="I787" s="288"/>
      <c r="J787" s="288"/>
      <c r="K787" s="288"/>
      <c r="L787" s="288"/>
      <c r="M787" s="288"/>
      <c r="N787" s="288"/>
      <c r="O787" s="288"/>
      <c r="P787" s="294"/>
      <c r="Q787" s="294"/>
      <c r="R787" s="294"/>
      <c r="S787" s="294"/>
      <c r="T787" s="294"/>
      <c r="U787" s="294"/>
      <c r="V787" s="294"/>
      <c r="W787" s="294"/>
      <c r="X787" s="294"/>
      <c r="Y787" s="294"/>
      <c r="Z787" s="294"/>
      <c r="AA787" s="294"/>
      <c r="AB787" s="294"/>
    </row>
    <row r="788">
      <c r="A788" s="288"/>
      <c r="B788" s="288"/>
      <c r="C788" s="288"/>
      <c r="D788" s="288"/>
      <c r="E788" s="288"/>
      <c r="F788" s="288"/>
      <c r="G788" s="289"/>
      <c r="H788" s="288"/>
      <c r="I788" s="288"/>
      <c r="J788" s="288"/>
      <c r="K788" s="288"/>
      <c r="L788" s="288"/>
      <c r="M788" s="288"/>
      <c r="N788" s="288"/>
      <c r="O788" s="288"/>
      <c r="P788" s="294"/>
      <c r="Q788" s="294"/>
      <c r="R788" s="294"/>
      <c r="S788" s="294"/>
      <c r="T788" s="294"/>
      <c r="U788" s="294"/>
      <c r="V788" s="294"/>
      <c r="W788" s="294"/>
      <c r="X788" s="294"/>
      <c r="Y788" s="294"/>
      <c r="Z788" s="294"/>
      <c r="AA788" s="294"/>
      <c r="AB788" s="294"/>
    </row>
    <row r="789">
      <c r="A789" s="288"/>
      <c r="B789" s="288"/>
      <c r="C789" s="288"/>
      <c r="D789" s="288"/>
      <c r="E789" s="288"/>
      <c r="F789" s="288"/>
      <c r="G789" s="289"/>
      <c r="H789" s="288"/>
      <c r="I789" s="288"/>
      <c r="J789" s="288"/>
      <c r="K789" s="288"/>
      <c r="L789" s="288"/>
      <c r="M789" s="288"/>
      <c r="N789" s="288"/>
      <c r="O789" s="288"/>
      <c r="P789" s="294"/>
      <c r="Q789" s="294"/>
      <c r="R789" s="294"/>
      <c r="S789" s="294"/>
      <c r="T789" s="294"/>
      <c r="U789" s="294"/>
      <c r="V789" s="294"/>
      <c r="W789" s="294"/>
      <c r="X789" s="294"/>
      <c r="Y789" s="294"/>
      <c r="Z789" s="294"/>
      <c r="AA789" s="294"/>
      <c r="AB789" s="294"/>
    </row>
    <row r="790">
      <c r="A790" s="288"/>
      <c r="B790" s="288"/>
      <c r="C790" s="288"/>
      <c r="D790" s="288"/>
      <c r="E790" s="288"/>
      <c r="F790" s="288"/>
      <c r="G790" s="289"/>
      <c r="H790" s="288"/>
      <c r="I790" s="288"/>
      <c r="J790" s="288"/>
      <c r="K790" s="288"/>
      <c r="L790" s="288"/>
      <c r="M790" s="288"/>
      <c r="N790" s="288"/>
      <c r="O790" s="288"/>
      <c r="P790" s="294"/>
      <c r="Q790" s="294"/>
      <c r="R790" s="294"/>
      <c r="S790" s="294"/>
      <c r="T790" s="294"/>
      <c r="U790" s="294"/>
      <c r="V790" s="294"/>
      <c r="W790" s="294"/>
      <c r="X790" s="294"/>
      <c r="Y790" s="294"/>
      <c r="Z790" s="294"/>
      <c r="AA790" s="294"/>
      <c r="AB790" s="294"/>
    </row>
    <row r="791">
      <c r="A791" s="288"/>
      <c r="B791" s="288"/>
      <c r="C791" s="288"/>
      <c r="D791" s="288"/>
      <c r="E791" s="288"/>
      <c r="F791" s="288"/>
      <c r="G791" s="289"/>
      <c r="H791" s="288"/>
      <c r="I791" s="288"/>
      <c r="J791" s="288"/>
      <c r="K791" s="288"/>
      <c r="L791" s="288"/>
      <c r="M791" s="288"/>
      <c r="N791" s="288"/>
      <c r="O791" s="288"/>
      <c r="P791" s="294"/>
      <c r="Q791" s="294"/>
      <c r="R791" s="294"/>
      <c r="S791" s="294"/>
      <c r="T791" s="294"/>
      <c r="U791" s="294"/>
      <c r="V791" s="294"/>
      <c r="W791" s="294"/>
      <c r="X791" s="294"/>
      <c r="Y791" s="294"/>
      <c r="Z791" s="294"/>
      <c r="AA791" s="294"/>
      <c r="AB791" s="294"/>
    </row>
    <row r="792">
      <c r="A792" s="288"/>
      <c r="B792" s="288"/>
      <c r="C792" s="288"/>
      <c r="D792" s="288"/>
      <c r="E792" s="288"/>
      <c r="F792" s="288"/>
      <c r="G792" s="289"/>
      <c r="H792" s="288"/>
      <c r="I792" s="288"/>
      <c r="J792" s="288"/>
      <c r="K792" s="288"/>
      <c r="L792" s="288"/>
      <c r="M792" s="288"/>
      <c r="N792" s="288"/>
      <c r="O792" s="288"/>
      <c r="P792" s="294"/>
      <c r="Q792" s="294"/>
      <c r="R792" s="294"/>
      <c r="S792" s="294"/>
      <c r="T792" s="294"/>
      <c r="U792" s="294"/>
      <c r="V792" s="294"/>
      <c r="W792" s="294"/>
      <c r="X792" s="294"/>
      <c r="Y792" s="294"/>
      <c r="Z792" s="294"/>
      <c r="AA792" s="294"/>
      <c r="AB792" s="294"/>
    </row>
    <row r="793">
      <c r="A793" s="288"/>
      <c r="B793" s="288"/>
      <c r="C793" s="288"/>
      <c r="D793" s="288"/>
      <c r="E793" s="288"/>
      <c r="F793" s="288"/>
      <c r="G793" s="289"/>
      <c r="H793" s="288"/>
      <c r="I793" s="288"/>
      <c r="J793" s="288"/>
      <c r="K793" s="288"/>
      <c r="L793" s="288"/>
      <c r="M793" s="288"/>
      <c r="N793" s="288"/>
      <c r="O793" s="288"/>
      <c r="P793" s="294"/>
      <c r="Q793" s="294"/>
      <c r="R793" s="294"/>
      <c r="S793" s="294"/>
      <c r="T793" s="294"/>
      <c r="U793" s="294"/>
      <c r="V793" s="294"/>
      <c r="W793" s="294"/>
      <c r="X793" s="294"/>
      <c r="Y793" s="294"/>
      <c r="Z793" s="294"/>
      <c r="AA793" s="294"/>
      <c r="AB793" s="294"/>
    </row>
    <row r="794">
      <c r="A794" s="288"/>
      <c r="B794" s="288"/>
      <c r="C794" s="288"/>
      <c r="D794" s="288"/>
      <c r="E794" s="288"/>
      <c r="F794" s="288"/>
      <c r="G794" s="289"/>
      <c r="H794" s="288"/>
      <c r="I794" s="288"/>
      <c r="J794" s="288"/>
      <c r="K794" s="288"/>
      <c r="L794" s="288"/>
      <c r="M794" s="288"/>
      <c r="N794" s="288"/>
      <c r="O794" s="288"/>
      <c r="P794" s="294"/>
      <c r="Q794" s="294"/>
      <c r="R794" s="294"/>
      <c r="S794" s="294"/>
      <c r="T794" s="294"/>
      <c r="U794" s="294"/>
      <c r="V794" s="294"/>
      <c r="W794" s="294"/>
      <c r="X794" s="294"/>
      <c r="Y794" s="294"/>
      <c r="Z794" s="294"/>
      <c r="AA794" s="294"/>
      <c r="AB794" s="294"/>
    </row>
    <row r="795">
      <c r="A795" s="288"/>
      <c r="B795" s="288"/>
      <c r="C795" s="288"/>
      <c r="D795" s="288"/>
      <c r="E795" s="288"/>
      <c r="F795" s="288"/>
      <c r="G795" s="289"/>
      <c r="H795" s="288"/>
      <c r="I795" s="288"/>
      <c r="J795" s="288"/>
      <c r="K795" s="288"/>
      <c r="L795" s="288"/>
      <c r="M795" s="288"/>
      <c r="N795" s="288"/>
      <c r="O795" s="288"/>
      <c r="P795" s="294"/>
      <c r="Q795" s="294"/>
      <c r="R795" s="294"/>
      <c r="S795" s="294"/>
      <c r="T795" s="294"/>
      <c r="U795" s="294"/>
      <c r="V795" s="294"/>
      <c r="W795" s="294"/>
      <c r="X795" s="294"/>
      <c r="Y795" s="294"/>
      <c r="Z795" s="294"/>
      <c r="AA795" s="294"/>
      <c r="AB795" s="294"/>
    </row>
    <row r="796">
      <c r="A796" s="288"/>
      <c r="B796" s="288"/>
      <c r="C796" s="288"/>
      <c r="D796" s="288"/>
      <c r="E796" s="288"/>
      <c r="F796" s="288"/>
      <c r="G796" s="289"/>
      <c r="H796" s="288"/>
      <c r="I796" s="288"/>
      <c r="J796" s="288"/>
      <c r="K796" s="288"/>
      <c r="L796" s="288"/>
      <c r="M796" s="288"/>
      <c r="N796" s="288"/>
      <c r="O796" s="288"/>
      <c r="P796" s="294"/>
      <c r="Q796" s="294"/>
      <c r="R796" s="294"/>
      <c r="S796" s="294"/>
      <c r="T796" s="294"/>
      <c r="U796" s="294"/>
      <c r="V796" s="294"/>
      <c r="W796" s="294"/>
      <c r="X796" s="294"/>
      <c r="Y796" s="294"/>
      <c r="Z796" s="294"/>
      <c r="AA796" s="294"/>
      <c r="AB796" s="294"/>
    </row>
    <row r="797">
      <c r="A797" s="288"/>
      <c r="B797" s="288"/>
      <c r="C797" s="288"/>
      <c r="D797" s="288"/>
      <c r="E797" s="288"/>
      <c r="F797" s="288"/>
      <c r="G797" s="289"/>
      <c r="H797" s="288"/>
      <c r="I797" s="288"/>
      <c r="J797" s="288"/>
      <c r="K797" s="288"/>
      <c r="L797" s="288"/>
      <c r="M797" s="288"/>
      <c r="N797" s="288"/>
      <c r="O797" s="288"/>
      <c r="P797" s="294"/>
      <c r="Q797" s="294"/>
      <c r="R797" s="294"/>
      <c r="S797" s="294"/>
      <c r="T797" s="294"/>
      <c r="U797" s="294"/>
      <c r="V797" s="294"/>
      <c r="W797" s="294"/>
      <c r="X797" s="294"/>
      <c r="Y797" s="294"/>
      <c r="Z797" s="294"/>
      <c r="AA797" s="294"/>
      <c r="AB797" s="294"/>
    </row>
    <row r="798">
      <c r="A798" s="288"/>
      <c r="B798" s="288"/>
      <c r="C798" s="288"/>
      <c r="D798" s="288"/>
      <c r="E798" s="288"/>
      <c r="F798" s="288"/>
      <c r="G798" s="289"/>
      <c r="H798" s="288"/>
      <c r="I798" s="288"/>
      <c r="J798" s="288"/>
      <c r="K798" s="288"/>
      <c r="L798" s="288"/>
      <c r="M798" s="288"/>
      <c r="N798" s="288"/>
      <c r="O798" s="288"/>
      <c r="P798" s="294"/>
      <c r="Q798" s="294"/>
      <c r="R798" s="294"/>
      <c r="S798" s="294"/>
      <c r="T798" s="294"/>
      <c r="U798" s="294"/>
      <c r="V798" s="294"/>
      <c r="W798" s="294"/>
      <c r="X798" s="294"/>
      <c r="Y798" s="294"/>
      <c r="Z798" s="294"/>
      <c r="AA798" s="294"/>
      <c r="AB798" s="294"/>
    </row>
    <row r="799">
      <c r="A799" s="288"/>
      <c r="B799" s="288"/>
      <c r="C799" s="288"/>
      <c r="D799" s="288"/>
      <c r="E799" s="288"/>
      <c r="F799" s="288"/>
      <c r="G799" s="289"/>
      <c r="H799" s="288"/>
      <c r="I799" s="288"/>
      <c r="J799" s="288"/>
      <c r="K799" s="288"/>
      <c r="L799" s="288"/>
      <c r="M799" s="288"/>
      <c r="N799" s="288"/>
      <c r="O799" s="288"/>
      <c r="P799" s="294"/>
      <c r="Q799" s="294"/>
      <c r="R799" s="294"/>
      <c r="S799" s="294"/>
      <c r="T799" s="294"/>
      <c r="U799" s="294"/>
      <c r="V799" s="294"/>
      <c r="W799" s="294"/>
      <c r="X799" s="294"/>
      <c r="Y799" s="294"/>
      <c r="Z799" s="294"/>
      <c r="AA799" s="294"/>
      <c r="AB799" s="294"/>
    </row>
    <row r="800">
      <c r="A800" s="288"/>
      <c r="B800" s="288"/>
      <c r="C800" s="288"/>
      <c r="D800" s="288"/>
      <c r="E800" s="288"/>
      <c r="F800" s="288"/>
      <c r="G800" s="289"/>
      <c r="H800" s="288"/>
      <c r="I800" s="288"/>
      <c r="J800" s="288"/>
      <c r="K800" s="288"/>
      <c r="L800" s="288"/>
      <c r="M800" s="288"/>
      <c r="N800" s="288"/>
      <c r="O800" s="288"/>
      <c r="P800" s="294"/>
      <c r="Q800" s="294"/>
      <c r="R800" s="294"/>
      <c r="S800" s="294"/>
      <c r="T800" s="294"/>
      <c r="U800" s="294"/>
      <c r="V800" s="294"/>
      <c r="W800" s="294"/>
      <c r="X800" s="294"/>
      <c r="Y800" s="294"/>
      <c r="Z800" s="294"/>
      <c r="AA800" s="294"/>
      <c r="AB800" s="294"/>
    </row>
    <row r="801">
      <c r="A801" s="288"/>
      <c r="B801" s="288"/>
      <c r="C801" s="288"/>
      <c r="D801" s="288"/>
      <c r="E801" s="288"/>
      <c r="F801" s="288"/>
      <c r="G801" s="289"/>
      <c r="H801" s="288"/>
      <c r="I801" s="288"/>
      <c r="J801" s="288"/>
      <c r="K801" s="288"/>
      <c r="L801" s="288"/>
      <c r="M801" s="288"/>
      <c r="N801" s="288"/>
      <c r="O801" s="288"/>
      <c r="P801" s="294"/>
      <c r="Q801" s="294"/>
      <c r="R801" s="294"/>
      <c r="S801" s="294"/>
      <c r="T801" s="294"/>
      <c r="U801" s="294"/>
      <c r="V801" s="294"/>
      <c r="W801" s="294"/>
      <c r="X801" s="294"/>
      <c r="Y801" s="294"/>
      <c r="Z801" s="294"/>
      <c r="AA801" s="294"/>
      <c r="AB801" s="294"/>
    </row>
    <row r="802">
      <c r="A802" s="288"/>
      <c r="B802" s="288"/>
      <c r="C802" s="288"/>
      <c r="D802" s="288"/>
      <c r="E802" s="288"/>
      <c r="F802" s="288"/>
      <c r="G802" s="289"/>
      <c r="H802" s="288"/>
      <c r="I802" s="288"/>
      <c r="J802" s="288"/>
      <c r="K802" s="288"/>
      <c r="L802" s="288"/>
      <c r="M802" s="288"/>
      <c r="N802" s="288"/>
      <c r="O802" s="288"/>
      <c r="P802" s="294"/>
      <c r="Q802" s="294"/>
      <c r="R802" s="294"/>
      <c r="S802" s="294"/>
      <c r="T802" s="294"/>
      <c r="U802" s="294"/>
      <c r="V802" s="294"/>
      <c r="W802" s="294"/>
      <c r="X802" s="294"/>
      <c r="Y802" s="294"/>
      <c r="Z802" s="294"/>
      <c r="AA802" s="294"/>
      <c r="AB802" s="294"/>
    </row>
    <row r="803">
      <c r="A803" s="288"/>
      <c r="B803" s="288"/>
      <c r="C803" s="288"/>
      <c r="D803" s="288"/>
      <c r="E803" s="288"/>
      <c r="F803" s="288"/>
      <c r="G803" s="289"/>
      <c r="H803" s="288"/>
      <c r="I803" s="288"/>
      <c r="J803" s="288"/>
      <c r="K803" s="288"/>
      <c r="L803" s="288"/>
      <c r="M803" s="288"/>
      <c r="N803" s="288"/>
      <c r="O803" s="288"/>
      <c r="P803" s="294"/>
      <c r="Q803" s="294"/>
      <c r="R803" s="294"/>
      <c r="S803" s="294"/>
      <c r="T803" s="294"/>
      <c r="U803" s="294"/>
      <c r="V803" s="294"/>
      <c r="W803" s="294"/>
      <c r="X803" s="294"/>
      <c r="Y803" s="294"/>
      <c r="Z803" s="294"/>
      <c r="AA803" s="294"/>
      <c r="AB803" s="294"/>
    </row>
    <row r="804">
      <c r="A804" s="288"/>
      <c r="B804" s="288"/>
      <c r="C804" s="288"/>
      <c r="D804" s="288"/>
      <c r="E804" s="288"/>
      <c r="F804" s="288"/>
      <c r="G804" s="289"/>
      <c r="H804" s="288"/>
      <c r="I804" s="288"/>
      <c r="J804" s="288"/>
      <c r="K804" s="288"/>
      <c r="L804" s="288"/>
      <c r="M804" s="288"/>
      <c r="N804" s="288"/>
      <c r="O804" s="288"/>
      <c r="P804" s="294"/>
      <c r="Q804" s="294"/>
      <c r="R804" s="294"/>
      <c r="S804" s="294"/>
      <c r="T804" s="294"/>
      <c r="U804" s="294"/>
      <c r="V804" s="294"/>
      <c r="W804" s="294"/>
      <c r="X804" s="294"/>
      <c r="Y804" s="294"/>
      <c r="Z804" s="294"/>
      <c r="AA804" s="294"/>
      <c r="AB804" s="294"/>
    </row>
    <row r="805">
      <c r="A805" s="288"/>
      <c r="B805" s="288"/>
      <c r="C805" s="288"/>
      <c r="D805" s="288"/>
      <c r="E805" s="288"/>
      <c r="F805" s="288"/>
      <c r="G805" s="289"/>
      <c r="H805" s="288"/>
      <c r="I805" s="288"/>
      <c r="J805" s="288"/>
      <c r="K805" s="288"/>
      <c r="L805" s="288"/>
      <c r="M805" s="288"/>
      <c r="N805" s="288"/>
      <c r="O805" s="288"/>
      <c r="P805" s="294"/>
      <c r="Q805" s="294"/>
      <c r="R805" s="294"/>
      <c r="S805" s="294"/>
      <c r="T805" s="294"/>
      <c r="U805" s="294"/>
      <c r="V805" s="294"/>
      <c r="W805" s="294"/>
      <c r="X805" s="294"/>
      <c r="Y805" s="294"/>
      <c r="Z805" s="294"/>
      <c r="AA805" s="294"/>
      <c r="AB805" s="294"/>
    </row>
    <row r="806">
      <c r="A806" s="288"/>
      <c r="B806" s="288"/>
      <c r="C806" s="288"/>
      <c r="D806" s="288"/>
      <c r="E806" s="288"/>
      <c r="F806" s="288"/>
      <c r="G806" s="289"/>
      <c r="H806" s="288"/>
      <c r="I806" s="288"/>
      <c r="J806" s="288"/>
      <c r="K806" s="288"/>
      <c r="L806" s="288"/>
      <c r="M806" s="288"/>
      <c r="N806" s="288"/>
      <c r="O806" s="288"/>
      <c r="P806" s="294"/>
      <c r="Q806" s="294"/>
      <c r="R806" s="294"/>
      <c r="S806" s="294"/>
      <c r="T806" s="294"/>
      <c r="U806" s="294"/>
      <c r="V806" s="294"/>
      <c r="W806" s="294"/>
      <c r="X806" s="294"/>
      <c r="Y806" s="294"/>
      <c r="Z806" s="294"/>
      <c r="AA806" s="294"/>
      <c r="AB806" s="294"/>
    </row>
    <row r="807">
      <c r="A807" s="288"/>
      <c r="B807" s="288"/>
      <c r="C807" s="288"/>
      <c r="D807" s="288"/>
      <c r="E807" s="288"/>
      <c r="F807" s="288"/>
      <c r="G807" s="289"/>
      <c r="H807" s="288"/>
      <c r="I807" s="288"/>
      <c r="J807" s="288"/>
      <c r="K807" s="288"/>
      <c r="L807" s="288"/>
      <c r="M807" s="288"/>
      <c r="N807" s="288"/>
      <c r="O807" s="288"/>
      <c r="P807" s="294"/>
      <c r="Q807" s="294"/>
      <c r="R807" s="294"/>
      <c r="S807" s="294"/>
      <c r="T807" s="294"/>
      <c r="U807" s="294"/>
      <c r="V807" s="294"/>
      <c r="W807" s="294"/>
      <c r="X807" s="294"/>
      <c r="Y807" s="294"/>
      <c r="Z807" s="294"/>
      <c r="AA807" s="294"/>
      <c r="AB807" s="294"/>
    </row>
    <row r="808">
      <c r="A808" s="288"/>
      <c r="B808" s="288"/>
      <c r="C808" s="288"/>
      <c r="D808" s="288"/>
      <c r="E808" s="288"/>
      <c r="F808" s="288"/>
      <c r="G808" s="289"/>
      <c r="H808" s="288"/>
      <c r="I808" s="288"/>
      <c r="J808" s="288"/>
      <c r="K808" s="288"/>
      <c r="L808" s="288"/>
      <c r="M808" s="288"/>
      <c r="N808" s="288"/>
      <c r="O808" s="288"/>
      <c r="P808" s="294"/>
      <c r="Q808" s="294"/>
      <c r="R808" s="294"/>
      <c r="S808" s="294"/>
      <c r="T808" s="294"/>
      <c r="U808" s="294"/>
      <c r="V808" s="294"/>
      <c r="W808" s="294"/>
      <c r="X808" s="294"/>
      <c r="Y808" s="294"/>
      <c r="Z808" s="294"/>
      <c r="AA808" s="294"/>
      <c r="AB808" s="294"/>
    </row>
    <row r="809">
      <c r="A809" s="288"/>
      <c r="B809" s="288"/>
      <c r="C809" s="288"/>
      <c r="D809" s="288"/>
      <c r="E809" s="288"/>
      <c r="F809" s="288"/>
      <c r="G809" s="289"/>
      <c r="H809" s="288"/>
      <c r="I809" s="288"/>
      <c r="J809" s="288"/>
      <c r="K809" s="288"/>
      <c r="L809" s="288"/>
      <c r="M809" s="288"/>
      <c r="N809" s="288"/>
      <c r="O809" s="288"/>
      <c r="P809" s="294"/>
      <c r="Q809" s="294"/>
      <c r="R809" s="294"/>
      <c r="S809" s="294"/>
      <c r="T809" s="294"/>
      <c r="U809" s="294"/>
      <c r="V809" s="294"/>
      <c r="W809" s="294"/>
      <c r="X809" s="294"/>
      <c r="Y809" s="294"/>
      <c r="Z809" s="294"/>
      <c r="AA809" s="294"/>
      <c r="AB809" s="294"/>
    </row>
    <row r="810">
      <c r="A810" s="288"/>
      <c r="B810" s="288"/>
      <c r="C810" s="288"/>
      <c r="D810" s="288"/>
      <c r="E810" s="288"/>
      <c r="F810" s="288"/>
      <c r="G810" s="289"/>
      <c r="H810" s="288"/>
      <c r="I810" s="288"/>
      <c r="J810" s="288"/>
      <c r="K810" s="288"/>
      <c r="L810" s="288"/>
      <c r="M810" s="288"/>
      <c r="N810" s="288"/>
      <c r="O810" s="288"/>
      <c r="P810" s="294"/>
      <c r="Q810" s="294"/>
      <c r="R810" s="294"/>
      <c r="S810" s="294"/>
      <c r="T810" s="294"/>
      <c r="U810" s="294"/>
      <c r="V810" s="294"/>
      <c r="W810" s="294"/>
      <c r="X810" s="294"/>
      <c r="Y810" s="294"/>
      <c r="Z810" s="294"/>
      <c r="AA810" s="294"/>
      <c r="AB810" s="294"/>
    </row>
    <row r="811">
      <c r="A811" s="288"/>
      <c r="B811" s="288"/>
      <c r="C811" s="288"/>
      <c r="D811" s="288"/>
      <c r="E811" s="288"/>
      <c r="F811" s="288"/>
      <c r="G811" s="289"/>
      <c r="H811" s="288"/>
      <c r="I811" s="288"/>
      <c r="J811" s="288"/>
      <c r="K811" s="288"/>
      <c r="L811" s="288"/>
      <c r="M811" s="288"/>
      <c r="N811" s="288"/>
      <c r="O811" s="288"/>
      <c r="P811" s="294"/>
      <c r="Q811" s="294"/>
      <c r="R811" s="294"/>
      <c r="S811" s="294"/>
      <c r="T811" s="294"/>
      <c r="U811" s="294"/>
      <c r="V811" s="294"/>
      <c r="W811" s="294"/>
      <c r="X811" s="294"/>
      <c r="Y811" s="294"/>
      <c r="Z811" s="294"/>
      <c r="AA811" s="294"/>
      <c r="AB811" s="294"/>
    </row>
    <row r="812">
      <c r="A812" s="288"/>
      <c r="B812" s="288"/>
      <c r="C812" s="288"/>
      <c r="D812" s="288"/>
      <c r="E812" s="288"/>
      <c r="F812" s="288"/>
      <c r="G812" s="289"/>
      <c r="H812" s="288"/>
      <c r="I812" s="288"/>
      <c r="J812" s="288"/>
      <c r="K812" s="288"/>
      <c r="L812" s="288"/>
      <c r="M812" s="288"/>
      <c r="N812" s="288"/>
      <c r="O812" s="288"/>
      <c r="P812" s="294"/>
      <c r="Q812" s="294"/>
      <c r="R812" s="294"/>
      <c r="S812" s="294"/>
      <c r="T812" s="294"/>
      <c r="U812" s="294"/>
      <c r="V812" s="294"/>
      <c r="W812" s="294"/>
      <c r="X812" s="294"/>
      <c r="Y812" s="294"/>
      <c r="Z812" s="294"/>
      <c r="AA812" s="294"/>
      <c r="AB812" s="294"/>
    </row>
    <row r="813">
      <c r="A813" s="288"/>
      <c r="B813" s="288"/>
      <c r="C813" s="288"/>
      <c r="D813" s="288"/>
      <c r="E813" s="288"/>
      <c r="F813" s="288"/>
      <c r="G813" s="289"/>
      <c r="H813" s="288"/>
      <c r="I813" s="288"/>
      <c r="J813" s="288"/>
      <c r="K813" s="288"/>
      <c r="L813" s="288"/>
      <c r="M813" s="288"/>
      <c r="N813" s="288"/>
      <c r="O813" s="288"/>
      <c r="P813" s="294"/>
      <c r="Q813" s="294"/>
      <c r="R813" s="294"/>
      <c r="S813" s="294"/>
      <c r="T813" s="294"/>
      <c r="U813" s="294"/>
      <c r="V813" s="294"/>
      <c r="W813" s="294"/>
      <c r="X813" s="294"/>
      <c r="Y813" s="294"/>
      <c r="Z813" s="294"/>
      <c r="AA813" s="294"/>
      <c r="AB813" s="294"/>
    </row>
    <row r="814">
      <c r="A814" s="288"/>
      <c r="B814" s="288"/>
      <c r="C814" s="288"/>
      <c r="D814" s="288"/>
      <c r="E814" s="288"/>
      <c r="F814" s="288"/>
      <c r="G814" s="289"/>
      <c r="H814" s="288"/>
      <c r="I814" s="288"/>
      <c r="J814" s="288"/>
      <c r="K814" s="288"/>
      <c r="L814" s="288"/>
      <c r="M814" s="288"/>
      <c r="N814" s="288"/>
      <c r="O814" s="288"/>
      <c r="P814" s="294"/>
      <c r="Q814" s="294"/>
      <c r="R814" s="294"/>
      <c r="S814" s="294"/>
      <c r="T814" s="294"/>
      <c r="U814" s="294"/>
      <c r="V814" s="294"/>
      <c r="W814" s="294"/>
      <c r="X814" s="294"/>
      <c r="Y814" s="294"/>
      <c r="Z814" s="294"/>
      <c r="AA814" s="294"/>
      <c r="AB814" s="294"/>
    </row>
    <row r="815">
      <c r="A815" s="288"/>
      <c r="B815" s="288"/>
      <c r="C815" s="288"/>
      <c r="D815" s="288"/>
      <c r="E815" s="288"/>
      <c r="F815" s="288"/>
      <c r="G815" s="289"/>
      <c r="H815" s="288"/>
      <c r="I815" s="288"/>
      <c r="J815" s="288"/>
      <c r="K815" s="288"/>
      <c r="L815" s="288"/>
      <c r="M815" s="288"/>
      <c r="N815" s="288"/>
      <c r="O815" s="288"/>
      <c r="P815" s="294"/>
      <c r="Q815" s="294"/>
      <c r="R815" s="294"/>
      <c r="S815" s="294"/>
      <c r="T815" s="294"/>
      <c r="U815" s="294"/>
      <c r="V815" s="294"/>
      <c r="W815" s="294"/>
      <c r="X815" s="294"/>
      <c r="Y815" s="294"/>
      <c r="Z815" s="294"/>
      <c r="AA815" s="294"/>
      <c r="AB815" s="294"/>
    </row>
    <row r="816">
      <c r="A816" s="288"/>
      <c r="B816" s="288"/>
      <c r="C816" s="288"/>
      <c r="D816" s="288"/>
      <c r="E816" s="288"/>
      <c r="F816" s="288"/>
      <c r="G816" s="289"/>
      <c r="H816" s="288"/>
      <c r="I816" s="288"/>
      <c r="J816" s="288"/>
      <c r="K816" s="288"/>
      <c r="L816" s="288"/>
      <c r="M816" s="288"/>
      <c r="N816" s="288"/>
      <c r="O816" s="288"/>
      <c r="P816" s="294"/>
      <c r="Q816" s="294"/>
      <c r="R816" s="294"/>
      <c r="S816" s="294"/>
      <c r="T816" s="294"/>
      <c r="U816" s="294"/>
      <c r="V816" s="294"/>
      <c r="W816" s="294"/>
      <c r="X816" s="294"/>
      <c r="Y816" s="294"/>
      <c r="Z816" s="294"/>
      <c r="AA816" s="294"/>
      <c r="AB816" s="294"/>
    </row>
    <row r="817">
      <c r="A817" s="288"/>
      <c r="B817" s="288"/>
      <c r="C817" s="288"/>
      <c r="D817" s="288"/>
      <c r="E817" s="288"/>
      <c r="F817" s="288"/>
      <c r="G817" s="289"/>
      <c r="H817" s="288"/>
      <c r="I817" s="288"/>
      <c r="J817" s="288"/>
      <c r="K817" s="288"/>
      <c r="L817" s="288"/>
      <c r="M817" s="288"/>
      <c r="N817" s="288"/>
      <c r="O817" s="288"/>
      <c r="P817" s="294"/>
      <c r="Q817" s="294"/>
      <c r="R817" s="294"/>
      <c r="S817" s="294"/>
      <c r="T817" s="294"/>
      <c r="U817" s="294"/>
      <c r="V817" s="294"/>
      <c r="W817" s="294"/>
      <c r="X817" s="294"/>
      <c r="Y817" s="294"/>
      <c r="Z817" s="294"/>
      <c r="AA817" s="294"/>
      <c r="AB817" s="294"/>
    </row>
    <row r="818">
      <c r="A818" s="288"/>
      <c r="B818" s="288"/>
      <c r="C818" s="288"/>
      <c r="D818" s="288"/>
      <c r="E818" s="288"/>
      <c r="F818" s="288"/>
      <c r="G818" s="289"/>
      <c r="H818" s="288"/>
      <c r="I818" s="288"/>
      <c r="J818" s="288"/>
      <c r="K818" s="288"/>
      <c r="L818" s="288"/>
      <c r="M818" s="288"/>
      <c r="N818" s="288"/>
      <c r="O818" s="288"/>
      <c r="P818" s="294"/>
      <c r="Q818" s="294"/>
      <c r="R818" s="294"/>
      <c r="S818" s="294"/>
      <c r="T818" s="294"/>
      <c r="U818" s="294"/>
      <c r="V818" s="294"/>
      <c r="W818" s="294"/>
      <c r="X818" s="294"/>
      <c r="Y818" s="294"/>
      <c r="Z818" s="294"/>
      <c r="AA818" s="294"/>
      <c r="AB818" s="294"/>
    </row>
    <row r="819">
      <c r="A819" s="288"/>
      <c r="B819" s="288"/>
      <c r="C819" s="288"/>
      <c r="D819" s="288"/>
      <c r="E819" s="288"/>
      <c r="F819" s="288"/>
      <c r="G819" s="289"/>
      <c r="H819" s="288"/>
      <c r="I819" s="288"/>
      <c r="J819" s="288"/>
      <c r="K819" s="288"/>
      <c r="L819" s="288"/>
      <c r="M819" s="288"/>
      <c r="N819" s="288"/>
      <c r="O819" s="288"/>
      <c r="P819" s="294"/>
      <c r="Q819" s="294"/>
      <c r="R819" s="294"/>
      <c r="S819" s="294"/>
      <c r="T819" s="294"/>
      <c r="U819" s="294"/>
      <c r="V819" s="294"/>
      <c r="W819" s="294"/>
      <c r="X819" s="294"/>
      <c r="Y819" s="294"/>
      <c r="Z819" s="294"/>
      <c r="AA819" s="294"/>
      <c r="AB819" s="294"/>
    </row>
    <row r="820">
      <c r="A820" s="288"/>
      <c r="B820" s="288"/>
      <c r="C820" s="288"/>
      <c r="D820" s="288"/>
      <c r="E820" s="288"/>
      <c r="F820" s="288"/>
      <c r="G820" s="289"/>
      <c r="H820" s="288"/>
      <c r="I820" s="288"/>
      <c r="J820" s="288"/>
      <c r="K820" s="288"/>
      <c r="L820" s="288"/>
      <c r="M820" s="288"/>
      <c r="N820" s="288"/>
      <c r="O820" s="288"/>
      <c r="P820" s="294"/>
      <c r="Q820" s="294"/>
      <c r="R820" s="294"/>
      <c r="S820" s="294"/>
      <c r="T820" s="294"/>
      <c r="U820" s="294"/>
      <c r="V820" s="294"/>
      <c r="W820" s="294"/>
      <c r="X820" s="294"/>
      <c r="Y820" s="294"/>
      <c r="Z820" s="294"/>
      <c r="AA820" s="294"/>
      <c r="AB820" s="294"/>
    </row>
    <row r="821">
      <c r="A821" s="288"/>
      <c r="B821" s="288"/>
      <c r="C821" s="288"/>
      <c r="D821" s="288"/>
      <c r="E821" s="288"/>
      <c r="F821" s="288"/>
      <c r="G821" s="289"/>
      <c r="H821" s="288"/>
      <c r="I821" s="288"/>
      <c r="J821" s="288"/>
      <c r="K821" s="288"/>
      <c r="L821" s="288"/>
      <c r="M821" s="288"/>
      <c r="N821" s="288"/>
      <c r="O821" s="288"/>
      <c r="P821" s="294"/>
      <c r="Q821" s="294"/>
      <c r="R821" s="294"/>
      <c r="S821" s="294"/>
      <c r="T821" s="294"/>
      <c r="U821" s="294"/>
      <c r="V821" s="294"/>
      <c r="W821" s="294"/>
      <c r="X821" s="294"/>
      <c r="Y821" s="294"/>
      <c r="Z821" s="294"/>
      <c r="AA821" s="294"/>
      <c r="AB821" s="294"/>
    </row>
    <row r="822">
      <c r="A822" s="288"/>
      <c r="B822" s="288"/>
      <c r="C822" s="288"/>
      <c r="D822" s="288"/>
      <c r="E822" s="288"/>
      <c r="F822" s="288"/>
      <c r="G822" s="289"/>
      <c r="H822" s="288"/>
      <c r="I822" s="288"/>
      <c r="J822" s="288"/>
      <c r="K822" s="288"/>
      <c r="L822" s="288"/>
      <c r="M822" s="288"/>
      <c r="N822" s="288"/>
      <c r="O822" s="288"/>
      <c r="P822" s="294"/>
      <c r="Q822" s="294"/>
      <c r="R822" s="294"/>
      <c r="S822" s="294"/>
      <c r="T822" s="294"/>
      <c r="U822" s="294"/>
      <c r="V822" s="294"/>
      <c r="W822" s="294"/>
      <c r="X822" s="294"/>
      <c r="Y822" s="294"/>
      <c r="Z822" s="294"/>
      <c r="AA822" s="294"/>
      <c r="AB822" s="294"/>
    </row>
    <row r="823">
      <c r="A823" s="288"/>
      <c r="B823" s="288"/>
      <c r="C823" s="288"/>
      <c r="D823" s="288"/>
      <c r="E823" s="288"/>
      <c r="F823" s="288"/>
      <c r="G823" s="289"/>
      <c r="H823" s="288"/>
      <c r="I823" s="288"/>
      <c r="J823" s="288"/>
      <c r="K823" s="288"/>
      <c r="L823" s="288"/>
      <c r="M823" s="288"/>
      <c r="N823" s="288"/>
      <c r="O823" s="288"/>
      <c r="P823" s="294"/>
      <c r="Q823" s="294"/>
      <c r="R823" s="294"/>
      <c r="S823" s="294"/>
      <c r="T823" s="294"/>
      <c r="U823" s="294"/>
      <c r="V823" s="294"/>
      <c r="W823" s="294"/>
      <c r="X823" s="294"/>
      <c r="Y823" s="294"/>
      <c r="Z823" s="294"/>
      <c r="AA823" s="294"/>
      <c r="AB823" s="294"/>
    </row>
    <row r="824">
      <c r="A824" s="288"/>
      <c r="B824" s="288"/>
      <c r="C824" s="288"/>
      <c r="D824" s="288"/>
      <c r="E824" s="288"/>
      <c r="F824" s="288"/>
      <c r="G824" s="289"/>
      <c r="H824" s="288"/>
      <c r="I824" s="288"/>
      <c r="J824" s="288"/>
      <c r="K824" s="288"/>
      <c r="L824" s="288"/>
      <c r="M824" s="288"/>
      <c r="N824" s="288"/>
      <c r="O824" s="288"/>
      <c r="P824" s="294"/>
      <c r="Q824" s="294"/>
      <c r="R824" s="294"/>
      <c r="S824" s="294"/>
      <c r="T824" s="294"/>
      <c r="U824" s="294"/>
      <c r="V824" s="294"/>
      <c r="W824" s="294"/>
      <c r="X824" s="294"/>
      <c r="Y824" s="294"/>
      <c r="Z824" s="294"/>
      <c r="AA824" s="294"/>
      <c r="AB824" s="294"/>
    </row>
    <row r="825">
      <c r="A825" s="288"/>
      <c r="B825" s="288"/>
      <c r="C825" s="288"/>
      <c r="D825" s="288"/>
      <c r="E825" s="288"/>
      <c r="F825" s="288"/>
      <c r="G825" s="289"/>
      <c r="H825" s="288"/>
      <c r="I825" s="288"/>
      <c r="J825" s="288"/>
      <c r="K825" s="288"/>
      <c r="L825" s="288"/>
      <c r="M825" s="288"/>
      <c r="N825" s="288"/>
      <c r="O825" s="288"/>
      <c r="P825" s="294"/>
      <c r="Q825" s="294"/>
      <c r="R825" s="294"/>
      <c r="S825" s="294"/>
      <c r="T825" s="294"/>
      <c r="U825" s="294"/>
      <c r="V825" s="294"/>
      <c r="W825" s="294"/>
      <c r="X825" s="294"/>
      <c r="Y825" s="294"/>
      <c r="Z825" s="294"/>
      <c r="AA825" s="294"/>
      <c r="AB825" s="294"/>
    </row>
    <row r="826">
      <c r="A826" s="288"/>
      <c r="B826" s="288"/>
      <c r="C826" s="288"/>
      <c r="D826" s="288"/>
      <c r="E826" s="288"/>
      <c r="F826" s="288"/>
      <c r="G826" s="289"/>
      <c r="H826" s="288"/>
      <c r="I826" s="288"/>
      <c r="J826" s="288"/>
      <c r="K826" s="288"/>
      <c r="L826" s="288"/>
      <c r="M826" s="288"/>
      <c r="N826" s="288"/>
      <c r="O826" s="288"/>
      <c r="P826" s="294"/>
      <c r="Q826" s="294"/>
      <c r="R826" s="294"/>
      <c r="S826" s="294"/>
      <c r="T826" s="294"/>
      <c r="U826" s="294"/>
      <c r="V826" s="294"/>
      <c r="W826" s="294"/>
      <c r="X826" s="294"/>
      <c r="Y826" s="294"/>
      <c r="Z826" s="294"/>
      <c r="AA826" s="294"/>
      <c r="AB826" s="294"/>
    </row>
    <row r="827">
      <c r="A827" s="288"/>
      <c r="B827" s="288"/>
      <c r="C827" s="288"/>
      <c r="D827" s="288"/>
      <c r="E827" s="288"/>
      <c r="F827" s="288"/>
      <c r="G827" s="289"/>
      <c r="H827" s="288"/>
      <c r="I827" s="288"/>
      <c r="J827" s="288"/>
      <c r="K827" s="288"/>
      <c r="L827" s="288"/>
      <c r="M827" s="288"/>
      <c r="N827" s="288"/>
      <c r="O827" s="288"/>
      <c r="P827" s="294"/>
      <c r="Q827" s="294"/>
      <c r="R827" s="294"/>
      <c r="S827" s="294"/>
      <c r="T827" s="294"/>
      <c r="U827" s="294"/>
      <c r="V827" s="294"/>
      <c r="W827" s="294"/>
      <c r="X827" s="294"/>
      <c r="Y827" s="294"/>
      <c r="Z827" s="294"/>
      <c r="AA827" s="294"/>
      <c r="AB827" s="294"/>
    </row>
    <row r="828">
      <c r="A828" s="288"/>
      <c r="B828" s="288"/>
      <c r="C828" s="288"/>
      <c r="D828" s="288"/>
      <c r="E828" s="288"/>
      <c r="F828" s="288"/>
      <c r="G828" s="289"/>
      <c r="H828" s="288"/>
      <c r="I828" s="288"/>
      <c r="J828" s="288"/>
      <c r="K828" s="288"/>
      <c r="L828" s="288"/>
      <c r="M828" s="288"/>
      <c r="N828" s="288"/>
      <c r="O828" s="288"/>
      <c r="P828" s="294"/>
      <c r="Q828" s="294"/>
      <c r="R828" s="294"/>
      <c r="S828" s="294"/>
      <c r="T828" s="294"/>
      <c r="U828" s="294"/>
      <c r="V828" s="294"/>
      <c r="W828" s="294"/>
      <c r="X828" s="294"/>
      <c r="Y828" s="294"/>
      <c r="Z828" s="294"/>
      <c r="AA828" s="294"/>
      <c r="AB828" s="294"/>
    </row>
    <row r="829">
      <c r="A829" s="288"/>
      <c r="B829" s="288"/>
      <c r="C829" s="288"/>
      <c r="D829" s="288"/>
      <c r="E829" s="288"/>
      <c r="F829" s="288"/>
      <c r="G829" s="289"/>
      <c r="H829" s="288"/>
      <c r="I829" s="288"/>
      <c r="J829" s="288"/>
      <c r="K829" s="288"/>
      <c r="L829" s="288"/>
      <c r="M829" s="288"/>
      <c r="N829" s="288"/>
      <c r="O829" s="288"/>
      <c r="P829" s="294"/>
      <c r="Q829" s="294"/>
      <c r="R829" s="294"/>
      <c r="S829" s="294"/>
      <c r="T829" s="294"/>
      <c r="U829" s="294"/>
      <c r="V829" s="294"/>
      <c r="W829" s="294"/>
      <c r="X829" s="294"/>
      <c r="Y829" s="294"/>
      <c r="Z829" s="294"/>
      <c r="AA829" s="294"/>
      <c r="AB829" s="294"/>
    </row>
    <row r="830">
      <c r="A830" s="288"/>
      <c r="B830" s="288"/>
      <c r="C830" s="288"/>
      <c r="D830" s="288"/>
      <c r="E830" s="288"/>
      <c r="F830" s="288"/>
      <c r="G830" s="289"/>
      <c r="H830" s="288"/>
      <c r="I830" s="288"/>
      <c r="J830" s="288"/>
      <c r="K830" s="288"/>
      <c r="L830" s="288"/>
      <c r="M830" s="288"/>
      <c r="N830" s="288"/>
      <c r="O830" s="288"/>
      <c r="P830" s="294"/>
      <c r="Q830" s="294"/>
      <c r="R830" s="294"/>
      <c r="S830" s="294"/>
      <c r="T830" s="294"/>
      <c r="U830" s="294"/>
      <c r="V830" s="294"/>
      <c r="W830" s="294"/>
      <c r="X830" s="294"/>
      <c r="Y830" s="294"/>
      <c r="Z830" s="294"/>
      <c r="AA830" s="294"/>
      <c r="AB830" s="294"/>
    </row>
    <row r="831">
      <c r="A831" s="288"/>
      <c r="B831" s="288"/>
      <c r="C831" s="288"/>
      <c r="D831" s="288"/>
      <c r="E831" s="288"/>
      <c r="F831" s="288"/>
      <c r="G831" s="289"/>
      <c r="H831" s="288"/>
      <c r="I831" s="288"/>
      <c r="J831" s="288"/>
      <c r="K831" s="288"/>
      <c r="L831" s="288"/>
      <c r="M831" s="288"/>
      <c r="N831" s="288"/>
      <c r="O831" s="288"/>
      <c r="P831" s="294"/>
      <c r="Q831" s="294"/>
      <c r="R831" s="294"/>
      <c r="S831" s="294"/>
      <c r="T831" s="294"/>
      <c r="U831" s="294"/>
      <c r="V831" s="294"/>
      <c r="W831" s="294"/>
      <c r="X831" s="294"/>
      <c r="Y831" s="294"/>
      <c r="Z831" s="294"/>
      <c r="AA831" s="294"/>
      <c r="AB831" s="294"/>
    </row>
    <row r="832">
      <c r="A832" s="288"/>
      <c r="B832" s="288"/>
      <c r="C832" s="288"/>
      <c r="D832" s="288"/>
      <c r="E832" s="288"/>
      <c r="F832" s="288"/>
      <c r="G832" s="289"/>
      <c r="H832" s="288"/>
      <c r="I832" s="288"/>
      <c r="J832" s="288"/>
      <c r="K832" s="288"/>
      <c r="L832" s="288"/>
      <c r="M832" s="288"/>
      <c r="N832" s="288"/>
      <c r="O832" s="288"/>
      <c r="P832" s="294"/>
      <c r="Q832" s="294"/>
      <c r="R832" s="294"/>
      <c r="S832" s="294"/>
      <c r="T832" s="294"/>
      <c r="U832" s="294"/>
      <c r="V832" s="294"/>
      <c r="W832" s="294"/>
      <c r="X832" s="294"/>
      <c r="Y832" s="294"/>
      <c r="Z832" s="294"/>
      <c r="AA832" s="294"/>
      <c r="AB832" s="294"/>
    </row>
    <row r="833">
      <c r="A833" s="288"/>
      <c r="B833" s="288"/>
      <c r="C833" s="288"/>
      <c r="D833" s="288"/>
      <c r="E833" s="288"/>
      <c r="F833" s="288"/>
      <c r="G833" s="289"/>
      <c r="H833" s="288"/>
      <c r="I833" s="288"/>
      <c r="J833" s="288"/>
      <c r="K833" s="288"/>
      <c r="L833" s="288"/>
      <c r="M833" s="288"/>
      <c r="N833" s="288"/>
      <c r="O833" s="288"/>
      <c r="P833" s="294"/>
      <c r="Q833" s="294"/>
      <c r="R833" s="294"/>
      <c r="S833" s="294"/>
      <c r="T833" s="294"/>
      <c r="U833" s="294"/>
      <c r="V833" s="294"/>
      <c r="W833" s="294"/>
      <c r="X833" s="294"/>
      <c r="Y833" s="294"/>
      <c r="Z833" s="294"/>
      <c r="AA833" s="294"/>
      <c r="AB833" s="294"/>
    </row>
    <row r="834">
      <c r="A834" s="288"/>
      <c r="B834" s="288"/>
      <c r="C834" s="288"/>
      <c r="D834" s="288"/>
      <c r="E834" s="288"/>
      <c r="F834" s="288"/>
      <c r="G834" s="289"/>
      <c r="H834" s="288"/>
      <c r="I834" s="288"/>
      <c r="J834" s="288"/>
      <c r="K834" s="288"/>
      <c r="L834" s="288"/>
      <c r="M834" s="288"/>
      <c r="N834" s="288"/>
      <c r="O834" s="288"/>
      <c r="P834" s="294"/>
      <c r="Q834" s="294"/>
      <c r="R834" s="294"/>
      <c r="S834" s="294"/>
      <c r="T834" s="294"/>
      <c r="U834" s="294"/>
      <c r="V834" s="294"/>
      <c r="W834" s="294"/>
      <c r="X834" s="294"/>
      <c r="Y834" s="294"/>
      <c r="Z834" s="294"/>
      <c r="AA834" s="294"/>
      <c r="AB834" s="294"/>
    </row>
    <row r="835">
      <c r="A835" s="288"/>
      <c r="B835" s="288"/>
      <c r="C835" s="288"/>
      <c r="D835" s="288"/>
      <c r="E835" s="288"/>
      <c r="F835" s="288"/>
      <c r="G835" s="289"/>
      <c r="H835" s="288"/>
      <c r="I835" s="288"/>
      <c r="J835" s="288"/>
      <c r="K835" s="288"/>
      <c r="L835" s="288"/>
      <c r="M835" s="288"/>
      <c r="N835" s="288"/>
      <c r="O835" s="288"/>
      <c r="P835" s="294"/>
      <c r="Q835" s="294"/>
      <c r="R835" s="294"/>
      <c r="S835" s="294"/>
      <c r="T835" s="294"/>
      <c r="U835" s="294"/>
      <c r="V835" s="294"/>
      <c r="W835" s="294"/>
      <c r="X835" s="294"/>
      <c r="Y835" s="294"/>
      <c r="Z835" s="294"/>
      <c r="AA835" s="294"/>
      <c r="AB835" s="294"/>
    </row>
    <row r="836">
      <c r="A836" s="288"/>
      <c r="B836" s="288"/>
      <c r="C836" s="288"/>
      <c r="D836" s="288"/>
      <c r="E836" s="288"/>
      <c r="F836" s="288"/>
      <c r="G836" s="289"/>
      <c r="H836" s="288"/>
      <c r="I836" s="288"/>
      <c r="J836" s="288"/>
      <c r="K836" s="288"/>
      <c r="L836" s="288"/>
      <c r="M836" s="288"/>
      <c r="N836" s="288"/>
      <c r="O836" s="288"/>
      <c r="P836" s="294"/>
      <c r="Q836" s="294"/>
      <c r="R836" s="294"/>
      <c r="S836" s="294"/>
      <c r="T836" s="294"/>
      <c r="U836" s="294"/>
      <c r="V836" s="294"/>
      <c r="W836" s="294"/>
      <c r="X836" s="294"/>
      <c r="Y836" s="294"/>
      <c r="Z836" s="294"/>
      <c r="AA836" s="294"/>
      <c r="AB836" s="294"/>
    </row>
    <row r="837">
      <c r="A837" s="288"/>
      <c r="B837" s="288"/>
      <c r="C837" s="288"/>
      <c r="D837" s="288"/>
      <c r="E837" s="288"/>
      <c r="F837" s="288"/>
      <c r="G837" s="289"/>
      <c r="H837" s="288"/>
      <c r="I837" s="288"/>
      <c r="J837" s="288"/>
      <c r="K837" s="288"/>
      <c r="L837" s="288"/>
      <c r="M837" s="288"/>
      <c r="N837" s="288"/>
      <c r="O837" s="288"/>
      <c r="P837" s="294"/>
      <c r="Q837" s="294"/>
      <c r="R837" s="294"/>
      <c r="S837" s="294"/>
      <c r="T837" s="294"/>
      <c r="U837" s="294"/>
      <c r="V837" s="294"/>
      <c r="W837" s="294"/>
      <c r="X837" s="294"/>
      <c r="Y837" s="294"/>
      <c r="Z837" s="294"/>
      <c r="AA837" s="294"/>
      <c r="AB837" s="294"/>
    </row>
    <row r="838">
      <c r="A838" s="288"/>
      <c r="B838" s="288"/>
      <c r="C838" s="288"/>
      <c r="D838" s="288"/>
      <c r="E838" s="288"/>
      <c r="F838" s="288"/>
      <c r="G838" s="289"/>
      <c r="H838" s="288"/>
      <c r="I838" s="288"/>
      <c r="J838" s="288"/>
      <c r="K838" s="288"/>
      <c r="L838" s="288"/>
      <c r="M838" s="288"/>
      <c r="N838" s="288"/>
      <c r="O838" s="288"/>
      <c r="P838" s="294"/>
      <c r="Q838" s="294"/>
      <c r="R838" s="294"/>
      <c r="S838" s="294"/>
      <c r="T838" s="294"/>
      <c r="U838" s="294"/>
      <c r="V838" s="294"/>
      <c r="W838" s="294"/>
      <c r="X838" s="294"/>
      <c r="Y838" s="294"/>
      <c r="Z838" s="294"/>
      <c r="AA838" s="294"/>
      <c r="AB838" s="294"/>
    </row>
    <row r="839">
      <c r="A839" s="288"/>
      <c r="B839" s="288"/>
      <c r="C839" s="288"/>
      <c r="D839" s="288"/>
      <c r="E839" s="288"/>
      <c r="F839" s="288"/>
      <c r="G839" s="289"/>
      <c r="H839" s="288"/>
      <c r="I839" s="288"/>
      <c r="J839" s="288"/>
      <c r="K839" s="288"/>
      <c r="L839" s="288"/>
      <c r="M839" s="288"/>
      <c r="N839" s="288"/>
      <c r="O839" s="288"/>
      <c r="P839" s="294"/>
      <c r="Q839" s="294"/>
      <c r="R839" s="294"/>
      <c r="S839" s="294"/>
      <c r="T839" s="294"/>
      <c r="U839" s="294"/>
      <c r="V839" s="294"/>
      <c r="W839" s="294"/>
      <c r="X839" s="294"/>
      <c r="Y839" s="294"/>
      <c r="Z839" s="294"/>
      <c r="AA839" s="294"/>
      <c r="AB839" s="294"/>
    </row>
    <row r="840">
      <c r="A840" s="288"/>
      <c r="B840" s="288"/>
      <c r="C840" s="288"/>
      <c r="D840" s="288"/>
      <c r="E840" s="288"/>
      <c r="F840" s="288"/>
      <c r="G840" s="289"/>
      <c r="H840" s="288"/>
      <c r="I840" s="288"/>
      <c r="J840" s="288"/>
      <c r="K840" s="288"/>
      <c r="L840" s="288"/>
      <c r="M840" s="288"/>
      <c r="N840" s="288"/>
      <c r="O840" s="288"/>
      <c r="P840" s="294"/>
      <c r="Q840" s="294"/>
      <c r="R840" s="294"/>
      <c r="S840" s="294"/>
      <c r="T840" s="294"/>
      <c r="U840" s="294"/>
      <c r="V840" s="294"/>
      <c r="W840" s="294"/>
      <c r="X840" s="294"/>
      <c r="Y840" s="294"/>
      <c r="Z840" s="294"/>
      <c r="AA840" s="294"/>
      <c r="AB840" s="294"/>
    </row>
    <row r="841">
      <c r="A841" s="288"/>
      <c r="B841" s="288"/>
      <c r="C841" s="288"/>
      <c r="D841" s="288"/>
      <c r="E841" s="288"/>
      <c r="F841" s="288"/>
      <c r="G841" s="289"/>
      <c r="H841" s="288"/>
      <c r="I841" s="288"/>
      <c r="J841" s="288"/>
      <c r="K841" s="288"/>
      <c r="L841" s="288"/>
      <c r="M841" s="288"/>
      <c r="N841" s="288"/>
      <c r="O841" s="288"/>
      <c r="P841" s="294"/>
      <c r="Q841" s="294"/>
      <c r="R841" s="294"/>
      <c r="S841" s="294"/>
      <c r="T841" s="294"/>
      <c r="U841" s="294"/>
      <c r="V841" s="294"/>
      <c r="W841" s="294"/>
      <c r="X841" s="294"/>
      <c r="Y841" s="294"/>
      <c r="Z841" s="294"/>
      <c r="AA841" s="294"/>
      <c r="AB841" s="294"/>
    </row>
    <row r="842">
      <c r="A842" s="288"/>
      <c r="B842" s="288"/>
      <c r="C842" s="288"/>
      <c r="D842" s="288"/>
      <c r="E842" s="288"/>
      <c r="F842" s="288"/>
      <c r="G842" s="289"/>
      <c r="H842" s="288"/>
      <c r="I842" s="288"/>
      <c r="J842" s="288"/>
      <c r="K842" s="288"/>
      <c r="L842" s="288"/>
      <c r="M842" s="288"/>
      <c r="N842" s="288"/>
      <c r="O842" s="288"/>
      <c r="P842" s="294"/>
      <c r="Q842" s="294"/>
      <c r="R842" s="294"/>
      <c r="S842" s="294"/>
      <c r="T842" s="294"/>
      <c r="U842" s="294"/>
      <c r="V842" s="294"/>
      <c r="W842" s="294"/>
      <c r="X842" s="294"/>
      <c r="Y842" s="294"/>
      <c r="Z842" s="294"/>
      <c r="AA842" s="294"/>
      <c r="AB842" s="294"/>
    </row>
    <row r="843">
      <c r="A843" s="288"/>
      <c r="B843" s="288"/>
      <c r="C843" s="288"/>
      <c r="D843" s="288"/>
      <c r="E843" s="288"/>
      <c r="F843" s="288"/>
      <c r="G843" s="289"/>
      <c r="H843" s="288"/>
      <c r="I843" s="288"/>
      <c r="J843" s="288"/>
      <c r="K843" s="288"/>
      <c r="L843" s="288"/>
      <c r="M843" s="288"/>
      <c r="N843" s="288"/>
      <c r="O843" s="288"/>
      <c r="P843" s="294"/>
      <c r="Q843" s="294"/>
      <c r="R843" s="294"/>
      <c r="S843" s="294"/>
      <c r="T843" s="294"/>
      <c r="U843" s="294"/>
      <c r="V843" s="294"/>
      <c r="W843" s="294"/>
      <c r="X843" s="294"/>
      <c r="Y843" s="294"/>
      <c r="Z843" s="294"/>
      <c r="AA843" s="294"/>
      <c r="AB843" s="294"/>
    </row>
    <row r="844">
      <c r="A844" s="288"/>
      <c r="B844" s="288"/>
      <c r="C844" s="288"/>
      <c r="D844" s="288"/>
      <c r="E844" s="288"/>
      <c r="F844" s="288"/>
      <c r="G844" s="289"/>
      <c r="H844" s="288"/>
      <c r="I844" s="288"/>
      <c r="J844" s="288"/>
      <c r="K844" s="288"/>
      <c r="L844" s="288"/>
      <c r="M844" s="288"/>
      <c r="N844" s="288"/>
      <c r="O844" s="288"/>
      <c r="P844" s="294"/>
      <c r="Q844" s="294"/>
      <c r="R844" s="294"/>
      <c r="S844" s="294"/>
      <c r="T844" s="294"/>
      <c r="U844" s="294"/>
      <c r="V844" s="294"/>
      <c r="W844" s="294"/>
      <c r="X844" s="294"/>
      <c r="Y844" s="294"/>
      <c r="Z844" s="294"/>
      <c r="AA844" s="294"/>
      <c r="AB844" s="294"/>
    </row>
    <row r="845">
      <c r="A845" s="288"/>
      <c r="B845" s="288"/>
      <c r="C845" s="288"/>
      <c r="D845" s="288"/>
      <c r="E845" s="288"/>
      <c r="F845" s="288"/>
      <c r="G845" s="289"/>
      <c r="H845" s="288"/>
      <c r="I845" s="288"/>
      <c r="J845" s="288"/>
      <c r="K845" s="288"/>
      <c r="L845" s="288"/>
      <c r="M845" s="288"/>
      <c r="N845" s="288"/>
      <c r="O845" s="288"/>
      <c r="P845" s="294"/>
      <c r="Q845" s="294"/>
      <c r="R845" s="294"/>
      <c r="S845" s="294"/>
      <c r="T845" s="294"/>
      <c r="U845" s="294"/>
      <c r="V845" s="294"/>
      <c r="W845" s="294"/>
      <c r="X845" s="294"/>
      <c r="Y845" s="294"/>
      <c r="Z845" s="294"/>
      <c r="AA845" s="294"/>
      <c r="AB845" s="294"/>
    </row>
    <row r="846">
      <c r="A846" s="288"/>
      <c r="B846" s="288"/>
      <c r="C846" s="288"/>
      <c r="D846" s="288"/>
      <c r="E846" s="288"/>
      <c r="F846" s="288"/>
      <c r="G846" s="289"/>
      <c r="H846" s="288"/>
      <c r="I846" s="288"/>
      <c r="J846" s="288"/>
      <c r="K846" s="288"/>
      <c r="L846" s="288"/>
      <c r="M846" s="288"/>
      <c r="N846" s="288"/>
      <c r="O846" s="288"/>
      <c r="P846" s="294"/>
      <c r="Q846" s="294"/>
      <c r="R846" s="294"/>
      <c r="S846" s="294"/>
      <c r="T846" s="294"/>
      <c r="U846" s="294"/>
      <c r="V846" s="294"/>
      <c r="W846" s="294"/>
      <c r="X846" s="294"/>
      <c r="Y846" s="294"/>
      <c r="Z846" s="294"/>
      <c r="AA846" s="294"/>
      <c r="AB846" s="294"/>
    </row>
    <row r="847">
      <c r="A847" s="288"/>
      <c r="B847" s="288"/>
      <c r="C847" s="288"/>
      <c r="D847" s="288"/>
      <c r="E847" s="288"/>
      <c r="F847" s="288"/>
      <c r="G847" s="289"/>
      <c r="H847" s="288"/>
      <c r="I847" s="288"/>
      <c r="J847" s="288"/>
      <c r="K847" s="288"/>
      <c r="L847" s="288"/>
      <c r="M847" s="288"/>
      <c r="N847" s="288"/>
      <c r="O847" s="288"/>
      <c r="P847" s="294"/>
      <c r="Q847" s="294"/>
      <c r="R847" s="294"/>
      <c r="S847" s="294"/>
      <c r="T847" s="294"/>
      <c r="U847" s="294"/>
      <c r="V847" s="294"/>
      <c r="W847" s="294"/>
      <c r="X847" s="294"/>
      <c r="Y847" s="294"/>
      <c r="Z847" s="294"/>
      <c r="AA847" s="294"/>
      <c r="AB847" s="294"/>
    </row>
    <row r="848">
      <c r="A848" s="288"/>
      <c r="B848" s="288"/>
      <c r="C848" s="288"/>
      <c r="D848" s="288"/>
      <c r="E848" s="288"/>
      <c r="F848" s="288"/>
      <c r="G848" s="289"/>
      <c r="H848" s="288"/>
      <c r="I848" s="288"/>
      <c r="J848" s="288"/>
      <c r="K848" s="288"/>
      <c r="L848" s="288"/>
      <c r="M848" s="288"/>
      <c r="N848" s="288"/>
      <c r="O848" s="288"/>
      <c r="P848" s="294"/>
      <c r="Q848" s="294"/>
      <c r="R848" s="294"/>
      <c r="S848" s="294"/>
      <c r="T848" s="294"/>
      <c r="U848" s="294"/>
      <c r="V848" s="294"/>
      <c r="W848" s="294"/>
      <c r="X848" s="294"/>
      <c r="Y848" s="294"/>
      <c r="Z848" s="294"/>
      <c r="AA848" s="294"/>
      <c r="AB848" s="294"/>
    </row>
    <row r="849">
      <c r="A849" s="288"/>
      <c r="B849" s="288"/>
      <c r="C849" s="288"/>
      <c r="D849" s="288"/>
      <c r="E849" s="288"/>
      <c r="F849" s="288"/>
      <c r="G849" s="289"/>
      <c r="H849" s="288"/>
      <c r="I849" s="288"/>
      <c r="J849" s="288"/>
      <c r="K849" s="288"/>
      <c r="L849" s="288"/>
      <c r="M849" s="288"/>
      <c r="N849" s="288"/>
      <c r="O849" s="288"/>
      <c r="P849" s="294"/>
      <c r="Q849" s="294"/>
      <c r="R849" s="294"/>
      <c r="S849" s="294"/>
      <c r="T849" s="294"/>
      <c r="U849" s="294"/>
      <c r="V849" s="294"/>
      <c r="W849" s="294"/>
      <c r="X849" s="294"/>
      <c r="Y849" s="294"/>
      <c r="Z849" s="294"/>
      <c r="AA849" s="294"/>
      <c r="AB849" s="294"/>
    </row>
    <row r="850">
      <c r="A850" s="288"/>
      <c r="B850" s="288"/>
      <c r="C850" s="288"/>
      <c r="D850" s="288"/>
      <c r="E850" s="288"/>
      <c r="F850" s="288"/>
      <c r="G850" s="289"/>
      <c r="H850" s="288"/>
      <c r="I850" s="288"/>
      <c r="J850" s="288"/>
      <c r="K850" s="288"/>
      <c r="L850" s="288"/>
      <c r="M850" s="288"/>
      <c r="N850" s="288"/>
      <c r="O850" s="288"/>
      <c r="P850" s="294"/>
      <c r="Q850" s="294"/>
      <c r="R850" s="294"/>
      <c r="S850" s="294"/>
      <c r="T850" s="294"/>
      <c r="U850" s="294"/>
      <c r="V850" s="294"/>
      <c r="W850" s="294"/>
      <c r="X850" s="294"/>
      <c r="Y850" s="294"/>
      <c r="Z850" s="294"/>
      <c r="AA850" s="294"/>
      <c r="AB850" s="294"/>
    </row>
    <row r="851">
      <c r="A851" s="288"/>
      <c r="B851" s="288"/>
      <c r="C851" s="288"/>
      <c r="D851" s="288"/>
      <c r="E851" s="288"/>
      <c r="F851" s="288"/>
      <c r="G851" s="289"/>
      <c r="H851" s="288"/>
      <c r="I851" s="288"/>
      <c r="J851" s="288"/>
      <c r="K851" s="288"/>
      <c r="L851" s="288"/>
      <c r="M851" s="288"/>
      <c r="N851" s="288"/>
      <c r="O851" s="288"/>
      <c r="P851" s="294"/>
      <c r="Q851" s="294"/>
      <c r="R851" s="294"/>
      <c r="S851" s="294"/>
      <c r="T851" s="294"/>
      <c r="U851" s="294"/>
      <c r="V851" s="294"/>
      <c r="W851" s="294"/>
      <c r="X851" s="294"/>
      <c r="Y851" s="294"/>
      <c r="Z851" s="294"/>
      <c r="AA851" s="294"/>
      <c r="AB851" s="294"/>
    </row>
    <row r="852">
      <c r="A852" s="288"/>
      <c r="B852" s="288"/>
      <c r="C852" s="288"/>
      <c r="D852" s="288"/>
      <c r="E852" s="288"/>
      <c r="F852" s="288"/>
      <c r="G852" s="289"/>
      <c r="H852" s="288"/>
      <c r="I852" s="288"/>
      <c r="J852" s="288"/>
      <c r="K852" s="288"/>
      <c r="L852" s="288"/>
      <c r="M852" s="288"/>
      <c r="N852" s="288"/>
      <c r="O852" s="288"/>
      <c r="P852" s="294"/>
      <c r="Q852" s="294"/>
      <c r="R852" s="294"/>
      <c r="S852" s="294"/>
      <c r="T852" s="294"/>
      <c r="U852" s="294"/>
      <c r="V852" s="294"/>
      <c r="W852" s="294"/>
      <c r="X852" s="294"/>
      <c r="Y852" s="294"/>
      <c r="Z852" s="294"/>
      <c r="AA852" s="294"/>
      <c r="AB852" s="294"/>
    </row>
    <row r="853">
      <c r="A853" s="288"/>
      <c r="B853" s="288"/>
      <c r="C853" s="288"/>
      <c r="D853" s="288"/>
      <c r="E853" s="288"/>
      <c r="F853" s="288"/>
      <c r="G853" s="289"/>
      <c r="H853" s="288"/>
      <c r="I853" s="288"/>
      <c r="J853" s="288"/>
      <c r="K853" s="288"/>
      <c r="L853" s="288"/>
      <c r="M853" s="288"/>
      <c r="N853" s="288"/>
      <c r="O853" s="288"/>
      <c r="P853" s="294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  <c r="AA853" s="294"/>
      <c r="AB853" s="294"/>
    </row>
    <row r="854">
      <c r="A854" s="288"/>
      <c r="B854" s="288"/>
      <c r="C854" s="288"/>
      <c r="D854" s="288"/>
      <c r="E854" s="288"/>
      <c r="F854" s="288"/>
      <c r="G854" s="289"/>
      <c r="H854" s="288"/>
      <c r="I854" s="288"/>
      <c r="J854" s="288"/>
      <c r="K854" s="288"/>
      <c r="L854" s="288"/>
      <c r="M854" s="288"/>
      <c r="N854" s="288"/>
      <c r="O854" s="288"/>
      <c r="P854" s="294"/>
      <c r="Q854" s="294"/>
      <c r="R854" s="294"/>
      <c r="S854" s="294"/>
      <c r="T854" s="294"/>
      <c r="U854" s="294"/>
      <c r="V854" s="294"/>
      <c r="W854" s="294"/>
      <c r="X854" s="294"/>
      <c r="Y854" s="294"/>
      <c r="Z854" s="294"/>
      <c r="AA854" s="294"/>
      <c r="AB854" s="294"/>
    </row>
    <row r="855">
      <c r="A855" s="288"/>
      <c r="B855" s="288"/>
      <c r="C855" s="288"/>
      <c r="D855" s="288"/>
      <c r="E855" s="288"/>
      <c r="F855" s="288"/>
      <c r="G855" s="289"/>
      <c r="H855" s="288"/>
      <c r="I855" s="288"/>
      <c r="J855" s="288"/>
      <c r="K855" s="288"/>
      <c r="L855" s="288"/>
      <c r="M855" s="288"/>
      <c r="N855" s="288"/>
      <c r="O855" s="288"/>
      <c r="P855" s="294"/>
      <c r="Q855" s="294"/>
      <c r="R855" s="294"/>
      <c r="S855" s="294"/>
      <c r="T855" s="294"/>
      <c r="U855" s="294"/>
      <c r="V855" s="294"/>
      <c r="W855" s="294"/>
      <c r="X855" s="294"/>
      <c r="Y855" s="294"/>
      <c r="Z855" s="294"/>
      <c r="AA855" s="294"/>
      <c r="AB855" s="294"/>
    </row>
    <row r="856">
      <c r="A856" s="288"/>
      <c r="B856" s="288"/>
      <c r="C856" s="288"/>
      <c r="D856" s="288"/>
      <c r="E856" s="288"/>
      <c r="F856" s="288"/>
      <c r="G856" s="289"/>
      <c r="H856" s="288"/>
      <c r="I856" s="288"/>
      <c r="J856" s="288"/>
      <c r="K856" s="288"/>
      <c r="L856" s="288"/>
      <c r="M856" s="288"/>
      <c r="N856" s="288"/>
      <c r="O856" s="288"/>
      <c r="P856" s="294"/>
      <c r="Q856" s="294"/>
      <c r="R856" s="294"/>
      <c r="S856" s="294"/>
      <c r="T856" s="294"/>
      <c r="U856" s="294"/>
      <c r="V856" s="294"/>
      <c r="W856" s="294"/>
      <c r="X856" s="294"/>
      <c r="Y856" s="294"/>
      <c r="Z856" s="294"/>
      <c r="AA856" s="294"/>
      <c r="AB856" s="294"/>
    </row>
    <row r="857">
      <c r="A857" s="288"/>
      <c r="B857" s="288"/>
      <c r="C857" s="288"/>
      <c r="D857" s="288"/>
      <c r="E857" s="288"/>
      <c r="F857" s="288"/>
      <c r="G857" s="289"/>
      <c r="H857" s="288"/>
      <c r="I857" s="288"/>
      <c r="J857" s="288"/>
      <c r="K857" s="288"/>
      <c r="L857" s="288"/>
      <c r="M857" s="288"/>
      <c r="N857" s="288"/>
      <c r="O857" s="288"/>
      <c r="P857" s="294"/>
      <c r="Q857" s="294"/>
      <c r="R857" s="294"/>
      <c r="S857" s="294"/>
      <c r="T857" s="294"/>
      <c r="U857" s="294"/>
      <c r="V857" s="294"/>
      <c r="W857" s="294"/>
      <c r="X857" s="294"/>
      <c r="Y857" s="294"/>
      <c r="Z857" s="294"/>
      <c r="AA857" s="294"/>
      <c r="AB857" s="294"/>
    </row>
    <row r="858">
      <c r="A858" s="288"/>
      <c r="B858" s="288"/>
      <c r="C858" s="288"/>
      <c r="D858" s="288"/>
      <c r="E858" s="288"/>
      <c r="F858" s="288"/>
      <c r="G858" s="289"/>
      <c r="H858" s="288"/>
      <c r="I858" s="288"/>
      <c r="J858" s="288"/>
      <c r="K858" s="288"/>
      <c r="L858" s="288"/>
      <c r="M858" s="288"/>
      <c r="N858" s="288"/>
      <c r="O858" s="288"/>
      <c r="P858" s="294"/>
      <c r="Q858" s="294"/>
      <c r="R858" s="294"/>
      <c r="S858" s="294"/>
      <c r="T858" s="294"/>
      <c r="U858" s="294"/>
      <c r="V858" s="294"/>
      <c r="W858" s="294"/>
      <c r="X858" s="294"/>
      <c r="Y858" s="294"/>
      <c r="Z858" s="294"/>
      <c r="AA858" s="294"/>
      <c r="AB858" s="294"/>
    </row>
    <row r="859">
      <c r="A859" s="288"/>
      <c r="B859" s="288"/>
      <c r="C859" s="288"/>
      <c r="D859" s="288"/>
      <c r="E859" s="288"/>
      <c r="F859" s="288"/>
      <c r="G859" s="289"/>
      <c r="H859" s="288"/>
      <c r="I859" s="288"/>
      <c r="J859" s="288"/>
      <c r="K859" s="288"/>
      <c r="L859" s="288"/>
      <c r="M859" s="288"/>
      <c r="N859" s="288"/>
      <c r="O859" s="288"/>
      <c r="P859" s="294"/>
      <c r="Q859" s="294"/>
      <c r="R859" s="294"/>
      <c r="S859" s="294"/>
      <c r="T859" s="294"/>
      <c r="U859" s="294"/>
      <c r="V859" s="294"/>
      <c r="W859" s="294"/>
      <c r="X859" s="294"/>
      <c r="Y859" s="294"/>
      <c r="Z859" s="294"/>
      <c r="AA859" s="294"/>
      <c r="AB859" s="294"/>
    </row>
    <row r="860">
      <c r="A860" s="288"/>
      <c r="B860" s="288"/>
      <c r="C860" s="288"/>
      <c r="D860" s="288"/>
      <c r="E860" s="288"/>
      <c r="F860" s="288"/>
      <c r="G860" s="289"/>
      <c r="H860" s="288"/>
      <c r="I860" s="288"/>
      <c r="J860" s="288"/>
      <c r="K860" s="288"/>
      <c r="L860" s="288"/>
      <c r="M860" s="288"/>
      <c r="N860" s="288"/>
      <c r="O860" s="288"/>
      <c r="P860" s="294"/>
      <c r="Q860" s="294"/>
      <c r="R860" s="294"/>
      <c r="S860" s="294"/>
      <c r="T860" s="294"/>
      <c r="U860" s="294"/>
      <c r="V860" s="294"/>
      <c r="W860" s="294"/>
      <c r="X860" s="294"/>
      <c r="Y860" s="294"/>
      <c r="Z860" s="294"/>
      <c r="AA860" s="294"/>
      <c r="AB860" s="294"/>
    </row>
    <row r="861">
      <c r="A861" s="288"/>
      <c r="B861" s="288"/>
      <c r="C861" s="288"/>
      <c r="D861" s="288"/>
      <c r="E861" s="288"/>
      <c r="F861" s="288"/>
      <c r="G861" s="289"/>
      <c r="H861" s="288"/>
      <c r="I861" s="288"/>
      <c r="J861" s="288"/>
      <c r="K861" s="288"/>
      <c r="L861" s="288"/>
      <c r="M861" s="288"/>
      <c r="N861" s="288"/>
      <c r="O861" s="288"/>
      <c r="P861" s="294"/>
      <c r="Q861" s="294"/>
      <c r="R861" s="294"/>
      <c r="S861" s="294"/>
      <c r="T861" s="294"/>
      <c r="U861" s="294"/>
      <c r="V861" s="294"/>
      <c r="W861" s="294"/>
      <c r="X861" s="294"/>
      <c r="Y861" s="294"/>
      <c r="Z861" s="294"/>
      <c r="AA861" s="294"/>
      <c r="AB861" s="294"/>
    </row>
    <row r="862">
      <c r="A862" s="288"/>
      <c r="B862" s="288"/>
      <c r="C862" s="288"/>
      <c r="D862" s="288"/>
      <c r="E862" s="288"/>
      <c r="F862" s="288"/>
      <c r="G862" s="289"/>
      <c r="H862" s="288"/>
      <c r="I862" s="288"/>
      <c r="J862" s="288"/>
      <c r="K862" s="288"/>
      <c r="L862" s="288"/>
      <c r="M862" s="288"/>
      <c r="N862" s="288"/>
      <c r="O862" s="288"/>
      <c r="P862" s="294"/>
      <c r="Q862" s="294"/>
      <c r="R862" s="294"/>
      <c r="S862" s="294"/>
      <c r="T862" s="294"/>
      <c r="U862" s="294"/>
      <c r="V862" s="294"/>
      <c r="W862" s="294"/>
      <c r="X862" s="294"/>
      <c r="Y862" s="294"/>
      <c r="Z862" s="294"/>
      <c r="AA862" s="294"/>
      <c r="AB862" s="294"/>
    </row>
    <row r="863">
      <c r="A863" s="288"/>
      <c r="B863" s="288"/>
      <c r="C863" s="288"/>
      <c r="D863" s="288"/>
      <c r="E863" s="288"/>
      <c r="F863" s="288"/>
      <c r="G863" s="289"/>
      <c r="H863" s="288"/>
      <c r="I863" s="288"/>
      <c r="J863" s="288"/>
      <c r="K863" s="288"/>
      <c r="L863" s="288"/>
      <c r="M863" s="288"/>
      <c r="N863" s="288"/>
      <c r="O863" s="288"/>
      <c r="P863" s="294"/>
      <c r="Q863" s="294"/>
      <c r="R863" s="294"/>
      <c r="S863" s="294"/>
      <c r="T863" s="294"/>
      <c r="U863" s="294"/>
      <c r="V863" s="294"/>
      <c r="W863" s="294"/>
      <c r="X863" s="294"/>
      <c r="Y863" s="294"/>
      <c r="Z863" s="294"/>
      <c r="AA863" s="294"/>
      <c r="AB863" s="294"/>
    </row>
    <row r="864">
      <c r="A864" s="288"/>
      <c r="B864" s="288"/>
      <c r="C864" s="288"/>
      <c r="D864" s="288"/>
      <c r="E864" s="288"/>
      <c r="F864" s="288"/>
      <c r="G864" s="289"/>
      <c r="H864" s="288"/>
      <c r="I864" s="288"/>
      <c r="J864" s="288"/>
      <c r="K864" s="288"/>
      <c r="L864" s="288"/>
      <c r="M864" s="288"/>
      <c r="N864" s="288"/>
      <c r="O864" s="288"/>
      <c r="P864" s="294"/>
      <c r="Q864" s="294"/>
      <c r="R864" s="294"/>
      <c r="S864" s="294"/>
      <c r="T864" s="294"/>
      <c r="U864" s="294"/>
      <c r="V864" s="294"/>
      <c r="W864" s="294"/>
      <c r="X864" s="294"/>
      <c r="Y864" s="294"/>
      <c r="Z864" s="294"/>
      <c r="AA864" s="294"/>
      <c r="AB864" s="294"/>
    </row>
    <row r="865">
      <c r="A865" s="288"/>
      <c r="B865" s="288"/>
      <c r="C865" s="288"/>
      <c r="D865" s="288"/>
      <c r="E865" s="288"/>
      <c r="F865" s="288"/>
      <c r="G865" s="289"/>
      <c r="H865" s="288"/>
      <c r="I865" s="288"/>
      <c r="J865" s="288"/>
      <c r="K865" s="288"/>
      <c r="L865" s="288"/>
      <c r="M865" s="288"/>
      <c r="N865" s="288"/>
      <c r="O865" s="288"/>
      <c r="P865" s="294"/>
      <c r="Q865" s="294"/>
      <c r="R865" s="294"/>
      <c r="S865" s="294"/>
      <c r="T865" s="294"/>
      <c r="U865" s="294"/>
      <c r="V865" s="294"/>
      <c r="W865" s="294"/>
      <c r="X865" s="294"/>
      <c r="Y865" s="294"/>
      <c r="Z865" s="294"/>
      <c r="AA865" s="294"/>
      <c r="AB865" s="294"/>
    </row>
    <row r="866">
      <c r="A866" s="288"/>
      <c r="B866" s="288"/>
      <c r="C866" s="288"/>
      <c r="D866" s="288"/>
      <c r="E866" s="288"/>
      <c r="F866" s="288"/>
      <c r="G866" s="289"/>
      <c r="H866" s="288"/>
      <c r="I866" s="288"/>
      <c r="J866" s="288"/>
      <c r="K866" s="288"/>
      <c r="L866" s="288"/>
      <c r="M866" s="288"/>
      <c r="N866" s="288"/>
      <c r="O866" s="288"/>
      <c r="P866" s="294"/>
      <c r="Q866" s="294"/>
      <c r="R866" s="294"/>
      <c r="S866" s="294"/>
      <c r="T866" s="294"/>
      <c r="U866" s="294"/>
      <c r="V866" s="294"/>
      <c r="W866" s="294"/>
      <c r="X866" s="294"/>
      <c r="Y866" s="294"/>
      <c r="Z866" s="294"/>
      <c r="AA866" s="294"/>
      <c r="AB866" s="294"/>
    </row>
    <row r="867">
      <c r="A867" s="288"/>
      <c r="B867" s="288"/>
      <c r="C867" s="288"/>
      <c r="D867" s="288"/>
      <c r="E867" s="288"/>
      <c r="F867" s="288"/>
      <c r="G867" s="289"/>
      <c r="H867" s="288"/>
      <c r="I867" s="288"/>
      <c r="J867" s="288"/>
      <c r="K867" s="288"/>
      <c r="L867" s="288"/>
      <c r="M867" s="288"/>
      <c r="N867" s="288"/>
      <c r="O867" s="288"/>
      <c r="P867" s="294"/>
      <c r="Q867" s="294"/>
      <c r="R867" s="294"/>
      <c r="S867" s="294"/>
      <c r="T867" s="294"/>
      <c r="U867" s="294"/>
      <c r="V867" s="294"/>
      <c r="W867" s="294"/>
      <c r="X867" s="294"/>
      <c r="Y867" s="294"/>
      <c r="Z867" s="294"/>
      <c r="AA867" s="294"/>
      <c r="AB867" s="294"/>
    </row>
    <row r="868">
      <c r="A868" s="288"/>
      <c r="B868" s="288"/>
      <c r="C868" s="288"/>
      <c r="D868" s="288"/>
      <c r="E868" s="288"/>
      <c r="F868" s="288"/>
      <c r="G868" s="289"/>
      <c r="H868" s="288"/>
      <c r="I868" s="288"/>
      <c r="J868" s="288"/>
      <c r="K868" s="288"/>
      <c r="L868" s="288"/>
      <c r="M868" s="288"/>
      <c r="N868" s="288"/>
      <c r="O868" s="288"/>
      <c r="P868" s="294"/>
      <c r="Q868" s="294"/>
      <c r="R868" s="294"/>
      <c r="S868" s="294"/>
      <c r="T868" s="294"/>
      <c r="U868" s="294"/>
      <c r="V868" s="294"/>
      <c r="W868" s="294"/>
      <c r="X868" s="294"/>
      <c r="Y868" s="294"/>
      <c r="Z868" s="294"/>
      <c r="AA868" s="294"/>
      <c r="AB868" s="294"/>
    </row>
    <row r="869">
      <c r="A869" s="288"/>
      <c r="B869" s="288"/>
      <c r="C869" s="288"/>
      <c r="D869" s="288"/>
      <c r="E869" s="288"/>
      <c r="F869" s="288"/>
      <c r="G869" s="289"/>
      <c r="H869" s="288"/>
      <c r="I869" s="288"/>
      <c r="J869" s="288"/>
      <c r="K869" s="288"/>
      <c r="L869" s="288"/>
      <c r="M869" s="288"/>
      <c r="N869" s="288"/>
      <c r="O869" s="288"/>
      <c r="P869" s="294"/>
      <c r="Q869" s="294"/>
      <c r="R869" s="294"/>
      <c r="S869" s="294"/>
      <c r="T869" s="294"/>
      <c r="U869" s="294"/>
      <c r="V869" s="294"/>
      <c r="W869" s="294"/>
      <c r="X869" s="294"/>
      <c r="Y869" s="294"/>
      <c r="Z869" s="294"/>
      <c r="AA869" s="294"/>
      <c r="AB869" s="294"/>
    </row>
    <row r="870">
      <c r="A870" s="288"/>
      <c r="B870" s="288"/>
      <c r="C870" s="288"/>
      <c r="D870" s="288"/>
      <c r="E870" s="288"/>
      <c r="F870" s="288"/>
      <c r="G870" s="289"/>
      <c r="H870" s="288"/>
      <c r="I870" s="288"/>
      <c r="J870" s="288"/>
      <c r="K870" s="288"/>
      <c r="L870" s="288"/>
      <c r="M870" s="288"/>
      <c r="N870" s="288"/>
      <c r="O870" s="288"/>
      <c r="P870" s="294"/>
      <c r="Q870" s="294"/>
      <c r="R870" s="294"/>
      <c r="S870" s="294"/>
      <c r="T870" s="294"/>
      <c r="U870" s="294"/>
      <c r="V870" s="294"/>
      <c r="W870" s="294"/>
      <c r="X870" s="294"/>
      <c r="Y870" s="294"/>
      <c r="Z870" s="294"/>
      <c r="AA870" s="294"/>
      <c r="AB870" s="294"/>
    </row>
    <row r="871">
      <c r="A871" s="288"/>
      <c r="B871" s="288"/>
      <c r="C871" s="288"/>
      <c r="D871" s="288"/>
      <c r="E871" s="288"/>
      <c r="F871" s="288"/>
      <c r="G871" s="289"/>
      <c r="H871" s="288"/>
      <c r="I871" s="288"/>
      <c r="J871" s="288"/>
      <c r="K871" s="288"/>
      <c r="L871" s="288"/>
      <c r="M871" s="288"/>
      <c r="N871" s="288"/>
      <c r="O871" s="288"/>
      <c r="P871" s="294"/>
      <c r="Q871" s="294"/>
      <c r="R871" s="294"/>
      <c r="S871" s="294"/>
      <c r="T871" s="294"/>
      <c r="U871" s="294"/>
      <c r="V871" s="294"/>
      <c r="W871" s="294"/>
      <c r="X871" s="294"/>
      <c r="Y871" s="294"/>
      <c r="Z871" s="294"/>
      <c r="AA871" s="294"/>
      <c r="AB871" s="294"/>
    </row>
    <row r="872">
      <c r="A872" s="288"/>
      <c r="B872" s="288"/>
      <c r="C872" s="288"/>
      <c r="D872" s="288"/>
      <c r="E872" s="288"/>
      <c r="F872" s="288"/>
      <c r="G872" s="289"/>
      <c r="H872" s="288"/>
      <c r="I872" s="288"/>
      <c r="J872" s="288"/>
      <c r="K872" s="288"/>
      <c r="L872" s="288"/>
      <c r="M872" s="288"/>
      <c r="N872" s="288"/>
      <c r="O872" s="288"/>
      <c r="P872" s="294"/>
      <c r="Q872" s="294"/>
      <c r="R872" s="294"/>
      <c r="S872" s="294"/>
      <c r="T872" s="294"/>
      <c r="U872" s="294"/>
      <c r="V872" s="294"/>
      <c r="W872" s="294"/>
      <c r="X872" s="294"/>
      <c r="Y872" s="294"/>
      <c r="Z872" s="294"/>
      <c r="AA872" s="294"/>
      <c r="AB872" s="294"/>
    </row>
    <row r="873">
      <c r="A873" s="288"/>
      <c r="B873" s="288"/>
      <c r="C873" s="288"/>
      <c r="D873" s="288"/>
      <c r="E873" s="288"/>
      <c r="F873" s="288"/>
      <c r="G873" s="289"/>
      <c r="H873" s="288"/>
      <c r="I873" s="288"/>
      <c r="J873" s="288"/>
      <c r="K873" s="288"/>
      <c r="L873" s="288"/>
      <c r="M873" s="288"/>
      <c r="N873" s="288"/>
      <c r="O873" s="288"/>
      <c r="P873" s="294"/>
      <c r="Q873" s="294"/>
      <c r="R873" s="294"/>
      <c r="S873" s="294"/>
      <c r="T873" s="294"/>
      <c r="U873" s="294"/>
      <c r="V873" s="294"/>
      <c r="W873" s="294"/>
      <c r="X873" s="294"/>
      <c r="Y873" s="294"/>
      <c r="Z873" s="294"/>
      <c r="AA873" s="294"/>
      <c r="AB873" s="294"/>
    </row>
    <row r="874">
      <c r="A874" s="288"/>
      <c r="B874" s="288"/>
      <c r="C874" s="288"/>
      <c r="D874" s="288"/>
      <c r="E874" s="288"/>
      <c r="F874" s="288"/>
      <c r="G874" s="289"/>
      <c r="H874" s="288"/>
      <c r="I874" s="288"/>
      <c r="J874" s="288"/>
      <c r="K874" s="288"/>
      <c r="L874" s="288"/>
      <c r="M874" s="288"/>
      <c r="N874" s="288"/>
      <c r="O874" s="288"/>
      <c r="P874" s="294"/>
      <c r="Q874" s="294"/>
      <c r="R874" s="294"/>
      <c r="S874" s="294"/>
      <c r="T874" s="294"/>
      <c r="U874" s="294"/>
      <c r="V874" s="294"/>
      <c r="W874" s="294"/>
      <c r="X874" s="294"/>
      <c r="Y874" s="294"/>
      <c r="Z874" s="294"/>
      <c r="AA874" s="294"/>
      <c r="AB874" s="294"/>
    </row>
    <row r="875">
      <c r="A875" s="288"/>
      <c r="B875" s="288"/>
      <c r="C875" s="288"/>
      <c r="D875" s="288"/>
      <c r="E875" s="288"/>
      <c r="F875" s="288"/>
      <c r="G875" s="289"/>
      <c r="H875" s="288"/>
      <c r="I875" s="288"/>
      <c r="J875" s="288"/>
      <c r="K875" s="288"/>
      <c r="L875" s="288"/>
      <c r="M875" s="288"/>
      <c r="N875" s="288"/>
      <c r="O875" s="288"/>
      <c r="P875" s="294"/>
      <c r="Q875" s="294"/>
      <c r="R875" s="294"/>
      <c r="S875" s="294"/>
      <c r="T875" s="294"/>
      <c r="U875" s="294"/>
      <c r="V875" s="294"/>
      <c r="W875" s="294"/>
      <c r="X875" s="294"/>
      <c r="Y875" s="294"/>
      <c r="Z875" s="294"/>
      <c r="AA875" s="294"/>
      <c r="AB875" s="294"/>
    </row>
    <row r="876">
      <c r="A876" s="288"/>
      <c r="B876" s="288"/>
      <c r="C876" s="288"/>
      <c r="D876" s="288"/>
      <c r="E876" s="288"/>
      <c r="F876" s="288"/>
      <c r="G876" s="289"/>
      <c r="H876" s="288"/>
      <c r="I876" s="288"/>
      <c r="J876" s="288"/>
      <c r="K876" s="288"/>
      <c r="L876" s="288"/>
      <c r="M876" s="288"/>
      <c r="N876" s="288"/>
      <c r="O876" s="288"/>
      <c r="P876" s="294"/>
      <c r="Q876" s="294"/>
      <c r="R876" s="294"/>
      <c r="S876" s="294"/>
      <c r="T876" s="294"/>
      <c r="U876" s="294"/>
      <c r="V876" s="294"/>
      <c r="W876" s="294"/>
      <c r="X876" s="294"/>
      <c r="Y876" s="294"/>
      <c r="Z876" s="294"/>
      <c r="AA876" s="294"/>
      <c r="AB876" s="294"/>
    </row>
    <row r="877">
      <c r="A877" s="288"/>
      <c r="B877" s="288"/>
      <c r="C877" s="288"/>
      <c r="D877" s="288"/>
      <c r="E877" s="288"/>
      <c r="F877" s="288"/>
      <c r="G877" s="289"/>
      <c r="H877" s="288"/>
      <c r="I877" s="288"/>
      <c r="J877" s="288"/>
      <c r="K877" s="288"/>
      <c r="L877" s="288"/>
      <c r="M877" s="288"/>
      <c r="N877" s="288"/>
      <c r="O877" s="288"/>
      <c r="P877" s="294"/>
      <c r="Q877" s="294"/>
      <c r="R877" s="294"/>
      <c r="S877" s="294"/>
      <c r="T877" s="294"/>
      <c r="U877" s="294"/>
      <c r="V877" s="294"/>
      <c r="W877" s="294"/>
      <c r="X877" s="294"/>
      <c r="Y877" s="294"/>
      <c r="Z877" s="294"/>
      <c r="AA877" s="294"/>
      <c r="AB877" s="294"/>
    </row>
    <row r="878">
      <c r="A878" s="288"/>
      <c r="B878" s="288"/>
      <c r="C878" s="288"/>
      <c r="D878" s="288"/>
      <c r="E878" s="288"/>
      <c r="F878" s="288"/>
      <c r="G878" s="289"/>
      <c r="H878" s="288"/>
      <c r="I878" s="288"/>
      <c r="J878" s="288"/>
      <c r="K878" s="288"/>
      <c r="L878" s="288"/>
      <c r="M878" s="288"/>
      <c r="N878" s="288"/>
      <c r="O878" s="288"/>
      <c r="P878" s="294"/>
      <c r="Q878" s="294"/>
      <c r="R878" s="294"/>
      <c r="S878" s="294"/>
      <c r="T878" s="294"/>
      <c r="U878" s="294"/>
      <c r="V878" s="294"/>
      <c r="W878" s="294"/>
      <c r="X878" s="294"/>
      <c r="Y878" s="294"/>
      <c r="Z878" s="294"/>
      <c r="AA878" s="294"/>
      <c r="AB878" s="294"/>
    </row>
    <row r="879">
      <c r="A879" s="288"/>
      <c r="B879" s="288"/>
      <c r="C879" s="288"/>
      <c r="D879" s="288"/>
      <c r="E879" s="288"/>
      <c r="F879" s="288"/>
      <c r="G879" s="289"/>
      <c r="H879" s="288"/>
      <c r="I879" s="288"/>
      <c r="J879" s="288"/>
      <c r="K879" s="288"/>
      <c r="L879" s="288"/>
      <c r="M879" s="288"/>
      <c r="N879" s="288"/>
      <c r="O879" s="288"/>
      <c r="P879" s="294"/>
      <c r="Q879" s="294"/>
      <c r="R879" s="294"/>
      <c r="S879" s="294"/>
      <c r="T879" s="294"/>
      <c r="U879" s="294"/>
      <c r="V879" s="294"/>
      <c r="W879" s="294"/>
      <c r="X879" s="294"/>
      <c r="Y879" s="294"/>
      <c r="Z879" s="294"/>
      <c r="AA879" s="294"/>
      <c r="AB879" s="294"/>
    </row>
    <row r="880">
      <c r="A880" s="288"/>
      <c r="B880" s="288"/>
      <c r="C880" s="288"/>
      <c r="D880" s="288"/>
      <c r="E880" s="288"/>
      <c r="F880" s="288"/>
      <c r="G880" s="289"/>
      <c r="H880" s="288"/>
      <c r="I880" s="288"/>
      <c r="J880" s="288"/>
      <c r="K880" s="288"/>
      <c r="L880" s="288"/>
      <c r="M880" s="288"/>
      <c r="N880" s="288"/>
      <c r="O880" s="288"/>
      <c r="P880" s="294"/>
      <c r="Q880" s="294"/>
      <c r="R880" s="294"/>
      <c r="S880" s="294"/>
      <c r="T880" s="294"/>
      <c r="U880" s="294"/>
      <c r="V880" s="294"/>
      <c r="W880" s="294"/>
      <c r="X880" s="294"/>
      <c r="Y880" s="294"/>
      <c r="Z880" s="294"/>
      <c r="AA880" s="294"/>
      <c r="AB880" s="294"/>
    </row>
    <row r="881">
      <c r="A881" s="288"/>
      <c r="B881" s="288"/>
      <c r="C881" s="288"/>
      <c r="D881" s="288"/>
      <c r="E881" s="288"/>
      <c r="F881" s="288"/>
      <c r="G881" s="289"/>
      <c r="H881" s="288"/>
      <c r="I881" s="288"/>
      <c r="J881" s="288"/>
      <c r="K881" s="288"/>
      <c r="L881" s="288"/>
      <c r="M881" s="288"/>
      <c r="N881" s="288"/>
      <c r="O881" s="288"/>
      <c r="P881" s="294"/>
      <c r="Q881" s="294"/>
      <c r="R881" s="294"/>
      <c r="S881" s="294"/>
      <c r="T881" s="294"/>
      <c r="U881" s="294"/>
      <c r="V881" s="294"/>
      <c r="W881" s="294"/>
      <c r="X881" s="294"/>
      <c r="Y881" s="294"/>
      <c r="Z881" s="294"/>
      <c r="AA881" s="294"/>
      <c r="AB881" s="294"/>
    </row>
    <row r="882">
      <c r="A882" s="288"/>
      <c r="B882" s="288"/>
      <c r="C882" s="288"/>
      <c r="D882" s="288"/>
      <c r="E882" s="288"/>
      <c r="F882" s="288"/>
      <c r="G882" s="289"/>
      <c r="H882" s="288"/>
      <c r="I882" s="288"/>
      <c r="J882" s="288"/>
      <c r="K882" s="288"/>
      <c r="L882" s="288"/>
      <c r="M882" s="288"/>
      <c r="N882" s="288"/>
      <c r="O882" s="288"/>
      <c r="P882" s="294"/>
      <c r="Q882" s="294"/>
      <c r="R882" s="294"/>
      <c r="S882" s="294"/>
      <c r="T882" s="294"/>
      <c r="U882" s="294"/>
      <c r="V882" s="294"/>
      <c r="W882" s="294"/>
      <c r="X882" s="294"/>
      <c r="Y882" s="294"/>
      <c r="Z882" s="294"/>
      <c r="AA882" s="294"/>
      <c r="AB882" s="294"/>
    </row>
    <row r="883">
      <c r="A883" s="288"/>
      <c r="B883" s="288"/>
      <c r="C883" s="288"/>
      <c r="D883" s="288"/>
      <c r="E883" s="288"/>
      <c r="F883" s="288"/>
      <c r="G883" s="289"/>
      <c r="H883" s="288"/>
      <c r="I883" s="288"/>
      <c r="J883" s="288"/>
      <c r="K883" s="288"/>
      <c r="L883" s="288"/>
      <c r="M883" s="288"/>
      <c r="N883" s="288"/>
      <c r="O883" s="288"/>
      <c r="P883" s="294"/>
      <c r="Q883" s="294"/>
      <c r="R883" s="294"/>
      <c r="S883" s="294"/>
      <c r="T883" s="294"/>
      <c r="U883" s="294"/>
      <c r="V883" s="294"/>
      <c r="W883" s="294"/>
      <c r="X883" s="294"/>
      <c r="Y883" s="294"/>
      <c r="Z883" s="294"/>
      <c r="AA883" s="294"/>
      <c r="AB883" s="294"/>
    </row>
    <row r="884">
      <c r="A884" s="288"/>
      <c r="B884" s="288"/>
      <c r="C884" s="288"/>
      <c r="D884" s="288"/>
      <c r="E884" s="288"/>
      <c r="F884" s="288"/>
      <c r="G884" s="289"/>
      <c r="H884" s="288"/>
      <c r="I884" s="288"/>
      <c r="J884" s="288"/>
      <c r="K884" s="288"/>
      <c r="L884" s="288"/>
      <c r="M884" s="288"/>
      <c r="N884" s="288"/>
      <c r="O884" s="288"/>
      <c r="P884" s="294"/>
      <c r="Q884" s="294"/>
      <c r="R884" s="294"/>
      <c r="S884" s="294"/>
      <c r="T884" s="294"/>
      <c r="U884" s="294"/>
      <c r="V884" s="294"/>
      <c r="W884" s="294"/>
      <c r="X884" s="294"/>
      <c r="Y884" s="294"/>
      <c r="Z884" s="294"/>
      <c r="AA884" s="294"/>
      <c r="AB884" s="294"/>
    </row>
    <row r="885">
      <c r="A885" s="288"/>
      <c r="B885" s="288"/>
      <c r="C885" s="288"/>
      <c r="D885" s="288"/>
      <c r="E885" s="288"/>
      <c r="F885" s="288"/>
      <c r="G885" s="289"/>
      <c r="H885" s="288"/>
      <c r="I885" s="288"/>
      <c r="J885" s="288"/>
      <c r="K885" s="288"/>
      <c r="L885" s="288"/>
      <c r="M885" s="288"/>
      <c r="N885" s="288"/>
      <c r="O885" s="288"/>
      <c r="P885" s="294"/>
      <c r="Q885" s="294"/>
      <c r="R885" s="294"/>
      <c r="S885" s="294"/>
      <c r="T885" s="294"/>
      <c r="U885" s="294"/>
      <c r="V885" s="294"/>
      <c r="W885" s="294"/>
      <c r="X885" s="294"/>
      <c r="Y885" s="294"/>
      <c r="Z885" s="294"/>
      <c r="AA885" s="294"/>
      <c r="AB885" s="294"/>
    </row>
    <row r="886">
      <c r="A886" s="288"/>
      <c r="B886" s="288"/>
      <c r="C886" s="288"/>
      <c r="D886" s="288"/>
      <c r="E886" s="288"/>
      <c r="F886" s="288"/>
      <c r="G886" s="289"/>
      <c r="H886" s="288"/>
      <c r="I886" s="288"/>
      <c r="J886" s="288"/>
      <c r="K886" s="288"/>
      <c r="L886" s="288"/>
      <c r="M886" s="288"/>
      <c r="N886" s="288"/>
      <c r="O886" s="288"/>
      <c r="P886" s="294"/>
      <c r="Q886" s="294"/>
      <c r="R886" s="294"/>
      <c r="S886" s="294"/>
      <c r="T886" s="294"/>
      <c r="U886" s="294"/>
      <c r="V886" s="294"/>
      <c r="W886" s="294"/>
      <c r="X886" s="294"/>
      <c r="Y886" s="294"/>
      <c r="Z886" s="294"/>
      <c r="AA886" s="294"/>
      <c r="AB886" s="294"/>
    </row>
    <row r="887">
      <c r="A887" s="288"/>
      <c r="B887" s="288"/>
      <c r="C887" s="288"/>
      <c r="D887" s="288"/>
      <c r="E887" s="288"/>
      <c r="F887" s="288"/>
      <c r="G887" s="289"/>
      <c r="H887" s="288"/>
      <c r="I887" s="288"/>
      <c r="J887" s="288"/>
      <c r="K887" s="288"/>
      <c r="L887" s="288"/>
      <c r="M887" s="288"/>
      <c r="N887" s="288"/>
      <c r="O887" s="288"/>
      <c r="P887" s="294"/>
      <c r="Q887" s="294"/>
      <c r="R887" s="294"/>
      <c r="S887" s="294"/>
      <c r="T887" s="294"/>
      <c r="U887" s="294"/>
      <c r="V887" s="294"/>
      <c r="W887" s="294"/>
      <c r="X887" s="294"/>
      <c r="Y887" s="294"/>
      <c r="Z887" s="294"/>
      <c r="AA887" s="294"/>
      <c r="AB887" s="294"/>
    </row>
    <row r="888">
      <c r="A888" s="288"/>
      <c r="B888" s="288"/>
      <c r="C888" s="288"/>
      <c r="D888" s="288"/>
      <c r="E888" s="288"/>
      <c r="F888" s="288"/>
      <c r="G888" s="289"/>
      <c r="H888" s="288"/>
      <c r="I888" s="288"/>
      <c r="J888" s="288"/>
      <c r="K888" s="288"/>
      <c r="L888" s="288"/>
      <c r="M888" s="288"/>
      <c r="N888" s="288"/>
      <c r="O888" s="288"/>
      <c r="P888" s="294"/>
      <c r="Q888" s="294"/>
      <c r="R888" s="294"/>
      <c r="S888" s="294"/>
      <c r="T888" s="294"/>
      <c r="U888" s="294"/>
      <c r="V888" s="294"/>
      <c r="W888" s="294"/>
      <c r="X888" s="294"/>
      <c r="Y888" s="294"/>
      <c r="Z888" s="294"/>
      <c r="AA888" s="294"/>
      <c r="AB888" s="294"/>
    </row>
    <row r="889">
      <c r="A889" s="288"/>
      <c r="B889" s="288"/>
      <c r="C889" s="288"/>
      <c r="D889" s="288"/>
      <c r="E889" s="288"/>
      <c r="F889" s="288"/>
      <c r="G889" s="289"/>
      <c r="H889" s="288"/>
      <c r="I889" s="288"/>
      <c r="J889" s="288"/>
      <c r="K889" s="288"/>
      <c r="L889" s="288"/>
      <c r="M889" s="288"/>
      <c r="N889" s="288"/>
      <c r="O889" s="288"/>
      <c r="P889" s="294"/>
      <c r="Q889" s="294"/>
      <c r="R889" s="294"/>
      <c r="S889" s="294"/>
      <c r="T889" s="294"/>
      <c r="U889" s="294"/>
      <c r="V889" s="294"/>
      <c r="W889" s="294"/>
      <c r="X889" s="294"/>
      <c r="Y889" s="294"/>
      <c r="Z889" s="294"/>
      <c r="AA889" s="294"/>
      <c r="AB889" s="294"/>
    </row>
    <row r="890">
      <c r="A890" s="288"/>
      <c r="B890" s="288"/>
      <c r="C890" s="288"/>
      <c r="D890" s="288"/>
      <c r="E890" s="288"/>
      <c r="F890" s="288"/>
      <c r="G890" s="289"/>
      <c r="H890" s="288"/>
      <c r="I890" s="288"/>
      <c r="J890" s="288"/>
      <c r="K890" s="288"/>
      <c r="L890" s="288"/>
      <c r="M890" s="288"/>
      <c r="N890" s="288"/>
      <c r="O890" s="288"/>
      <c r="P890" s="294"/>
      <c r="Q890" s="294"/>
      <c r="R890" s="294"/>
      <c r="S890" s="294"/>
      <c r="T890" s="294"/>
      <c r="U890" s="294"/>
      <c r="V890" s="294"/>
      <c r="W890" s="294"/>
      <c r="X890" s="294"/>
      <c r="Y890" s="294"/>
      <c r="Z890" s="294"/>
      <c r="AA890" s="294"/>
      <c r="AB890" s="294"/>
    </row>
    <row r="891">
      <c r="A891" s="288"/>
      <c r="B891" s="288"/>
      <c r="C891" s="288"/>
      <c r="D891" s="288"/>
      <c r="E891" s="288"/>
      <c r="F891" s="288"/>
      <c r="G891" s="289"/>
      <c r="H891" s="288"/>
      <c r="I891" s="288"/>
      <c r="J891" s="288"/>
      <c r="K891" s="288"/>
      <c r="L891" s="288"/>
      <c r="M891" s="288"/>
      <c r="N891" s="288"/>
      <c r="O891" s="288"/>
      <c r="P891" s="294"/>
      <c r="Q891" s="294"/>
      <c r="R891" s="294"/>
      <c r="S891" s="294"/>
      <c r="T891" s="294"/>
      <c r="U891" s="294"/>
      <c r="V891" s="294"/>
      <c r="W891" s="294"/>
      <c r="X891" s="294"/>
      <c r="Y891" s="294"/>
      <c r="Z891" s="294"/>
      <c r="AA891" s="294"/>
      <c r="AB891" s="294"/>
    </row>
    <row r="892">
      <c r="A892" s="288"/>
      <c r="B892" s="288"/>
      <c r="C892" s="288"/>
      <c r="D892" s="288"/>
      <c r="E892" s="288"/>
      <c r="F892" s="288"/>
      <c r="G892" s="289"/>
      <c r="H892" s="288"/>
      <c r="I892" s="288"/>
      <c r="J892" s="288"/>
      <c r="K892" s="288"/>
      <c r="L892" s="288"/>
      <c r="M892" s="288"/>
      <c r="N892" s="288"/>
      <c r="O892" s="288"/>
      <c r="P892" s="294"/>
      <c r="Q892" s="294"/>
      <c r="R892" s="294"/>
      <c r="S892" s="294"/>
      <c r="T892" s="294"/>
      <c r="U892" s="294"/>
      <c r="V892" s="294"/>
      <c r="W892" s="294"/>
      <c r="X892" s="294"/>
      <c r="Y892" s="294"/>
      <c r="Z892" s="294"/>
      <c r="AA892" s="294"/>
      <c r="AB892" s="294"/>
    </row>
    <row r="893">
      <c r="A893" s="288"/>
      <c r="B893" s="288"/>
      <c r="C893" s="288"/>
      <c r="D893" s="288"/>
      <c r="E893" s="288"/>
      <c r="F893" s="288"/>
      <c r="G893" s="289"/>
      <c r="H893" s="288"/>
      <c r="I893" s="288"/>
      <c r="J893" s="288"/>
      <c r="K893" s="288"/>
      <c r="L893" s="288"/>
      <c r="M893" s="288"/>
      <c r="N893" s="288"/>
      <c r="O893" s="288"/>
      <c r="P893" s="294"/>
      <c r="Q893" s="294"/>
      <c r="R893" s="294"/>
      <c r="S893" s="294"/>
      <c r="T893" s="294"/>
      <c r="U893" s="294"/>
      <c r="V893" s="294"/>
      <c r="W893" s="294"/>
      <c r="X893" s="294"/>
      <c r="Y893" s="294"/>
      <c r="Z893" s="294"/>
      <c r="AA893" s="294"/>
      <c r="AB893" s="294"/>
    </row>
    <row r="894">
      <c r="A894" s="288"/>
      <c r="B894" s="288"/>
      <c r="C894" s="288"/>
      <c r="D894" s="288"/>
      <c r="E894" s="288"/>
      <c r="F894" s="288"/>
      <c r="G894" s="289"/>
      <c r="H894" s="288"/>
      <c r="I894" s="288"/>
      <c r="J894" s="288"/>
      <c r="K894" s="288"/>
      <c r="L894" s="288"/>
      <c r="M894" s="288"/>
      <c r="N894" s="288"/>
      <c r="O894" s="288"/>
      <c r="P894" s="294"/>
      <c r="Q894" s="294"/>
      <c r="R894" s="294"/>
      <c r="S894" s="294"/>
      <c r="T894" s="294"/>
      <c r="U894" s="294"/>
      <c r="V894" s="294"/>
      <c r="W894" s="294"/>
      <c r="X894" s="294"/>
      <c r="Y894" s="294"/>
      <c r="Z894" s="294"/>
      <c r="AA894" s="294"/>
      <c r="AB894" s="294"/>
    </row>
    <row r="895">
      <c r="A895" s="288"/>
      <c r="B895" s="288"/>
      <c r="C895" s="288"/>
      <c r="D895" s="288"/>
      <c r="E895" s="288"/>
      <c r="F895" s="288"/>
      <c r="G895" s="289"/>
      <c r="H895" s="288"/>
      <c r="I895" s="288"/>
      <c r="J895" s="288"/>
      <c r="K895" s="288"/>
      <c r="L895" s="288"/>
      <c r="M895" s="288"/>
      <c r="N895" s="288"/>
      <c r="O895" s="288"/>
      <c r="P895" s="294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  <c r="AA895" s="294"/>
      <c r="AB895" s="294"/>
    </row>
    <row r="896">
      <c r="A896" s="288"/>
      <c r="B896" s="288"/>
      <c r="C896" s="288"/>
      <c r="D896" s="288"/>
      <c r="E896" s="288"/>
      <c r="F896" s="288"/>
      <c r="G896" s="289"/>
      <c r="H896" s="288"/>
      <c r="I896" s="288"/>
      <c r="J896" s="288"/>
      <c r="K896" s="288"/>
      <c r="L896" s="288"/>
      <c r="M896" s="288"/>
      <c r="N896" s="288"/>
      <c r="O896" s="288"/>
      <c r="P896" s="294"/>
      <c r="Q896" s="294"/>
      <c r="R896" s="294"/>
      <c r="S896" s="294"/>
      <c r="T896" s="294"/>
      <c r="U896" s="294"/>
      <c r="V896" s="294"/>
      <c r="W896" s="294"/>
      <c r="X896" s="294"/>
      <c r="Y896" s="294"/>
      <c r="Z896" s="294"/>
      <c r="AA896" s="294"/>
      <c r="AB896" s="294"/>
    </row>
    <row r="897">
      <c r="A897" s="288"/>
      <c r="B897" s="288"/>
      <c r="C897" s="288"/>
      <c r="D897" s="288"/>
      <c r="E897" s="288"/>
      <c r="F897" s="288"/>
      <c r="G897" s="289"/>
      <c r="H897" s="288"/>
      <c r="I897" s="288"/>
      <c r="J897" s="288"/>
      <c r="K897" s="288"/>
      <c r="L897" s="288"/>
      <c r="M897" s="288"/>
      <c r="N897" s="288"/>
      <c r="O897" s="288"/>
      <c r="P897" s="294"/>
      <c r="Q897" s="294"/>
      <c r="R897" s="294"/>
      <c r="S897" s="294"/>
      <c r="T897" s="294"/>
      <c r="U897" s="294"/>
      <c r="V897" s="294"/>
      <c r="W897" s="294"/>
      <c r="X897" s="294"/>
      <c r="Y897" s="294"/>
      <c r="Z897" s="294"/>
      <c r="AA897" s="294"/>
      <c r="AB897" s="294"/>
    </row>
    <row r="898">
      <c r="A898" s="288"/>
      <c r="B898" s="288"/>
      <c r="C898" s="288"/>
      <c r="D898" s="288"/>
      <c r="E898" s="288"/>
      <c r="F898" s="288"/>
      <c r="G898" s="289"/>
      <c r="H898" s="288"/>
      <c r="I898" s="288"/>
      <c r="J898" s="288"/>
      <c r="K898" s="288"/>
      <c r="L898" s="288"/>
      <c r="M898" s="288"/>
      <c r="N898" s="288"/>
      <c r="O898" s="288"/>
      <c r="P898" s="294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  <c r="AA898" s="294"/>
      <c r="AB898" s="294"/>
    </row>
    <row r="899">
      <c r="A899" s="288"/>
      <c r="B899" s="288"/>
      <c r="C899" s="288"/>
      <c r="D899" s="288"/>
      <c r="E899" s="288"/>
      <c r="F899" s="288"/>
      <c r="G899" s="289"/>
      <c r="H899" s="288"/>
      <c r="I899" s="288"/>
      <c r="J899" s="288"/>
      <c r="K899" s="288"/>
      <c r="L899" s="288"/>
      <c r="M899" s="288"/>
      <c r="N899" s="288"/>
      <c r="O899" s="288"/>
      <c r="P899" s="294"/>
      <c r="Q899" s="294"/>
      <c r="R899" s="294"/>
      <c r="S899" s="294"/>
      <c r="T899" s="294"/>
      <c r="U899" s="294"/>
      <c r="V899" s="294"/>
      <c r="W899" s="294"/>
      <c r="X899" s="294"/>
      <c r="Y899" s="294"/>
      <c r="Z899" s="294"/>
      <c r="AA899" s="294"/>
      <c r="AB899" s="294"/>
    </row>
    <row r="900">
      <c r="A900" s="288"/>
      <c r="B900" s="288"/>
      <c r="C900" s="288"/>
      <c r="D900" s="288"/>
      <c r="E900" s="288"/>
      <c r="F900" s="288"/>
      <c r="G900" s="289"/>
      <c r="H900" s="288"/>
      <c r="I900" s="288"/>
      <c r="J900" s="288"/>
      <c r="K900" s="288"/>
      <c r="L900" s="288"/>
      <c r="M900" s="288"/>
      <c r="N900" s="288"/>
      <c r="O900" s="288"/>
      <c r="P900" s="294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  <c r="AA900" s="294"/>
      <c r="AB900" s="294"/>
    </row>
    <row r="901">
      <c r="A901" s="288"/>
      <c r="B901" s="288"/>
      <c r="C901" s="288"/>
      <c r="D901" s="288"/>
      <c r="E901" s="288"/>
      <c r="F901" s="288"/>
      <c r="G901" s="289"/>
      <c r="H901" s="288"/>
      <c r="I901" s="288"/>
      <c r="J901" s="288"/>
      <c r="K901" s="288"/>
      <c r="L901" s="288"/>
      <c r="M901" s="288"/>
      <c r="N901" s="288"/>
      <c r="O901" s="288"/>
      <c r="P901" s="294"/>
      <c r="Q901" s="294"/>
      <c r="R901" s="294"/>
      <c r="S901" s="294"/>
      <c r="T901" s="294"/>
      <c r="U901" s="294"/>
      <c r="V901" s="294"/>
      <c r="W901" s="294"/>
      <c r="X901" s="294"/>
      <c r="Y901" s="294"/>
      <c r="Z901" s="294"/>
      <c r="AA901" s="294"/>
      <c r="AB901" s="294"/>
    </row>
    <row r="902">
      <c r="A902" s="288"/>
      <c r="B902" s="288"/>
      <c r="C902" s="288"/>
      <c r="D902" s="288"/>
      <c r="E902" s="288"/>
      <c r="F902" s="288"/>
      <c r="G902" s="289"/>
      <c r="H902" s="288"/>
      <c r="I902" s="288"/>
      <c r="J902" s="288"/>
      <c r="K902" s="288"/>
      <c r="L902" s="288"/>
      <c r="M902" s="288"/>
      <c r="N902" s="288"/>
      <c r="O902" s="288"/>
      <c r="P902" s="294"/>
      <c r="Q902" s="294"/>
      <c r="R902" s="294"/>
      <c r="S902" s="294"/>
      <c r="T902" s="294"/>
      <c r="U902" s="294"/>
      <c r="V902" s="294"/>
      <c r="W902" s="294"/>
      <c r="X902" s="294"/>
      <c r="Y902" s="294"/>
      <c r="Z902" s="294"/>
      <c r="AA902" s="294"/>
      <c r="AB902" s="294"/>
    </row>
    <row r="903">
      <c r="A903" s="288"/>
      <c r="B903" s="288"/>
      <c r="C903" s="288"/>
      <c r="D903" s="288"/>
      <c r="E903" s="288"/>
      <c r="F903" s="288"/>
      <c r="G903" s="289"/>
      <c r="H903" s="288"/>
      <c r="I903" s="288"/>
      <c r="J903" s="288"/>
      <c r="K903" s="288"/>
      <c r="L903" s="288"/>
      <c r="M903" s="288"/>
      <c r="N903" s="288"/>
      <c r="O903" s="288"/>
      <c r="P903" s="294"/>
      <c r="Q903" s="294"/>
      <c r="R903" s="294"/>
      <c r="S903" s="294"/>
      <c r="T903" s="294"/>
      <c r="U903" s="294"/>
      <c r="V903" s="294"/>
      <c r="W903" s="294"/>
      <c r="X903" s="294"/>
      <c r="Y903" s="294"/>
      <c r="Z903" s="294"/>
      <c r="AA903" s="294"/>
      <c r="AB903" s="294"/>
    </row>
    <row r="904">
      <c r="A904" s="288"/>
      <c r="B904" s="288"/>
      <c r="C904" s="288"/>
      <c r="D904" s="288"/>
      <c r="E904" s="288"/>
      <c r="F904" s="288"/>
      <c r="G904" s="289"/>
      <c r="H904" s="288"/>
      <c r="I904" s="288"/>
      <c r="J904" s="288"/>
      <c r="K904" s="288"/>
      <c r="L904" s="288"/>
      <c r="M904" s="288"/>
      <c r="N904" s="288"/>
      <c r="O904" s="288"/>
      <c r="P904" s="294"/>
      <c r="Q904" s="294"/>
      <c r="R904" s="294"/>
      <c r="S904" s="294"/>
      <c r="T904" s="294"/>
      <c r="U904" s="294"/>
      <c r="V904" s="294"/>
      <c r="W904" s="294"/>
      <c r="X904" s="294"/>
      <c r="Y904" s="294"/>
      <c r="Z904" s="294"/>
      <c r="AA904" s="294"/>
      <c r="AB904" s="294"/>
    </row>
    <row r="905">
      <c r="A905" s="288"/>
      <c r="B905" s="288"/>
      <c r="C905" s="288"/>
      <c r="D905" s="288"/>
      <c r="E905" s="288"/>
      <c r="F905" s="288"/>
      <c r="G905" s="289"/>
      <c r="H905" s="288"/>
      <c r="I905" s="288"/>
      <c r="J905" s="288"/>
      <c r="K905" s="288"/>
      <c r="L905" s="288"/>
      <c r="M905" s="288"/>
      <c r="N905" s="288"/>
      <c r="O905" s="288"/>
      <c r="P905" s="294"/>
      <c r="Q905" s="294"/>
      <c r="R905" s="294"/>
      <c r="S905" s="294"/>
      <c r="T905" s="294"/>
      <c r="U905" s="294"/>
      <c r="V905" s="294"/>
      <c r="W905" s="294"/>
      <c r="X905" s="294"/>
      <c r="Y905" s="294"/>
      <c r="Z905" s="294"/>
      <c r="AA905" s="294"/>
      <c r="AB905" s="294"/>
    </row>
    <row r="906">
      <c r="A906" s="288"/>
      <c r="B906" s="288"/>
      <c r="C906" s="288"/>
      <c r="D906" s="288"/>
      <c r="E906" s="288"/>
      <c r="F906" s="288"/>
      <c r="G906" s="289"/>
      <c r="H906" s="288"/>
      <c r="I906" s="288"/>
      <c r="J906" s="288"/>
      <c r="K906" s="288"/>
      <c r="L906" s="288"/>
      <c r="M906" s="288"/>
      <c r="N906" s="288"/>
      <c r="O906" s="288"/>
      <c r="P906" s="294"/>
      <c r="Q906" s="294"/>
      <c r="R906" s="294"/>
      <c r="S906" s="294"/>
      <c r="T906" s="294"/>
      <c r="U906" s="294"/>
      <c r="V906" s="294"/>
      <c r="W906" s="294"/>
      <c r="X906" s="294"/>
      <c r="Y906" s="294"/>
      <c r="Z906" s="294"/>
      <c r="AA906" s="294"/>
      <c r="AB906" s="294"/>
    </row>
    <row r="907">
      <c r="A907" s="288"/>
      <c r="B907" s="288"/>
      <c r="C907" s="288"/>
      <c r="D907" s="288"/>
      <c r="E907" s="288"/>
      <c r="F907" s="288"/>
      <c r="G907" s="289"/>
      <c r="H907" s="288"/>
      <c r="I907" s="288"/>
      <c r="J907" s="288"/>
      <c r="K907" s="288"/>
      <c r="L907" s="288"/>
      <c r="M907" s="288"/>
      <c r="N907" s="288"/>
      <c r="O907" s="288"/>
      <c r="P907" s="294"/>
      <c r="Q907" s="294"/>
      <c r="R907" s="294"/>
      <c r="S907" s="294"/>
      <c r="T907" s="294"/>
      <c r="U907" s="294"/>
      <c r="V907" s="294"/>
      <c r="W907" s="294"/>
      <c r="X907" s="294"/>
      <c r="Y907" s="294"/>
      <c r="Z907" s="294"/>
      <c r="AA907" s="294"/>
      <c r="AB907" s="294"/>
    </row>
    <row r="908">
      <c r="A908" s="288"/>
      <c r="B908" s="288"/>
      <c r="C908" s="288"/>
      <c r="D908" s="288"/>
      <c r="E908" s="288"/>
      <c r="F908" s="288"/>
      <c r="G908" s="289"/>
      <c r="H908" s="288"/>
      <c r="I908" s="288"/>
      <c r="J908" s="288"/>
      <c r="K908" s="288"/>
      <c r="L908" s="288"/>
      <c r="M908" s="288"/>
      <c r="N908" s="288"/>
      <c r="O908" s="288"/>
      <c r="P908" s="294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  <c r="AA908" s="294"/>
      <c r="AB908" s="294"/>
    </row>
    <row r="909">
      <c r="A909" s="288"/>
      <c r="B909" s="288"/>
      <c r="C909" s="288"/>
      <c r="D909" s="288"/>
      <c r="E909" s="288"/>
      <c r="F909" s="288"/>
      <c r="G909" s="289"/>
      <c r="H909" s="288"/>
      <c r="I909" s="288"/>
      <c r="J909" s="288"/>
      <c r="K909" s="288"/>
      <c r="L909" s="288"/>
      <c r="M909" s="288"/>
      <c r="N909" s="288"/>
      <c r="O909" s="288"/>
      <c r="P909" s="294"/>
      <c r="Q909" s="294"/>
      <c r="R909" s="294"/>
      <c r="S909" s="294"/>
      <c r="T909" s="294"/>
      <c r="U909" s="294"/>
      <c r="V909" s="294"/>
      <c r="W909" s="294"/>
      <c r="X909" s="294"/>
      <c r="Y909" s="294"/>
      <c r="Z909" s="294"/>
      <c r="AA909" s="294"/>
      <c r="AB909" s="294"/>
    </row>
    <row r="910">
      <c r="A910" s="288"/>
      <c r="B910" s="288"/>
      <c r="C910" s="288"/>
      <c r="D910" s="288"/>
      <c r="E910" s="288"/>
      <c r="F910" s="288"/>
      <c r="G910" s="289"/>
      <c r="H910" s="288"/>
      <c r="I910" s="288"/>
      <c r="J910" s="288"/>
      <c r="K910" s="288"/>
      <c r="L910" s="288"/>
      <c r="M910" s="288"/>
      <c r="N910" s="288"/>
      <c r="O910" s="288"/>
      <c r="P910" s="294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  <c r="AA910" s="294"/>
      <c r="AB910" s="294"/>
    </row>
    <row r="911">
      <c r="A911" s="288"/>
      <c r="B911" s="288"/>
      <c r="C911" s="288"/>
      <c r="D911" s="288"/>
      <c r="E911" s="288"/>
      <c r="F911" s="288"/>
      <c r="G911" s="289"/>
      <c r="H911" s="288"/>
      <c r="I911" s="288"/>
      <c r="J911" s="288"/>
      <c r="K911" s="288"/>
      <c r="L911" s="288"/>
      <c r="M911" s="288"/>
      <c r="N911" s="288"/>
      <c r="O911" s="288"/>
      <c r="P911" s="294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  <c r="AA911" s="294"/>
      <c r="AB911" s="294"/>
    </row>
    <row r="912">
      <c r="A912" s="288"/>
      <c r="B912" s="288"/>
      <c r="C912" s="288"/>
      <c r="D912" s="288"/>
      <c r="E912" s="288"/>
      <c r="F912" s="288"/>
      <c r="G912" s="289"/>
      <c r="H912" s="288"/>
      <c r="I912" s="288"/>
      <c r="J912" s="288"/>
      <c r="K912" s="288"/>
      <c r="L912" s="288"/>
      <c r="M912" s="288"/>
      <c r="N912" s="288"/>
      <c r="O912" s="288"/>
      <c r="P912" s="294"/>
      <c r="Q912" s="294"/>
      <c r="R912" s="294"/>
      <c r="S912" s="294"/>
      <c r="T912" s="294"/>
      <c r="U912" s="294"/>
      <c r="V912" s="294"/>
      <c r="W912" s="294"/>
      <c r="X912" s="294"/>
      <c r="Y912" s="294"/>
      <c r="Z912" s="294"/>
      <c r="AA912" s="294"/>
      <c r="AB912" s="294"/>
    </row>
    <row r="913">
      <c r="A913" s="288"/>
      <c r="B913" s="288"/>
      <c r="C913" s="288"/>
      <c r="D913" s="288"/>
      <c r="E913" s="288"/>
      <c r="F913" s="288"/>
      <c r="G913" s="289"/>
      <c r="H913" s="288"/>
      <c r="I913" s="288"/>
      <c r="J913" s="288"/>
      <c r="K913" s="288"/>
      <c r="L913" s="288"/>
      <c r="M913" s="288"/>
      <c r="N913" s="288"/>
      <c r="O913" s="288"/>
      <c r="P913" s="294"/>
      <c r="Q913" s="294"/>
      <c r="R913" s="294"/>
      <c r="S913" s="294"/>
      <c r="T913" s="294"/>
      <c r="U913" s="294"/>
      <c r="V913" s="294"/>
      <c r="W913" s="294"/>
      <c r="X913" s="294"/>
      <c r="Y913" s="294"/>
      <c r="Z913" s="294"/>
      <c r="AA913" s="294"/>
      <c r="AB913" s="294"/>
    </row>
    <row r="914">
      <c r="A914" s="288"/>
      <c r="B914" s="288"/>
      <c r="C914" s="288"/>
      <c r="D914" s="288"/>
      <c r="E914" s="288"/>
      <c r="F914" s="288"/>
      <c r="G914" s="289"/>
      <c r="H914" s="288"/>
      <c r="I914" s="288"/>
      <c r="J914" s="288"/>
      <c r="K914" s="288"/>
      <c r="L914" s="288"/>
      <c r="M914" s="288"/>
      <c r="N914" s="288"/>
      <c r="O914" s="288"/>
      <c r="P914" s="294"/>
      <c r="Q914" s="294"/>
      <c r="R914" s="294"/>
      <c r="S914" s="294"/>
      <c r="T914" s="294"/>
      <c r="U914" s="294"/>
      <c r="V914" s="294"/>
      <c r="W914" s="294"/>
      <c r="X914" s="294"/>
      <c r="Y914" s="294"/>
      <c r="Z914" s="294"/>
      <c r="AA914" s="294"/>
      <c r="AB914" s="294"/>
    </row>
    <row r="915">
      <c r="A915" s="288"/>
      <c r="B915" s="288"/>
      <c r="C915" s="288"/>
      <c r="D915" s="288"/>
      <c r="E915" s="288"/>
      <c r="F915" s="288"/>
      <c r="G915" s="289"/>
      <c r="H915" s="288"/>
      <c r="I915" s="288"/>
      <c r="J915" s="288"/>
      <c r="K915" s="288"/>
      <c r="L915" s="288"/>
      <c r="M915" s="288"/>
      <c r="N915" s="288"/>
      <c r="O915" s="288"/>
      <c r="P915" s="294"/>
      <c r="Q915" s="294"/>
      <c r="R915" s="294"/>
      <c r="S915" s="294"/>
      <c r="T915" s="294"/>
      <c r="U915" s="294"/>
      <c r="V915" s="294"/>
      <c r="W915" s="294"/>
      <c r="X915" s="294"/>
      <c r="Y915" s="294"/>
      <c r="Z915" s="294"/>
      <c r="AA915" s="294"/>
      <c r="AB915" s="294"/>
    </row>
    <row r="916">
      <c r="A916" s="288"/>
      <c r="B916" s="288"/>
      <c r="C916" s="288"/>
      <c r="D916" s="288"/>
      <c r="E916" s="288"/>
      <c r="F916" s="288"/>
      <c r="G916" s="289"/>
      <c r="H916" s="288"/>
      <c r="I916" s="288"/>
      <c r="J916" s="288"/>
      <c r="K916" s="288"/>
      <c r="L916" s="288"/>
      <c r="M916" s="288"/>
      <c r="N916" s="288"/>
      <c r="O916" s="288"/>
      <c r="P916" s="294"/>
      <c r="Q916" s="294"/>
      <c r="R916" s="294"/>
      <c r="S916" s="294"/>
      <c r="T916" s="294"/>
      <c r="U916" s="294"/>
      <c r="V916" s="294"/>
      <c r="W916" s="294"/>
      <c r="X916" s="294"/>
      <c r="Y916" s="294"/>
      <c r="Z916" s="294"/>
      <c r="AA916" s="294"/>
      <c r="AB916" s="294"/>
    </row>
    <row r="917">
      <c r="A917" s="288"/>
      <c r="B917" s="288"/>
      <c r="C917" s="288"/>
      <c r="D917" s="288"/>
      <c r="E917" s="288"/>
      <c r="F917" s="288"/>
      <c r="G917" s="289"/>
      <c r="H917" s="288"/>
      <c r="I917" s="288"/>
      <c r="J917" s="288"/>
      <c r="K917" s="288"/>
      <c r="L917" s="288"/>
      <c r="M917" s="288"/>
      <c r="N917" s="288"/>
      <c r="O917" s="288"/>
      <c r="P917" s="294"/>
      <c r="Q917" s="294"/>
      <c r="R917" s="294"/>
      <c r="S917" s="294"/>
      <c r="T917" s="294"/>
      <c r="U917" s="294"/>
      <c r="V917" s="294"/>
      <c r="W917" s="294"/>
      <c r="X917" s="294"/>
      <c r="Y917" s="294"/>
      <c r="Z917" s="294"/>
      <c r="AA917" s="294"/>
      <c r="AB917" s="294"/>
    </row>
    <row r="918">
      <c r="A918" s="288"/>
      <c r="B918" s="288"/>
      <c r="C918" s="288"/>
      <c r="D918" s="288"/>
      <c r="E918" s="288"/>
      <c r="F918" s="288"/>
      <c r="G918" s="289"/>
      <c r="H918" s="288"/>
      <c r="I918" s="288"/>
      <c r="J918" s="288"/>
      <c r="K918" s="288"/>
      <c r="L918" s="288"/>
      <c r="M918" s="288"/>
      <c r="N918" s="288"/>
      <c r="O918" s="288"/>
      <c r="P918" s="294"/>
      <c r="Q918" s="294"/>
      <c r="R918" s="294"/>
      <c r="S918" s="294"/>
      <c r="T918" s="294"/>
      <c r="U918" s="294"/>
      <c r="V918" s="294"/>
      <c r="W918" s="294"/>
      <c r="X918" s="294"/>
      <c r="Y918" s="294"/>
      <c r="Z918" s="294"/>
      <c r="AA918" s="294"/>
      <c r="AB918" s="294"/>
    </row>
    <row r="919">
      <c r="A919" s="288"/>
      <c r="B919" s="288"/>
      <c r="C919" s="288"/>
      <c r="D919" s="288"/>
      <c r="E919" s="288"/>
      <c r="F919" s="288"/>
      <c r="G919" s="289"/>
      <c r="H919" s="288"/>
      <c r="I919" s="288"/>
      <c r="J919" s="288"/>
      <c r="K919" s="288"/>
      <c r="L919" s="288"/>
      <c r="M919" s="288"/>
      <c r="N919" s="288"/>
      <c r="O919" s="288"/>
      <c r="P919" s="294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  <c r="AA919" s="294"/>
      <c r="AB919" s="294"/>
    </row>
    <row r="920">
      <c r="A920" s="288"/>
      <c r="B920" s="288"/>
      <c r="C920" s="288"/>
      <c r="D920" s="288"/>
      <c r="E920" s="288"/>
      <c r="F920" s="288"/>
      <c r="G920" s="289"/>
      <c r="H920" s="288"/>
      <c r="I920" s="288"/>
      <c r="J920" s="288"/>
      <c r="K920" s="288"/>
      <c r="L920" s="288"/>
      <c r="M920" s="288"/>
      <c r="N920" s="288"/>
      <c r="O920" s="288"/>
      <c r="P920" s="294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  <c r="AA920" s="294"/>
      <c r="AB920" s="294"/>
    </row>
    <row r="921">
      <c r="A921" s="288"/>
      <c r="B921" s="288"/>
      <c r="C921" s="288"/>
      <c r="D921" s="288"/>
      <c r="E921" s="288"/>
      <c r="F921" s="288"/>
      <c r="G921" s="289"/>
      <c r="H921" s="288"/>
      <c r="I921" s="288"/>
      <c r="J921" s="288"/>
      <c r="K921" s="288"/>
      <c r="L921" s="288"/>
      <c r="M921" s="288"/>
      <c r="N921" s="288"/>
      <c r="O921" s="288"/>
      <c r="P921" s="294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  <c r="AA921" s="294"/>
      <c r="AB921" s="294"/>
    </row>
    <row r="922">
      <c r="A922" s="288"/>
      <c r="B922" s="288"/>
      <c r="C922" s="288"/>
      <c r="D922" s="288"/>
      <c r="E922" s="288"/>
      <c r="F922" s="288"/>
      <c r="G922" s="289"/>
      <c r="H922" s="288"/>
      <c r="I922" s="288"/>
      <c r="J922" s="288"/>
      <c r="K922" s="288"/>
      <c r="L922" s="288"/>
      <c r="M922" s="288"/>
      <c r="N922" s="288"/>
      <c r="O922" s="288"/>
      <c r="P922" s="294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  <c r="AA922" s="294"/>
      <c r="AB922" s="294"/>
    </row>
    <row r="923">
      <c r="A923" s="288"/>
      <c r="B923" s="288"/>
      <c r="C923" s="288"/>
      <c r="D923" s="288"/>
      <c r="E923" s="288"/>
      <c r="F923" s="288"/>
      <c r="G923" s="289"/>
      <c r="H923" s="288"/>
      <c r="I923" s="288"/>
      <c r="J923" s="288"/>
      <c r="K923" s="288"/>
      <c r="L923" s="288"/>
      <c r="M923" s="288"/>
      <c r="N923" s="288"/>
      <c r="O923" s="288"/>
      <c r="P923" s="294"/>
      <c r="Q923" s="294"/>
      <c r="R923" s="294"/>
      <c r="S923" s="294"/>
      <c r="T923" s="294"/>
      <c r="U923" s="294"/>
      <c r="V923" s="294"/>
      <c r="W923" s="294"/>
      <c r="X923" s="294"/>
      <c r="Y923" s="294"/>
      <c r="Z923" s="294"/>
      <c r="AA923" s="294"/>
      <c r="AB923" s="294"/>
    </row>
    <row r="924">
      <c r="A924" s="288"/>
      <c r="B924" s="288"/>
      <c r="C924" s="288"/>
      <c r="D924" s="288"/>
      <c r="E924" s="288"/>
      <c r="F924" s="288"/>
      <c r="G924" s="289"/>
      <c r="H924" s="288"/>
      <c r="I924" s="288"/>
      <c r="J924" s="288"/>
      <c r="K924" s="288"/>
      <c r="L924" s="288"/>
      <c r="M924" s="288"/>
      <c r="N924" s="288"/>
      <c r="O924" s="288"/>
      <c r="P924" s="294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  <c r="AA924" s="294"/>
      <c r="AB924" s="294"/>
    </row>
    <row r="925">
      <c r="A925" s="288"/>
      <c r="B925" s="288"/>
      <c r="C925" s="288"/>
      <c r="D925" s="288"/>
      <c r="E925" s="288"/>
      <c r="F925" s="288"/>
      <c r="G925" s="289"/>
      <c r="H925" s="288"/>
      <c r="I925" s="288"/>
      <c r="J925" s="288"/>
      <c r="K925" s="288"/>
      <c r="L925" s="288"/>
      <c r="M925" s="288"/>
      <c r="N925" s="288"/>
      <c r="O925" s="288"/>
      <c r="P925" s="294"/>
      <c r="Q925" s="294"/>
      <c r="R925" s="294"/>
      <c r="S925" s="294"/>
      <c r="T925" s="294"/>
      <c r="U925" s="294"/>
      <c r="V925" s="294"/>
      <c r="W925" s="294"/>
      <c r="X925" s="294"/>
      <c r="Y925" s="294"/>
      <c r="Z925" s="294"/>
      <c r="AA925" s="294"/>
      <c r="AB925" s="294"/>
    </row>
    <row r="926">
      <c r="A926" s="288"/>
      <c r="B926" s="288"/>
      <c r="C926" s="288"/>
      <c r="D926" s="288"/>
      <c r="E926" s="288"/>
      <c r="F926" s="288"/>
      <c r="G926" s="289"/>
      <c r="H926" s="288"/>
      <c r="I926" s="288"/>
      <c r="J926" s="288"/>
      <c r="K926" s="288"/>
      <c r="L926" s="288"/>
      <c r="M926" s="288"/>
      <c r="N926" s="288"/>
      <c r="O926" s="288"/>
      <c r="P926" s="294"/>
      <c r="Q926" s="294"/>
      <c r="R926" s="294"/>
      <c r="S926" s="294"/>
      <c r="T926" s="294"/>
      <c r="U926" s="294"/>
      <c r="V926" s="294"/>
      <c r="W926" s="294"/>
      <c r="X926" s="294"/>
      <c r="Y926" s="294"/>
      <c r="Z926" s="294"/>
      <c r="AA926" s="294"/>
      <c r="AB926" s="294"/>
    </row>
    <row r="927">
      <c r="A927" s="288"/>
      <c r="B927" s="288"/>
      <c r="C927" s="288"/>
      <c r="D927" s="288"/>
      <c r="E927" s="288"/>
      <c r="F927" s="288"/>
      <c r="G927" s="289"/>
      <c r="H927" s="288"/>
      <c r="I927" s="288"/>
      <c r="J927" s="288"/>
      <c r="K927" s="288"/>
      <c r="L927" s="288"/>
      <c r="M927" s="288"/>
      <c r="N927" s="288"/>
      <c r="O927" s="288"/>
      <c r="P927" s="294"/>
      <c r="Q927" s="294"/>
      <c r="R927" s="294"/>
      <c r="S927" s="294"/>
      <c r="T927" s="294"/>
      <c r="U927" s="294"/>
      <c r="V927" s="294"/>
      <c r="W927" s="294"/>
      <c r="X927" s="294"/>
      <c r="Y927" s="294"/>
      <c r="Z927" s="294"/>
      <c r="AA927" s="294"/>
      <c r="AB927" s="294"/>
    </row>
    <row r="928">
      <c r="A928" s="288"/>
      <c r="B928" s="288"/>
      <c r="C928" s="288"/>
      <c r="D928" s="288"/>
      <c r="E928" s="288"/>
      <c r="F928" s="288"/>
      <c r="G928" s="289"/>
      <c r="H928" s="288"/>
      <c r="I928" s="288"/>
      <c r="J928" s="288"/>
      <c r="K928" s="288"/>
      <c r="L928" s="288"/>
      <c r="M928" s="288"/>
      <c r="N928" s="288"/>
      <c r="O928" s="288"/>
      <c r="P928" s="294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  <c r="AA928" s="294"/>
      <c r="AB928" s="294"/>
    </row>
    <row r="929">
      <c r="A929" s="288"/>
      <c r="B929" s="288"/>
      <c r="C929" s="288"/>
      <c r="D929" s="288"/>
      <c r="E929" s="288"/>
      <c r="F929" s="288"/>
      <c r="G929" s="289"/>
      <c r="H929" s="288"/>
      <c r="I929" s="288"/>
      <c r="J929" s="288"/>
      <c r="K929" s="288"/>
      <c r="L929" s="288"/>
      <c r="M929" s="288"/>
      <c r="N929" s="288"/>
      <c r="O929" s="288"/>
      <c r="P929" s="294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  <c r="AA929" s="294"/>
      <c r="AB929" s="294"/>
    </row>
    <row r="930">
      <c r="A930" s="288"/>
      <c r="B930" s="288"/>
      <c r="C930" s="288"/>
      <c r="D930" s="288"/>
      <c r="E930" s="288"/>
      <c r="F930" s="288"/>
      <c r="G930" s="289"/>
      <c r="H930" s="288"/>
      <c r="I930" s="288"/>
      <c r="J930" s="288"/>
      <c r="K930" s="288"/>
      <c r="L930" s="288"/>
      <c r="M930" s="288"/>
      <c r="N930" s="288"/>
      <c r="O930" s="288"/>
      <c r="P930" s="294"/>
      <c r="Q930" s="294"/>
      <c r="R930" s="294"/>
      <c r="S930" s="294"/>
      <c r="T930" s="294"/>
      <c r="U930" s="294"/>
      <c r="V930" s="294"/>
      <c r="W930" s="294"/>
      <c r="X930" s="294"/>
      <c r="Y930" s="294"/>
      <c r="Z930" s="294"/>
      <c r="AA930" s="294"/>
      <c r="AB930" s="294"/>
    </row>
    <row r="931">
      <c r="A931" s="288"/>
      <c r="B931" s="288"/>
      <c r="C931" s="288"/>
      <c r="D931" s="288"/>
      <c r="E931" s="288"/>
      <c r="F931" s="288"/>
      <c r="G931" s="289"/>
      <c r="H931" s="288"/>
      <c r="I931" s="288"/>
      <c r="J931" s="288"/>
      <c r="K931" s="288"/>
      <c r="L931" s="288"/>
      <c r="M931" s="288"/>
      <c r="N931" s="288"/>
      <c r="O931" s="288"/>
      <c r="P931" s="294"/>
      <c r="Q931" s="294"/>
      <c r="R931" s="294"/>
      <c r="S931" s="294"/>
      <c r="T931" s="294"/>
      <c r="U931" s="294"/>
      <c r="V931" s="294"/>
      <c r="W931" s="294"/>
      <c r="X931" s="294"/>
      <c r="Y931" s="294"/>
      <c r="Z931" s="294"/>
      <c r="AA931" s="294"/>
      <c r="AB931" s="294"/>
    </row>
    <row r="932">
      <c r="A932" s="288"/>
      <c r="B932" s="288"/>
      <c r="C932" s="288"/>
      <c r="D932" s="288"/>
      <c r="E932" s="288"/>
      <c r="F932" s="288"/>
      <c r="G932" s="289"/>
      <c r="H932" s="288"/>
      <c r="I932" s="288"/>
      <c r="J932" s="288"/>
      <c r="K932" s="288"/>
      <c r="L932" s="288"/>
      <c r="M932" s="288"/>
      <c r="N932" s="288"/>
      <c r="O932" s="288"/>
      <c r="P932" s="294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  <c r="AA932" s="294"/>
      <c r="AB932" s="294"/>
    </row>
    <row r="933">
      <c r="A933" s="288"/>
      <c r="B933" s="288"/>
      <c r="C933" s="288"/>
      <c r="D933" s="288"/>
      <c r="E933" s="288"/>
      <c r="F933" s="288"/>
      <c r="G933" s="289"/>
      <c r="H933" s="288"/>
      <c r="I933" s="288"/>
      <c r="J933" s="288"/>
      <c r="K933" s="288"/>
      <c r="L933" s="288"/>
      <c r="M933" s="288"/>
      <c r="N933" s="288"/>
      <c r="O933" s="288"/>
      <c r="P933" s="294"/>
      <c r="Q933" s="294"/>
      <c r="R933" s="294"/>
      <c r="S933" s="294"/>
      <c r="T933" s="294"/>
      <c r="U933" s="294"/>
      <c r="V933" s="294"/>
      <c r="W933" s="294"/>
      <c r="X933" s="294"/>
      <c r="Y933" s="294"/>
      <c r="Z933" s="294"/>
      <c r="AA933" s="294"/>
      <c r="AB933" s="294"/>
    </row>
    <row r="934">
      <c r="A934" s="288"/>
      <c r="B934" s="288"/>
      <c r="C934" s="288"/>
      <c r="D934" s="288"/>
      <c r="E934" s="288"/>
      <c r="F934" s="288"/>
      <c r="G934" s="289"/>
      <c r="H934" s="288"/>
      <c r="I934" s="288"/>
      <c r="J934" s="288"/>
      <c r="K934" s="288"/>
      <c r="L934" s="288"/>
      <c r="M934" s="288"/>
      <c r="N934" s="288"/>
      <c r="O934" s="288"/>
      <c r="P934" s="294"/>
      <c r="Q934" s="294"/>
      <c r="R934" s="294"/>
      <c r="S934" s="294"/>
      <c r="T934" s="294"/>
      <c r="U934" s="294"/>
      <c r="V934" s="294"/>
      <c r="W934" s="294"/>
      <c r="X934" s="294"/>
      <c r="Y934" s="294"/>
      <c r="Z934" s="294"/>
      <c r="AA934" s="294"/>
      <c r="AB934" s="294"/>
    </row>
    <row r="935">
      <c r="A935" s="288"/>
      <c r="B935" s="288"/>
      <c r="C935" s="288"/>
      <c r="D935" s="288"/>
      <c r="E935" s="288"/>
      <c r="F935" s="288"/>
      <c r="G935" s="289"/>
      <c r="H935" s="288"/>
      <c r="I935" s="288"/>
      <c r="J935" s="288"/>
      <c r="K935" s="288"/>
      <c r="L935" s="288"/>
      <c r="M935" s="288"/>
      <c r="N935" s="288"/>
      <c r="O935" s="288"/>
      <c r="P935" s="294"/>
      <c r="Q935" s="294"/>
      <c r="R935" s="294"/>
      <c r="S935" s="294"/>
      <c r="T935" s="294"/>
      <c r="U935" s="294"/>
      <c r="V935" s="294"/>
      <c r="W935" s="294"/>
      <c r="X935" s="294"/>
      <c r="Y935" s="294"/>
      <c r="Z935" s="294"/>
      <c r="AA935" s="294"/>
      <c r="AB935" s="294"/>
    </row>
    <row r="936">
      <c r="A936" s="288"/>
      <c r="B936" s="288"/>
      <c r="C936" s="288"/>
      <c r="D936" s="288"/>
      <c r="E936" s="288"/>
      <c r="F936" s="288"/>
      <c r="G936" s="289"/>
      <c r="H936" s="288"/>
      <c r="I936" s="288"/>
      <c r="J936" s="288"/>
      <c r="K936" s="288"/>
      <c r="L936" s="288"/>
      <c r="M936" s="288"/>
      <c r="N936" s="288"/>
      <c r="O936" s="288"/>
      <c r="P936" s="294"/>
      <c r="Q936" s="294"/>
      <c r="R936" s="294"/>
      <c r="S936" s="294"/>
      <c r="T936" s="294"/>
      <c r="U936" s="294"/>
      <c r="V936" s="294"/>
      <c r="W936" s="294"/>
      <c r="X936" s="294"/>
      <c r="Y936" s="294"/>
      <c r="Z936" s="294"/>
      <c r="AA936" s="294"/>
      <c r="AB936" s="294"/>
    </row>
    <row r="937">
      <c r="A937" s="288"/>
      <c r="B937" s="288"/>
      <c r="C937" s="288"/>
      <c r="D937" s="288"/>
      <c r="E937" s="288"/>
      <c r="F937" s="288"/>
      <c r="G937" s="289"/>
      <c r="H937" s="288"/>
      <c r="I937" s="288"/>
      <c r="J937" s="288"/>
      <c r="K937" s="288"/>
      <c r="L937" s="288"/>
      <c r="M937" s="288"/>
      <c r="N937" s="288"/>
      <c r="O937" s="288"/>
      <c r="P937" s="294"/>
      <c r="Q937" s="294"/>
      <c r="R937" s="294"/>
      <c r="S937" s="294"/>
      <c r="T937" s="294"/>
      <c r="U937" s="294"/>
      <c r="V937" s="294"/>
      <c r="W937" s="294"/>
      <c r="X937" s="294"/>
      <c r="Y937" s="294"/>
      <c r="Z937" s="294"/>
      <c r="AA937" s="294"/>
      <c r="AB937" s="294"/>
    </row>
    <row r="938">
      <c r="A938" s="288"/>
      <c r="B938" s="288"/>
      <c r="C938" s="288"/>
      <c r="D938" s="288"/>
      <c r="E938" s="288"/>
      <c r="F938" s="288"/>
      <c r="G938" s="289"/>
      <c r="H938" s="288"/>
      <c r="I938" s="288"/>
      <c r="J938" s="288"/>
      <c r="K938" s="288"/>
      <c r="L938" s="288"/>
      <c r="M938" s="288"/>
      <c r="N938" s="288"/>
      <c r="O938" s="288"/>
      <c r="P938" s="294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  <c r="AA938" s="294"/>
      <c r="AB938" s="294"/>
    </row>
    <row r="939">
      <c r="A939" s="288"/>
      <c r="B939" s="288"/>
      <c r="C939" s="288"/>
      <c r="D939" s="288"/>
      <c r="E939" s="288"/>
      <c r="F939" s="288"/>
      <c r="G939" s="289"/>
      <c r="H939" s="288"/>
      <c r="I939" s="288"/>
      <c r="J939" s="288"/>
      <c r="K939" s="288"/>
      <c r="L939" s="288"/>
      <c r="M939" s="288"/>
      <c r="N939" s="288"/>
      <c r="O939" s="288"/>
      <c r="P939" s="294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  <c r="AA939" s="294"/>
      <c r="AB939" s="294"/>
    </row>
    <row r="940">
      <c r="A940" s="288"/>
      <c r="B940" s="288"/>
      <c r="C940" s="288"/>
      <c r="D940" s="288"/>
      <c r="E940" s="288"/>
      <c r="F940" s="288"/>
      <c r="G940" s="289"/>
      <c r="H940" s="288"/>
      <c r="I940" s="288"/>
      <c r="J940" s="288"/>
      <c r="K940" s="288"/>
      <c r="L940" s="288"/>
      <c r="M940" s="288"/>
      <c r="N940" s="288"/>
      <c r="O940" s="288"/>
      <c r="P940" s="294"/>
      <c r="Q940" s="294"/>
      <c r="R940" s="294"/>
      <c r="S940" s="294"/>
      <c r="T940" s="294"/>
      <c r="U940" s="294"/>
      <c r="V940" s="294"/>
      <c r="W940" s="294"/>
      <c r="X940" s="294"/>
      <c r="Y940" s="294"/>
      <c r="Z940" s="294"/>
      <c r="AA940" s="294"/>
      <c r="AB940" s="294"/>
    </row>
    <row r="941">
      <c r="A941" s="288"/>
      <c r="B941" s="288"/>
      <c r="C941" s="288"/>
      <c r="D941" s="288"/>
      <c r="E941" s="288"/>
      <c r="F941" s="288"/>
      <c r="G941" s="289"/>
      <c r="H941" s="288"/>
      <c r="I941" s="288"/>
      <c r="J941" s="288"/>
      <c r="K941" s="288"/>
      <c r="L941" s="288"/>
      <c r="M941" s="288"/>
      <c r="N941" s="288"/>
      <c r="O941" s="288"/>
      <c r="P941" s="294"/>
      <c r="Q941" s="294"/>
      <c r="R941" s="294"/>
      <c r="S941" s="294"/>
      <c r="T941" s="294"/>
      <c r="U941" s="294"/>
      <c r="V941" s="294"/>
      <c r="W941" s="294"/>
      <c r="X941" s="294"/>
      <c r="Y941" s="294"/>
      <c r="Z941" s="294"/>
      <c r="AA941" s="294"/>
      <c r="AB941" s="294"/>
    </row>
    <row r="942">
      <c r="A942" s="288"/>
      <c r="B942" s="288"/>
      <c r="C942" s="288"/>
      <c r="D942" s="288"/>
      <c r="E942" s="288"/>
      <c r="F942" s="288"/>
      <c r="G942" s="289"/>
      <c r="H942" s="288"/>
      <c r="I942" s="288"/>
      <c r="J942" s="288"/>
      <c r="K942" s="288"/>
      <c r="L942" s="288"/>
      <c r="M942" s="288"/>
      <c r="N942" s="288"/>
      <c r="O942" s="288"/>
      <c r="P942" s="294"/>
      <c r="Q942" s="294"/>
      <c r="R942" s="294"/>
      <c r="S942" s="294"/>
      <c r="T942" s="294"/>
      <c r="U942" s="294"/>
      <c r="V942" s="294"/>
      <c r="W942" s="294"/>
      <c r="X942" s="294"/>
      <c r="Y942" s="294"/>
      <c r="Z942" s="294"/>
      <c r="AA942" s="294"/>
      <c r="AB942" s="294"/>
    </row>
    <row r="943">
      <c r="A943" s="288"/>
      <c r="B943" s="288"/>
      <c r="C943" s="288"/>
      <c r="D943" s="288"/>
      <c r="E943" s="288"/>
      <c r="F943" s="288"/>
      <c r="G943" s="289"/>
      <c r="H943" s="288"/>
      <c r="I943" s="288"/>
      <c r="J943" s="288"/>
      <c r="K943" s="288"/>
      <c r="L943" s="288"/>
      <c r="M943" s="288"/>
      <c r="N943" s="288"/>
      <c r="O943" s="288"/>
      <c r="P943" s="294"/>
      <c r="Q943" s="294"/>
      <c r="R943" s="294"/>
      <c r="S943" s="294"/>
      <c r="T943" s="294"/>
      <c r="U943" s="294"/>
      <c r="V943" s="294"/>
      <c r="W943" s="294"/>
      <c r="X943" s="294"/>
      <c r="Y943" s="294"/>
      <c r="Z943" s="294"/>
      <c r="AA943" s="294"/>
      <c r="AB943" s="294"/>
    </row>
    <row r="944">
      <c r="A944" s="288"/>
      <c r="B944" s="288"/>
      <c r="C944" s="288"/>
      <c r="D944" s="288"/>
      <c r="E944" s="288"/>
      <c r="F944" s="288"/>
      <c r="G944" s="289"/>
      <c r="H944" s="288"/>
      <c r="I944" s="288"/>
      <c r="J944" s="288"/>
      <c r="K944" s="288"/>
      <c r="L944" s="288"/>
      <c r="M944" s="288"/>
      <c r="N944" s="288"/>
      <c r="O944" s="288"/>
      <c r="P944" s="294"/>
      <c r="Q944" s="294"/>
      <c r="R944" s="294"/>
      <c r="S944" s="294"/>
      <c r="T944" s="294"/>
      <c r="U944" s="294"/>
      <c r="V944" s="294"/>
      <c r="W944" s="294"/>
      <c r="X944" s="294"/>
      <c r="Y944" s="294"/>
      <c r="Z944" s="294"/>
      <c r="AA944" s="294"/>
      <c r="AB944" s="294"/>
    </row>
    <row r="945">
      <c r="A945" s="288"/>
      <c r="B945" s="288"/>
      <c r="C945" s="288"/>
      <c r="D945" s="288"/>
      <c r="E945" s="288"/>
      <c r="F945" s="288"/>
      <c r="G945" s="289"/>
      <c r="H945" s="288"/>
      <c r="I945" s="288"/>
      <c r="J945" s="288"/>
      <c r="K945" s="288"/>
      <c r="L945" s="288"/>
      <c r="M945" s="288"/>
      <c r="N945" s="288"/>
      <c r="O945" s="288"/>
      <c r="P945" s="294"/>
      <c r="Q945" s="294"/>
      <c r="R945" s="294"/>
      <c r="S945" s="294"/>
      <c r="T945" s="294"/>
      <c r="U945" s="294"/>
      <c r="V945" s="294"/>
      <c r="W945" s="294"/>
      <c r="X945" s="294"/>
      <c r="Y945" s="294"/>
      <c r="Z945" s="294"/>
      <c r="AA945" s="294"/>
      <c r="AB945" s="294"/>
    </row>
    <row r="946">
      <c r="A946" s="288"/>
      <c r="B946" s="288"/>
      <c r="C946" s="288"/>
      <c r="D946" s="288"/>
      <c r="E946" s="288"/>
      <c r="F946" s="288"/>
      <c r="G946" s="289"/>
      <c r="H946" s="288"/>
      <c r="I946" s="288"/>
      <c r="J946" s="288"/>
      <c r="K946" s="288"/>
      <c r="L946" s="288"/>
      <c r="M946" s="288"/>
      <c r="N946" s="288"/>
      <c r="O946" s="288"/>
      <c r="P946" s="294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  <c r="AA946" s="294"/>
      <c r="AB946" s="294"/>
    </row>
    <row r="947">
      <c r="A947" s="288"/>
      <c r="B947" s="288"/>
      <c r="C947" s="288"/>
      <c r="D947" s="288"/>
      <c r="E947" s="288"/>
      <c r="F947" s="288"/>
      <c r="G947" s="289"/>
      <c r="H947" s="288"/>
      <c r="I947" s="288"/>
      <c r="J947" s="288"/>
      <c r="K947" s="288"/>
      <c r="L947" s="288"/>
      <c r="M947" s="288"/>
      <c r="N947" s="288"/>
      <c r="O947" s="288"/>
      <c r="P947" s="294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  <c r="AA947" s="294"/>
      <c r="AB947" s="294"/>
    </row>
    <row r="948">
      <c r="A948" s="288"/>
      <c r="B948" s="288"/>
      <c r="C948" s="288"/>
      <c r="D948" s="288"/>
      <c r="E948" s="288"/>
      <c r="F948" s="288"/>
      <c r="G948" s="289"/>
      <c r="H948" s="288"/>
      <c r="I948" s="288"/>
      <c r="J948" s="288"/>
      <c r="K948" s="288"/>
      <c r="L948" s="288"/>
      <c r="M948" s="288"/>
      <c r="N948" s="288"/>
      <c r="O948" s="288"/>
      <c r="P948" s="294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  <c r="AA948" s="294"/>
      <c r="AB948" s="294"/>
    </row>
    <row r="949">
      <c r="A949" s="288"/>
      <c r="B949" s="288"/>
      <c r="C949" s="288"/>
      <c r="D949" s="288"/>
      <c r="E949" s="288"/>
      <c r="F949" s="288"/>
      <c r="G949" s="289"/>
      <c r="H949" s="288"/>
      <c r="I949" s="288"/>
      <c r="J949" s="288"/>
      <c r="K949" s="288"/>
      <c r="L949" s="288"/>
      <c r="M949" s="288"/>
      <c r="N949" s="288"/>
      <c r="O949" s="288"/>
      <c r="P949" s="294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  <c r="AA949" s="294"/>
      <c r="AB949" s="294"/>
    </row>
    <row r="950">
      <c r="A950" s="288"/>
      <c r="B950" s="288"/>
      <c r="C950" s="288"/>
      <c r="D950" s="288"/>
      <c r="E950" s="288"/>
      <c r="F950" s="288"/>
      <c r="G950" s="289"/>
      <c r="H950" s="288"/>
      <c r="I950" s="288"/>
      <c r="J950" s="288"/>
      <c r="K950" s="288"/>
      <c r="L950" s="288"/>
      <c r="M950" s="288"/>
      <c r="N950" s="288"/>
      <c r="O950" s="288"/>
      <c r="P950" s="294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  <c r="AA950" s="294"/>
      <c r="AB950" s="294"/>
    </row>
    <row r="951">
      <c r="A951" s="288"/>
      <c r="B951" s="288"/>
      <c r="C951" s="288"/>
      <c r="D951" s="288"/>
      <c r="E951" s="288"/>
      <c r="F951" s="288"/>
      <c r="G951" s="289"/>
      <c r="H951" s="288"/>
      <c r="I951" s="288"/>
      <c r="J951" s="288"/>
      <c r="K951" s="288"/>
      <c r="L951" s="288"/>
      <c r="M951" s="288"/>
      <c r="N951" s="288"/>
      <c r="O951" s="288"/>
      <c r="P951" s="294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  <c r="AA951" s="294"/>
      <c r="AB951" s="294"/>
    </row>
    <row r="952">
      <c r="A952" s="288"/>
      <c r="B952" s="288"/>
      <c r="C952" s="288"/>
      <c r="D952" s="288"/>
      <c r="E952" s="288"/>
      <c r="F952" s="288"/>
      <c r="G952" s="289"/>
      <c r="H952" s="288"/>
      <c r="I952" s="288"/>
      <c r="J952" s="288"/>
      <c r="K952" s="288"/>
      <c r="L952" s="288"/>
      <c r="M952" s="288"/>
      <c r="N952" s="288"/>
      <c r="O952" s="288"/>
      <c r="P952" s="294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  <c r="AA952" s="294"/>
      <c r="AB952" s="294"/>
    </row>
    <row r="953">
      <c r="A953" s="288"/>
      <c r="B953" s="288"/>
      <c r="C953" s="288"/>
      <c r="D953" s="288"/>
      <c r="E953" s="288"/>
      <c r="F953" s="288"/>
      <c r="G953" s="289"/>
      <c r="H953" s="288"/>
      <c r="I953" s="288"/>
      <c r="J953" s="288"/>
      <c r="K953" s="288"/>
      <c r="L953" s="288"/>
      <c r="M953" s="288"/>
      <c r="N953" s="288"/>
      <c r="O953" s="288"/>
      <c r="P953" s="294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  <c r="AA953" s="294"/>
      <c r="AB953" s="294"/>
    </row>
    <row r="954">
      <c r="A954" s="288"/>
      <c r="B954" s="288"/>
      <c r="C954" s="288"/>
      <c r="D954" s="288"/>
      <c r="E954" s="288"/>
      <c r="F954" s="288"/>
      <c r="G954" s="289"/>
      <c r="H954" s="288"/>
      <c r="I954" s="288"/>
      <c r="J954" s="288"/>
      <c r="K954" s="288"/>
      <c r="L954" s="288"/>
      <c r="M954" s="288"/>
      <c r="N954" s="288"/>
      <c r="O954" s="288"/>
      <c r="P954" s="294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  <c r="AA954" s="294"/>
      <c r="AB954" s="294"/>
    </row>
    <row r="955">
      <c r="A955" s="288"/>
      <c r="B955" s="288"/>
      <c r="C955" s="288"/>
      <c r="D955" s="288"/>
      <c r="E955" s="288"/>
      <c r="F955" s="288"/>
      <c r="G955" s="289"/>
      <c r="H955" s="288"/>
      <c r="I955" s="288"/>
      <c r="J955" s="288"/>
      <c r="K955" s="288"/>
      <c r="L955" s="288"/>
      <c r="M955" s="288"/>
      <c r="N955" s="288"/>
      <c r="O955" s="288"/>
      <c r="P955" s="294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  <c r="AA955" s="294"/>
      <c r="AB955" s="294"/>
    </row>
    <row r="956">
      <c r="A956" s="288"/>
      <c r="B956" s="288"/>
      <c r="C956" s="288"/>
      <c r="D956" s="288"/>
      <c r="E956" s="288"/>
      <c r="F956" s="288"/>
      <c r="G956" s="289"/>
      <c r="H956" s="288"/>
      <c r="I956" s="288"/>
      <c r="J956" s="288"/>
      <c r="K956" s="288"/>
      <c r="L956" s="288"/>
      <c r="M956" s="288"/>
      <c r="N956" s="288"/>
      <c r="O956" s="288"/>
      <c r="P956" s="294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  <c r="AA956" s="294"/>
      <c r="AB956" s="294"/>
    </row>
    <row r="957">
      <c r="A957" s="288"/>
      <c r="B957" s="288"/>
      <c r="C957" s="288"/>
      <c r="D957" s="288"/>
      <c r="E957" s="288"/>
      <c r="F957" s="288"/>
      <c r="G957" s="289"/>
      <c r="H957" s="288"/>
      <c r="I957" s="288"/>
      <c r="J957" s="288"/>
      <c r="K957" s="288"/>
      <c r="L957" s="288"/>
      <c r="M957" s="288"/>
      <c r="N957" s="288"/>
      <c r="O957" s="288"/>
      <c r="P957" s="294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  <c r="AA957" s="294"/>
      <c r="AB957" s="294"/>
    </row>
    <row r="958">
      <c r="A958" s="288"/>
      <c r="B958" s="288"/>
      <c r="C958" s="288"/>
      <c r="D958" s="288"/>
      <c r="E958" s="288"/>
      <c r="F958" s="288"/>
      <c r="G958" s="289"/>
      <c r="H958" s="288"/>
      <c r="I958" s="288"/>
      <c r="J958" s="288"/>
      <c r="K958" s="288"/>
      <c r="L958" s="288"/>
      <c r="M958" s="288"/>
      <c r="N958" s="288"/>
      <c r="O958" s="288"/>
      <c r="P958" s="294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  <c r="AA958" s="294"/>
      <c r="AB958" s="294"/>
    </row>
    <row r="959">
      <c r="A959" s="288"/>
      <c r="B959" s="288"/>
      <c r="C959" s="288"/>
      <c r="D959" s="288"/>
      <c r="E959" s="288"/>
      <c r="F959" s="288"/>
      <c r="G959" s="289"/>
      <c r="H959" s="288"/>
      <c r="I959" s="288"/>
      <c r="J959" s="288"/>
      <c r="K959" s="288"/>
      <c r="L959" s="288"/>
      <c r="M959" s="288"/>
      <c r="N959" s="288"/>
      <c r="O959" s="288"/>
      <c r="P959" s="294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  <c r="AA959" s="294"/>
      <c r="AB959" s="294"/>
    </row>
    <row r="960">
      <c r="A960" s="288"/>
      <c r="B960" s="288"/>
      <c r="C960" s="288"/>
      <c r="D960" s="288"/>
      <c r="E960" s="288"/>
      <c r="F960" s="288"/>
      <c r="G960" s="289"/>
      <c r="H960" s="288"/>
      <c r="I960" s="288"/>
      <c r="J960" s="288"/>
      <c r="K960" s="288"/>
      <c r="L960" s="288"/>
      <c r="M960" s="288"/>
      <c r="N960" s="288"/>
      <c r="O960" s="288"/>
      <c r="P960" s="294"/>
      <c r="Q960" s="294"/>
      <c r="R960" s="294"/>
      <c r="S960" s="294"/>
      <c r="T960" s="294"/>
      <c r="U960" s="294"/>
      <c r="V960" s="294"/>
      <c r="W960" s="294"/>
      <c r="X960" s="294"/>
      <c r="Y960" s="294"/>
      <c r="Z960" s="294"/>
      <c r="AA960" s="294"/>
      <c r="AB960" s="294"/>
    </row>
    <row r="961">
      <c r="A961" s="288"/>
      <c r="B961" s="288"/>
      <c r="C961" s="288"/>
      <c r="D961" s="288"/>
      <c r="E961" s="288"/>
      <c r="F961" s="288"/>
      <c r="G961" s="289"/>
      <c r="H961" s="288"/>
      <c r="I961" s="288"/>
      <c r="J961" s="288"/>
      <c r="K961" s="288"/>
      <c r="L961" s="288"/>
      <c r="M961" s="288"/>
      <c r="N961" s="288"/>
      <c r="O961" s="288"/>
      <c r="P961" s="294"/>
      <c r="Q961" s="294"/>
      <c r="R961" s="294"/>
      <c r="S961" s="294"/>
      <c r="T961" s="294"/>
      <c r="U961" s="294"/>
      <c r="V961" s="294"/>
      <c r="W961" s="294"/>
      <c r="X961" s="294"/>
      <c r="Y961" s="294"/>
      <c r="Z961" s="294"/>
      <c r="AA961" s="294"/>
      <c r="AB961" s="294"/>
    </row>
    <row r="962">
      <c r="A962" s="288"/>
      <c r="B962" s="288"/>
      <c r="C962" s="288"/>
      <c r="D962" s="288"/>
      <c r="E962" s="288"/>
      <c r="F962" s="288"/>
      <c r="G962" s="289"/>
      <c r="H962" s="288"/>
      <c r="I962" s="288"/>
      <c r="J962" s="288"/>
      <c r="K962" s="288"/>
      <c r="L962" s="288"/>
      <c r="M962" s="288"/>
      <c r="N962" s="288"/>
      <c r="O962" s="288"/>
      <c r="P962" s="294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  <c r="AA962" s="294"/>
      <c r="AB962" s="294"/>
    </row>
    <row r="963">
      <c r="A963" s="288"/>
      <c r="B963" s="288"/>
      <c r="C963" s="288"/>
      <c r="D963" s="288"/>
      <c r="E963" s="288"/>
      <c r="F963" s="288"/>
      <c r="G963" s="289"/>
      <c r="H963" s="288"/>
      <c r="I963" s="288"/>
      <c r="J963" s="288"/>
      <c r="K963" s="288"/>
      <c r="L963" s="288"/>
      <c r="M963" s="288"/>
      <c r="N963" s="288"/>
      <c r="O963" s="288"/>
      <c r="P963" s="294"/>
      <c r="Q963" s="294"/>
      <c r="R963" s="294"/>
      <c r="S963" s="294"/>
      <c r="T963" s="294"/>
      <c r="U963" s="294"/>
      <c r="V963" s="294"/>
      <c r="W963" s="294"/>
      <c r="X963" s="294"/>
      <c r="Y963" s="294"/>
      <c r="Z963" s="294"/>
      <c r="AA963" s="294"/>
      <c r="AB963" s="294"/>
    </row>
    <row r="964">
      <c r="A964" s="288"/>
      <c r="B964" s="288"/>
      <c r="C964" s="288"/>
      <c r="D964" s="288"/>
      <c r="E964" s="288"/>
      <c r="F964" s="288"/>
      <c r="G964" s="289"/>
      <c r="H964" s="288"/>
      <c r="I964" s="288"/>
      <c r="J964" s="288"/>
      <c r="K964" s="288"/>
      <c r="L964" s="288"/>
      <c r="M964" s="288"/>
      <c r="N964" s="288"/>
      <c r="O964" s="288"/>
      <c r="P964" s="294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  <c r="AA964" s="294"/>
      <c r="AB964" s="294"/>
    </row>
    <row r="965">
      <c r="A965" s="288"/>
      <c r="B965" s="288"/>
      <c r="C965" s="288"/>
      <c r="D965" s="288"/>
      <c r="E965" s="288"/>
      <c r="F965" s="288"/>
      <c r="G965" s="289"/>
      <c r="H965" s="288"/>
      <c r="I965" s="288"/>
      <c r="J965" s="288"/>
      <c r="K965" s="288"/>
      <c r="L965" s="288"/>
      <c r="M965" s="288"/>
      <c r="N965" s="288"/>
      <c r="O965" s="288"/>
      <c r="P965" s="294"/>
      <c r="Q965" s="294"/>
      <c r="R965" s="294"/>
      <c r="S965" s="294"/>
      <c r="T965" s="294"/>
      <c r="U965" s="294"/>
      <c r="V965" s="294"/>
      <c r="W965" s="294"/>
      <c r="X965" s="294"/>
      <c r="Y965" s="294"/>
      <c r="Z965" s="294"/>
      <c r="AA965" s="294"/>
      <c r="AB965" s="294"/>
    </row>
    <row r="966">
      <c r="A966" s="288"/>
      <c r="B966" s="288"/>
      <c r="C966" s="288"/>
      <c r="D966" s="288"/>
      <c r="E966" s="288"/>
      <c r="F966" s="288"/>
      <c r="G966" s="289"/>
      <c r="H966" s="288"/>
      <c r="I966" s="288"/>
      <c r="J966" s="288"/>
      <c r="K966" s="288"/>
      <c r="L966" s="288"/>
      <c r="M966" s="288"/>
      <c r="N966" s="288"/>
      <c r="O966" s="288"/>
      <c r="P966" s="294"/>
      <c r="Q966" s="294"/>
      <c r="R966" s="294"/>
      <c r="S966" s="294"/>
      <c r="T966" s="294"/>
      <c r="U966" s="294"/>
      <c r="V966" s="294"/>
      <c r="W966" s="294"/>
      <c r="X966" s="294"/>
      <c r="Y966" s="294"/>
      <c r="Z966" s="294"/>
      <c r="AA966" s="294"/>
      <c r="AB966" s="294"/>
    </row>
    <row r="967">
      <c r="A967" s="288"/>
      <c r="B967" s="288"/>
      <c r="C967" s="288"/>
      <c r="D967" s="288"/>
      <c r="E967" s="288"/>
      <c r="F967" s="288"/>
      <c r="G967" s="289"/>
      <c r="H967" s="288"/>
      <c r="I967" s="288"/>
      <c r="J967" s="288"/>
      <c r="K967" s="288"/>
      <c r="L967" s="288"/>
      <c r="M967" s="288"/>
      <c r="N967" s="288"/>
      <c r="O967" s="288"/>
      <c r="P967" s="294"/>
      <c r="Q967" s="294"/>
      <c r="R967" s="294"/>
      <c r="S967" s="294"/>
      <c r="T967" s="294"/>
      <c r="U967" s="294"/>
      <c r="V967" s="294"/>
      <c r="W967" s="294"/>
      <c r="X967" s="294"/>
      <c r="Y967" s="294"/>
      <c r="Z967" s="294"/>
      <c r="AA967" s="294"/>
      <c r="AB967" s="294"/>
    </row>
    <row r="968">
      <c r="A968" s="288"/>
      <c r="B968" s="288"/>
      <c r="C968" s="288"/>
      <c r="D968" s="288"/>
      <c r="E968" s="288"/>
      <c r="F968" s="288"/>
      <c r="G968" s="289"/>
      <c r="H968" s="288"/>
      <c r="I968" s="288"/>
      <c r="J968" s="288"/>
      <c r="K968" s="288"/>
      <c r="L968" s="288"/>
      <c r="M968" s="288"/>
      <c r="N968" s="288"/>
      <c r="O968" s="288"/>
      <c r="P968" s="294"/>
      <c r="Q968" s="294"/>
      <c r="R968" s="294"/>
      <c r="S968" s="294"/>
      <c r="T968" s="294"/>
      <c r="U968" s="294"/>
      <c r="V968" s="294"/>
      <c r="W968" s="294"/>
      <c r="X968" s="294"/>
      <c r="Y968" s="294"/>
      <c r="Z968" s="294"/>
      <c r="AA968" s="294"/>
      <c r="AB968" s="294"/>
    </row>
    <row r="969">
      <c r="A969" s="288"/>
      <c r="B969" s="288"/>
      <c r="C969" s="288"/>
      <c r="D969" s="288"/>
      <c r="E969" s="288"/>
      <c r="F969" s="288"/>
      <c r="G969" s="289"/>
      <c r="H969" s="288"/>
      <c r="I969" s="288"/>
      <c r="J969" s="288"/>
      <c r="K969" s="288"/>
      <c r="L969" s="288"/>
      <c r="M969" s="288"/>
      <c r="N969" s="288"/>
      <c r="O969" s="288"/>
      <c r="P969" s="294"/>
      <c r="Q969" s="294"/>
      <c r="R969" s="294"/>
      <c r="S969" s="294"/>
      <c r="T969" s="294"/>
      <c r="U969" s="294"/>
      <c r="V969" s="294"/>
      <c r="W969" s="294"/>
      <c r="X969" s="294"/>
      <c r="Y969" s="294"/>
      <c r="Z969" s="294"/>
      <c r="AA969" s="294"/>
      <c r="AB969" s="294"/>
    </row>
    <row r="970">
      <c r="A970" s="288"/>
      <c r="B970" s="288"/>
      <c r="C970" s="288"/>
      <c r="D970" s="288"/>
      <c r="E970" s="288"/>
      <c r="F970" s="288"/>
      <c r="G970" s="289"/>
      <c r="H970" s="288"/>
      <c r="I970" s="288"/>
      <c r="J970" s="288"/>
      <c r="K970" s="288"/>
      <c r="L970" s="288"/>
      <c r="M970" s="288"/>
      <c r="N970" s="288"/>
      <c r="O970" s="288"/>
      <c r="P970" s="294"/>
      <c r="Q970" s="294"/>
      <c r="R970" s="294"/>
      <c r="S970" s="294"/>
      <c r="T970" s="294"/>
      <c r="U970" s="294"/>
      <c r="V970" s="294"/>
      <c r="W970" s="294"/>
      <c r="X970" s="294"/>
      <c r="Y970" s="294"/>
      <c r="Z970" s="294"/>
      <c r="AA970" s="294"/>
      <c r="AB970" s="294"/>
    </row>
    <row r="971">
      <c r="A971" s="288"/>
      <c r="B971" s="288"/>
      <c r="C971" s="288"/>
      <c r="D971" s="288"/>
      <c r="E971" s="288"/>
      <c r="F971" s="288"/>
      <c r="G971" s="289"/>
      <c r="H971" s="288"/>
      <c r="I971" s="288"/>
      <c r="J971" s="288"/>
      <c r="K971" s="288"/>
      <c r="L971" s="288"/>
      <c r="M971" s="288"/>
      <c r="N971" s="288"/>
      <c r="O971" s="288"/>
      <c r="P971" s="294"/>
      <c r="Q971" s="294"/>
      <c r="R971" s="294"/>
      <c r="S971" s="294"/>
      <c r="T971" s="294"/>
      <c r="U971" s="294"/>
      <c r="V971" s="294"/>
      <c r="W971" s="294"/>
      <c r="X971" s="294"/>
      <c r="Y971" s="294"/>
      <c r="Z971" s="294"/>
      <c r="AA971" s="294"/>
      <c r="AB971" s="294"/>
    </row>
    <row r="972">
      <c r="A972" s="288"/>
      <c r="B972" s="288"/>
      <c r="C972" s="288"/>
      <c r="D972" s="288"/>
      <c r="E972" s="288"/>
      <c r="F972" s="288"/>
      <c r="G972" s="289"/>
      <c r="H972" s="288"/>
      <c r="I972" s="288"/>
      <c r="J972" s="288"/>
      <c r="K972" s="288"/>
      <c r="L972" s="288"/>
      <c r="M972" s="288"/>
      <c r="N972" s="288"/>
      <c r="O972" s="288"/>
      <c r="P972" s="294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  <c r="AA972" s="294"/>
      <c r="AB972" s="294"/>
    </row>
    <row r="973">
      <c r="A973" s="288"/>
      <c r="B973" s="288"/>
      <c r="C973" s="288"/>
      <c r="D973" s="288"/>
      <c r="E973" s="288"/>
      <c r="F973" s="288"/>
      <c r="G973" s="289"/>
      <c r="H973" s="288"/>
      <c r="I973" s="288"/>
      <c r="J973" s="288"/>
      <c r="K973" s="288"/>
      <c r="L973" s="288"/>
      <c r="M973" s="288"/>
      <c r="N973" s="288"/>
      <c r="O973" s="288"/>
      <c r="P973" s="294"/>
      <c r="Q973" s="294"/>
      <c r="R973" s="294"/>
      <c r="S973" s="294"/>
      <c r="T973" s="294"/>
      <c r="U973" s="294"/>
      <c r="V973" s="294"/>
      <c r="W973" s="294"/>
      <c r="X973" s="294"/>
      <c r="Y973" s="294"/>
      <c r="Z973" s="294"/>
      <c r="AA973" s="294"/>
      <c r="AB973" s="294"/>
    </row>
    <row r="974">
      <c r="A974" s="288"/>
      <c r="B974" s="288"/>
      <c r="C974" s="288"/>
      <c r="D974" s="288"/>
      <c r="E974" s="288"/>
      <c r="F974" s="288"/>
      <c r="G974" s="289"/>
      <c r="H974" s="288"/>
      <c r="I974" s="288"/>
      <c r="J974" s="288"/>
      <c r="K974" s="288"/>
      <c r="L974" s="288"/>
      <c r="M974" s="288"/>
      <c r="N974" s="288"/>
      <c r="O974" s="288"/>
      <c r="P974" s="294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  <c r="AA974" s="294"/>
      <c r="AB974" s="294"/>
    </row>
    <row r="975">
      <c r="A975" s="288"/>
      <c r="B975" s="288"/>
      <c r="C975" s="288"/>
      <c r="D975" s="288"/>
      <c r="E975" s="288"/>
      <c r="F975" s="288"/>
      <c r="G975" s="289"/>
      <c r="H975" s="288"/>
      <c r="I975" s="288"/>
      <c r="J975" s="288"/>
      <c r="K975" s="288"/>
      <c r="L975" s="288"/>
      <c r="M975" s="288"/>
      <c r="N975" s="288"/>
      <c r="O975" s="288"/>
      <c r="P975" s="294"/>
      <c r="Q975" s="294"/>
      <c r="R975" s="294"/>
      <c r="S975" s="294"/>
      <c r="T975" s="294"/>
      <c r="U975" s="294"/>
      <c r="V975" s="294"/>
      <c r="W975" s="294"/>
      <c r="X975" s="294"/>
      <c r="Y975" s="294"/>
      <c r="Z975" s="294"/>
      <c r="AA975" s="294"/>
      <c r="AB975" s="294"/>
    </row>
    <row r="976">
      <c r="A976" s="288"/>
      <c r="B976" s="288"/>
      <c r="C976" s="288"/>
      <c r="D976" s="288"/>
      <c r="E976" s="288"/>
      <c r="F976" s="288"/>
      <c r="G976" s="289"/>
      <c r="H976" s="288"/>
      <c r="I976" s="288"/>
      <c r="J976" s="288"/>
      <c r="K976" s="288"/>
      <c r="L976" s="288"/>
      <c r="M976" s="288"/>
      <c r="N976" s="288"/>
      <c r="O976" s="288"/>
      <c r="P976" s="294"/>
      <c r="Q976" s="294"/>
      <c r="R976" s="294"/>
      <c r="S976" s="294"/>
      <c r="T976" s="294"/>
      <c r="U976" s="294"/>
      <c r="V976" s="294"/>
      <c r="W976" s="294"/>
      <c r="X976" s="294"/>
      <c r="Y976" s="294"/>
      <c r="Z976" s="294"/>
      <c r="AA976" s="294"/>
      <c r="AB976" s="294"/>
    </row>
    <row r="977">
      <c r="A977" s="288"/>
      <c r="B977" s="288"/>
      <c r="C977" s="288"/>
      <c r="D977" s="288"/>
      <c r="E977" s="288"/>
      <c r="F977" s="288"/>
      <c r="G977" s="289"/>
      <c r="H977" s="288"/>
      <c r="I977" s="288"/>
      <c r="J977" s="288"/>
      <c r="K977" s="288"/>
      <c r="L977" s="288"/>
      <c r="M977" s="288"/>
      <c r="N977" s="288"/>
      <c r="O977" s="288"/>
      <c r="P977" s="294"/>
      <c r="Q977" s="294"/>
      <c r="R977" s="294"/>
      <c r="S977" s="294"/>
      <c r="T977" s="294"/>
      <c r="U977" s="294"/>
      <c r="V977" s="294"/>
      <c r="W977" s="294"/>
      <c r="X977" s="294"/>
      <c r="Y977" s="294"/>
      <c r="Z977" s="294"/>
      <c r="AA977" s="294"/>
      <c r="AB977" s="294"/>
    </row>
    <row r="978">
      <c r="A978" s="288"/>
      <c r="B978" s="288"/>
      <c r="C978" s="288"/>
      <c r="D978" s="288"/>
      <c r="E978" s="288"/>
      <c r="F978" s="288"/>
      <c r="G978" s="289"/>
      <c r="H978" s="288"/>
      <c r="I978" s="288"/>
      <c r="J978" s="288"/>
      <c r="K978" s="288"/>
      <c r="L978" s="288"/>
      <c r="M978" s="288"/>
      <c r="N978" s="288"/>
      <c r="O978" s="288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  <c r="AA978" s="294"/>
      <c r="AB978" s="294"/>
    </row>
    <row r="979">
      <c r="A979" s="288"/>
      <c r="B979" s="288"/>
      <c r="C979" s="288"/>
      <c r="D979" s="288"/>
      <c r="E979" s="288"/>
      <c r="F979" s="288"/>
      <c r="G979" s="289"/>
      <c r="H979" s="288"/>
      <c r="I979" s="288"/>
      <c r="J979" s="288"/>
      <c r="K979" s="288"/>
      <c r="L979" s="288"/>
      <c r="M979" s="288"/>
      <c r="N979" s="288"/>
      <c r="O979" s="288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  <c r="AA979" s="294"/>
      <c r="AB979" s="294"/>
    </row>
    <row r="980">
      <c r="A980" s="288"/>
      <c r="B980" s="288"/>
      <c r="C980" s="288"/>
      <c r="D980" s="288"/>
      <c r="E980" s="288"/>
      <c r="F980" s="288"/>
      <c r="G980" s="289"/>
      <c r="H980" s="288"/>
      <c r="I980" s="288"/>
      <c r="J980" s="288"/>
      <c r="K980" s="288"/>
      <c r="L980" s="288"/>
      <c r="M980" s="288"/>
      <c r="N980" s="288"/>
      <c r="O980" s="288"/>
      <c r="P980" s="294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  <c r="AA980" s="294"/>
      <c r="AB980" s="294"/>
    </row>
    <row r="981">
      <c r="A981" s="288"/>
      <c r="B981" s="288"/>
      <c r="C981" s="288"/>
      <c r="D981" s="288"/>
      <c r="E981" s="288"/>
      <c r="F981" s="288"/>
      <c r="G981" s="289"/>
      <c r="H981" s="288"/>
      <c r="I981" s="288"/>
      <c r="J981" s="288"/>
      <c r="K981" s="288"/>
      <c r="L981" s="288"/>
      <c r="M981" s="288"/>
      <c r="N981" s="288"/>
      <c r="O981" s="288"/>
      <c r="P981" s="294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  <c r="AA981" s="294"/>
      <c r="AB981" s="294"/>
    </row>
    <row r="982">
      <c r="A982" s="288"/>
      <c r="B982" s="288"/>
      <c r="C982" s="288"/>
      <c r="D982" s="288"/>
      <c r="E982" s="288"/>
      <c r="F982" s="288"/>
      <c r="G982" s="289"/>
      <c r="H982" s="288"/>
      <c r="I982" s="288"/>
      <c r="J982" s="288"/>
      <c r="K982" s="288"/>
      <c r="L982" s="288"/>
      <c r="M982" s="288"/>
      <c r="N982" s="288"/>
      <c r="O982" s="288"/>
      <c r="P982" s="294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  <c r="AA982" s="294"/>
      <c r="AB982" s="294"/>
    </row>
    <row r="983">
      <c r="A983" s="288"/>
      <c r="B983" s="288"/>
      <c r="C983" s="288"/>
      <c r="D983" s="288"/>
      <c r="E983" s="288"/>
      <c r="F983" s="288"/>
      <c r="G983" s="289"/>
      <c r="H983" s="288"/>
      <c r="I983" s="288"/>
      <c r="J983" s="288"/>
      <c r="K983" s="288"/>
      <c r="L983" s="288"/>
      <c r="M983" s="288"/>
      <c r="N983" s="288"/>
      <c r="O983" s="288"/>
      <c r="P983" s="294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  <c r="AA983" s="294"/>
      <c r="AB983" s="294"/>
    </row>
    <row r="984">
      <c r="A984" s="288"/>
      <c r="B984" s="288"/>
      <c r="C984" s="288"/>
      <c r="D984" s="288"/>
      <c r="E984" s="288"/>
      <c r="F984" s="288"/>
      <c r="G984" s="289"/>
      <c r="H984" s="288"/>
      <c r="I984" s="288"/>
      <c r="J984" s="288"/>
      <c r="K984" s="288"/>
      <c r="L984" s="288"/>
      <c r="M984" s="288"/>
      <c r="N984" s="288"/>
      <c r="O984" s="288"/>
      <c r="P984" s="294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  <c r="AA984" s="294"/>
      <c r="AB984" s="294"/>
    </row>
    <row r="985">
      <c r="A985" s="288"/>
      <c r="B985" s="288"/>
      <c r="C985" s="288"/>
      <c r="D985" s="288"/>
      <c r="E985" s="288"/>
      <c r="F985" s="288"/>
      <c r="G985" s="289"/>
      <c r="H985" s="288"/>
      <c r="I985" s="288"/>
      <c r="J985" s="288"/>
      <c r="K985" s="288"/>
      <c r="L985" s="288"/>
      <c r="M985" s="288"/>
      <c r="N985" s="288"/>
      <c r="O985" s="288"/>
      <c r="P985" s="294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  <c r="AA985" s="294"/>
      <c r="AB985" s="294"/>
    </row>
    <row r="986">
      <c r="A986" s="288"/>
      <c r="B986" s="288"/>
      <c r="C986" s="288"/>
      <c r="D986" s="288"/>
      <c r="E986" s="288"/>
      <c r="F986" s="288"/>
      <c r="G986" s="289"/>
      <c r="H986" s="288"/>
      <c r="I986" s="288"/>
      <c r="J986" s="288"/>
      <c r="K986" s="288"/>
      <c r="L986" s="288"/>
      <c r="M986" s="288"/>
      <c r="N986" s="288"/>
      <c r="O986" s="288"/>
      <c r="P986" s="294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  <c r="AA986" s="294"/>
      <c r="AB986" s="294"/>
    </row>
    <row r="987">
      <c r="A987" s="288"/>
      <c r="B987" s="288"/>
      <c r="C987" s="288"/>
      <c r="D987" s="288"/>
      <c r="E987" s="288"/>
      <c r="F987" s="288"/>
      <c r="G987" s="289"/>
      <c r="H987" s="288"/>
      <c r="I987" s="288"/>
      <c r="J987" s="288"/>
      <c r="K987" s="288"/>
      <c r="L987" s="288"/>
      <c r="M987" s="288"/>
      <c r="N987" s="288"/>
      <c r="O987" s="288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  <c r="AA987" s="294"/>
      <c r="AB987" s="294"/>
    </row>
    <row r="988">
      <c r="A988" s="288"/>
      <c r="B988" s="288"/>
      <c r="C988" s="288"/>
      <c r="D988" s="288"/>
      <c r="E988" s="288"/>
      <c r="F988" s="288"/>
      <c r="G988" s="289"/>
      <c r="H988" s="288"/>
      <c r="I988" s="288"/>
      <c r="J988" s="288"/>
      <c r="K988" s="288"/>
      <c r="L988" s="288"/>
      <c r="M988" s="288"/>
      <c r="N988" s="288"/>
      <c r="O988" s="288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  <c r="AA988" s="294"/>
      <c r="AB988" s="294"/>
    </row>
    <row r="989">
      <c r="A989" s="288"/>
      <c r="B989" s="288"/>
      <c r="C989" s="288"/>
      <c r="D989" s="288"/>
      <c r="E989" s="288"/>
      <c r="F989" s="288"/>
      <c r="G989" s="289"/>
      <c r="H989" s="288"/>
      <c r="I989" s="288"/>
      <c r="J989" s="288"/>
      <c r="K989" s="288"/>
      <c r="L989" s="288"/>
      <c r="M989" s="288"/>
      <c r="N989" s="288"/>
      <c r="O989" s="288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  <c r="AA989" s="294"/>
      <c r="AB989" s="294"/>
    </row>
    <row r="990">
      <c r="A990" s="288"/>
      <c r="B990" s="288"/>
      <c r="C990" s="288"/>
      <c r="D990" s="288"/>
      <c r="E990" s="288"/>
      <c r="F990" s="288"/>
      <c r="G990" s="289"/>
      <c r="H990" s="288"/>
      <c r="I990" s="288"/>
      <c r="J990" s="288"/>
      <c r="K990" s="288"/>
      <c r="L990" s="288"/>
      <c r="M990" s="288"/>
      <c r="N990" s="288"/>
      <c r="O990" s="288"/>
      <c r="P990" s="294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  <c r="AA990" s="294"/>
      <c r="AB990" s="294"/>
    </row>
    <row r="991">
      <c r="A991" s="288"/>
      <c r="B991" s="288"/>
      <c r="C991" s="288"/>
      <c r="D991" s="288"/>
      <c r="E991" s="288"/>
      <c r="F991" s="288"/>
      <c r="G991" s="289"/>
      <c r="H991" s="288"/>
      <c r="I991" s="288"/>
      <c r="J991" s="288"/>
      <c r="K991" s="288"/>
      <c r="L991" s="288"/>
      <c r="M991" s="288"/>
      <c r="N991" s="288"/>
      <c r="O991" s="288"/>
      <c r="P991" s="294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  <c r="AA991" s="294"/>
      <c r="AB991" s="294"/>
    </row>
    <row r="992">
      <c r="A992" s="288"/>
      <c r="B992" s="288"/>
      <c r="C992" s="288"/>
      <c r="D992" s="288"/>
      <c r="E992" s="288"/>
      <c r="F992" s="288"/>
      <c r="G992" s="289"/>
      <c r="H992" s="288"/>
      <c r="I992" s="288"/>
      <c r="J992" s="288"/>
      <c r="K992" s="288"/>
      <c r="L992" s="288"/>
      <c r="M992" s="288"/>
      <c r="N992" s="288"/>
      <c r="O992" s="288"/>
      <c r="P992" s="294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  <c r="AA992" s="294"/>
      <c r="AB992" s="294"/>
    </row>
    <row r="993">
      <c r="A993" s="288"/>
      <c r="B993" s="288"/>
      <c r="C993" s="288"/>
      <c r="D993" s="288"/>
      <c r="E993" s="288"/>
      <c r="F993" s="288"/>
      <c r="G993" s="289"/>
      <c r="H993" s="288"/>
      <c r="I993" s="288"/>
      <c r="J993" s="288"/>
      <c r="K993" s="288"/>
      <c r="L993" s="288"/>
      <c r="M993" s="288"/>
      <c r="N993" s="288"/>
      <c r="O993" s="288"/>
      <c r="P993" s="294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  <c r="AA993" s="294"/>
      <c r="AB993" s="294"/>
    </row>
    <row r="994">
      <c r="A994" s="288"/>
      <c r="B994" s="288"/>
      <c r="C994" s="288"/>
      <c r="D994" s="288"/>
      <c r="E994" s="288"/>
      <c r="F994" s="288"/>
      <c r="G994" s="289"/>
      <c r="H994" s="288"/>
      <c r="I994" s="288"/>
      <c r="J994" s="288"/>
      <c r="K994" s="288"/>
      <c r="L994" s="288"/>
      <c r="M994" s="288"/>
      <c r="N994" s="288"/>
      <c r="O994" s="288"/>
      <c r="P994" s="294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  <c r="AA994" s="294"/>
      <c r="AB994" s="294"/>
    </row>
    <row r="995">
      <c r="A995" s="288"/>
      <c r="B995" s="288"/>
      <c r="C995" s="288"/>
      <c r="D995" s="288"/>
      <c r="E995" s="288"/>
      <c r="F995" s="288"/>
      <c r="G995" s="289"/>
      <c r="H995" s="288"/>
      <c r="I995" s="288"/>
      <c r="J995" s="288"/>
      <c r="K995" s="288"/>
      <c r="L995" s="288"/>
      <c r="M995" s="288"/>
      <c r="N995" s="288"/>
      <c r="O995" s="288"/>
      <c r="P995" s="294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  <c r="AA995" s="294"/>
      <c r="AB995" s="294"/>
    </row>
    <row r="996">
      <c r="A996" s="288"/>
      <c r="B996" s="288"/>
      <c r="C996" s="288"/>
      <c r="D996" s="288"/>
      <c r="E996" s="288"/>
      <c r="F996" s="288"/>
      <c r="G996" s="289"/>
      <c r="H996" s="288"/>
      <c r="I996" s="288"/>
      <c r="J996" s="288"/>
      <c r="K996" s="288"/>
      <c r="L996" s="288"/>
      <c r="M996" s="288"/>
      <c r="N996" s="288"/>
      <c r="O996" s="288"/>
      <c r="P996" s="294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  <c r="AA996" s="294"/>
      <c r="AB996" s="294"/>
    </row>
    <row r="997">
      <c r="A997" s="288"/>
      <c r="B997" s="288"/>
      <c r="C997" s="288"/>
      <c r="D997" s="288"/>
      <c r="E997" s="288"/>
      <c r="F997" s="288"/>
      <c r="G997" s="289"/>
      <c r="H997" s="288"/>
      <c r="I997" s="288"/>
      <c r="J997" s="288"/>
      <c r="K997" s="288"/>
      <c r="L997" s="288"/>
      <c r="M997" s="288"/>
      <c r="N997" s="288"/>
      <c r="O997" s="288"/>
      <c r="P997" s="294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  <c r="AA997" s="294"/>
      <c r="AB997" s="294"/>
    </row>
    <row r="998">
      <c r="A998" s="288"/>
      <c r="B998" s="288"/>
      <c r="C998" s="288"/>
      <c r="D998" s="288"/>
      <c r="E998" s="288"/>
      <c r="F998" s="288"/>
      <c r="G998" s="289"/>
      <c r="H998" s="288"/>
      <c r="I998" s="288"/>
      <c r="J998" s="288"/>
      <c r="K998" s="288"/>
      <c r="L998" s="288"/>
      <c r="M998" s="288"/>
      <c r="N998" s="288"/>
      <c r="O998" s="288"/>
      <c r="P998" s="294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  <c r="AA998" s="294"/>
      <c r="AB998" s="294"/>
    </row>
    <row r="999">
      <c r="A999" s="288"/>
      <c r="B999" s="288"/>
      <c r="C999" s="288"/>
      <c r="D999" s="288"/>
      <c r="E999" s="288"/>
      <c r="F999" s="288"/>
      <c r="G999" s="289"/>
      <c r="H999" s="288"/>
      <c r="I999" s="288"/>
      <c r="J999" s="288"/>
      <c r="K999" s="288"/>
      <c r="L999" s="288"/>
      <c r="M999" s="288"/>
      <c r="N999" s="288"/>
      <c r="O999" s="288"/>
      <c r="P999" s="294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  <c r="AA999" s="294"/>
      <c r="AB999" s="294"/>
    </row>
    <row r="1000">
      <c r="A1000" s="288"/>
      <c r="B1000" s="288"/>
      <c r="C1000" s="288"/>
      <c r="D1000" s="288"/>
      <c r="E1000" s="288"/>
      <c r="F1000" s="288"/>
      <c r="G1000" s="289"/>
      <c r="H1000" s="288"/>
      <c r="I1000" s="288"/>
      <c r="J1000" s="288"/>
      <c r="K1000" s="288"/>
      <c r="L1000" s="288"/>
      <c r="M1000" s="288"/>
      <c r="N1000" s="288"/>
      <c r="O1000" s="288"/>
      <c r="P1000" s="294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  <c r="AA1000" s="294"/>
      <c r="AB1000" s="294"/>
    </row>
    <row r="1001">
      <c r="A1001" s="288"/>
      <c r="B1001" s="288"/>
      <c r="C1001" s="288"/>
      <c r="D1001" s="288"/>
      <c r="E1001" s="288"/>
      <c r="F1001" s="288"/>
      <c r="G1001" s="289"/>
      <c r="H1001" s="288"/>
      <c r="I1001" s="288"/>
      <c r="J1001" s="288"/>
      <c r="K1001" s="288"/>
      <c r="L1001" s="288"/>
      <c r="M1001" s="288"/>
      <c r="N1001" s="288"/>
      <c r="O1001" s="288"/>
      <c r="P1001" s="294"/>
      <c r="Q1001" s="294"/>
      <c r="R1001" s="294"/>
      <c r="S1001" s="294"/>
      <c r="T1001" s="294"/>
      <c r="U1001" s="294"/>
      <c r="V1001" s="294"/>
      <c r="W1001" s="294"/>
      <c r="X1001" s="294"/>
      <c r="Y1001" s="294"/>
      <c r="Z1001" s="294"/>
      <c r="AA1001" s="294"/>
      <c r="AB1001" s="294"/>
    </row>
    <row r="1002">
      <c r="A1002" s="288"/>
      <c r="B1002" s="288"/>
      <c r="C1002" s="288"/>
      <c r="D1002" s="288"/>
      <c r="E1002" s="288"/>
      <c r="F1002" s="288"/>
      <c r="G1002" s="289"/>
      <c r="H1002" s="288"/>
      <c r="I1002" s="288"/>
      <c r="J1002" s="288"/>
      <c r="K1002" s="288"/>
      <c r="L1002" s="288"/>
      <c r="M1002" s="288"/>
      <c r="N1002" s="288"/>
      <c r="O1002" s="288"/>
      <c r="P1002" s="294"/>
      <c r="Q1002" s="294"/>
      <c r="R1002" s="294"/>
      <c r="S1002" s="294"/>
      <c r="T1002" s="294"/>
      <c r="U1002" s="294"/>
      <c r="V1002" s="294"/>
      <c r="W1002" s="294"/>
      <c r="X1002" s="294"/>
      <c r="Y1002" s="294"/>
      <c r="Z1002" s="294"/>
      <c r="AA1002" s="294"/>
      <c r="AB1002" s="294"/>
    </row>
    <row r="1003">
      <c r="A1003" s="288"/>
      <c r="B1003" s="288"/>
      <c r="C1003" s="288"/>
      <c r="D1003" s="288"/>
      <c r="E1003" s="288"/>
      <c r="F1003" s="288"/>
      <c r="G1003" s="289"/>
      <c r="H1003" s="288"/>
      <c r="I1003" s="288"/>
      <c r="J1003" s="288"/>
      <c r="K1003" s="288"/>
      <c r="L1003" s="288"/>
      <c r="M1003" s="288"/>
      <c r="N1003" s="288"/>
      <c r="O1003" s="288"/>
      <c r="P1003" s="294"/>
      <c r="Q1003" s="294"/>
      <c r="R1003" s="294"/>
      <c r="S1003" s="294"/>
      <c r="T1003" s="294"/>
      <c r="U1003" s="294"/>
      <c r="V1003" s="294"/>
      <c r="W1003" s="294"/>
      <c r="X1003" s="294"/>
      <c r="Y1003" s="294"/>
      <c r="Z1003" s="294"/>
      <c r="AA1003" s="294"/>
      <c r="AB1003" s="294"/>
    </row>
    <row r="1004">
      <c r="A1004" s="288"/>
      <c r="B1004" s="288"/>
      <c r="C1004" s="288"/>
      <c r="D1004" s="288"/>
      <c r="E1004" s="288"/>
      <c r="F1004" s="288"/>
      <c r="G1004" s="289"/>
      <c r="H1004" s="288"/>
      <c r="I1004" s="288"/>
      <c r="J1004" s="288"/>
      <c r="K1004" s="288"/>
      <c r="L1004" s="288"/>
      <c r="M1004" s="288"/>
      <c r="N1004" s="288"/>
      <c r="O1004" s="288"/>
      <c r="P1004" s="294"/>
      <c r="Q1004" s="294"/>
      <c r="R1004" s="294"/>
      <c r="S1004" s="294"/>
      <c r="T1004" s="294"/>
      <c r="U1004" s="294"/>
      <c r="V1004" s="294"/>
      <c r="W1004" s="294"/>
      <c r="X1004" s="294"/>
      <c r="Y1004" s="294"/>
      <c r="Z1004" s="294"/>
      <c r="AA1004" s="294"/>
      <c r="AB1004" s="294"/>
    </row>
    <row r="1005">
      <c r="A1005" s="288"/>
      <c r="B1005" s="288"/>
      <c r="C1005" s="288"/>
      <c r="D1005" s="288"/>
      <c r="E1005" s="288"/>
      <c r="F1005" s="288"/>
      <c r="G1005" s="289"/>
      <c r="H1005" s="288"/>
      <c r="I1005" s="288"/>
      <c r="J1005" s="288"/>
      <c r="K1005" s="288"/>
      <c r="L1005" s="288"/>
      <c r="M1005" s="288"/>
      <c r="N1005" s="288"/>
      <c r="O1005" s="288"/>
      <c r="P1005" s="294"/>
      <c r="Q1005" s="294"/>
      <c r="R1005" s="294"/>
      <c r="S1005" s="294"/>
      <c r="T1005" s="294"/>
      <c r="U1005" s="294"/>
      <c r="V1005" s="294"/>
      <c r="W1005" s="294"/>
      <c r="X1005" s="294"/>
      <c r="Y1005" s="294"/>
      <c r="Z1005" s="294"/>
      <c r="AA1005" s="294"/>
      <c r="AB1005" s="294"/>
    </row>
    <row r="1006">
      <c r="A1006" s="288"/>
      <c r="B1006" s="288"/>
      <c r="C1006" s="288"/>
      <c r="D1006" s="288"/>
      <c r="E1006" s="288"/>
      <c r="F1006" s="288"/>
      <c r="G1006" s="289"/>
      <c r="H1006" s="288"/>
      <c r="I1006" s="288"/>
      <c r="J1006" s="288"/>
      <c r="K1006" s="288"/>
      <c r="L1006" s="288"/>
      <c r="M1006" s="288"/>
      <c r="N1006" s="288"/>
      <c r="O1006" s="288"/>
      <c r="P1006" s="294"/>
      <c r="Q1006" s="294"/>
      <c r="R1006" s="294"/>
      <c r="S1006" s="294"/>
      <c r="T1006" s="294"/>
      <c r="U1006" s="294"/>
      <c r="V1006" s="294"/>
      <c r="W1006" s="294"/>
      <c r="X1006" s="294"/>
      <c r="Y1006" s="294"/>
      <c r="Z1006" s="294"/>
      <c r="AA1006" s="294"/>
      <c r="AB1006" s="294"/>
    </row>
    <row r="1007">
      <c r="A1007" s="288"/>
      <c r="B1007" s="288"/>
      <c r="C1007" s="288"/>
      <c r="D1007" s="288"/>
      <c r="E1007" s="288"/>
      <c r="F1007" s="288"/>
      <c r="G1007" s="289"/>
      <c r="H1007" s="288"/>
      <c r="I1007" s="288"/>
      <c r="J1007" s="288"/>
      <c r="K1007" s="288"/>
      <c r="L1007" s="288"/>
      <c r="M1007" s="288"/>
      <c r="N1007" s="288"/>
      <c r="O1007" s="288"/>
      <c r="P1007" s="294"/>
      <c r="Q1007" s="294"/>
      <c r="R1007" s="294"/>
      <c r="S1007" s="294"/>
      <c r="T1007" s="294"/>
      <c r="U1007" s="294"/>
      <c r="V1007" s="294"/>
      <c r="W1007" s="294"/>
      <c r="X1007" s="294"/>
      <c r="Y1007" s="294"/>
      <c r="Z1007" s="294"/>
      <c r="AA1007" s="294"/>
      <c r="AB1007" s="294"/>
    </row>
    <row r="1008">
      <c r="A1008" s="288"/>
      <c r="B1008" s="288"/>
      <c r="C1008" s="288"/>
      <c r="D1008" s="288"/>
      <c r="E1008" s="288"/>
      <c r="F1008" s="288"/>
      <c r="G1008" s="289"/>
      <c r="H1008" s="288"/>
      <c r="I1008" s="288"/>
      <c r="J1008" s="288"/>
      <c r="K1008" s="288"/>
      <c r="L1008" s="288"/>
      <c r="M1008" s="288"/>
      <c r="N1008" s="288"/>
      <c r="O1008" s="288"/>
      <c r="P1008" s="294"/>
      <c r="Q1008" s="294"/>
      <c r="R1008" s="294"/>
      <c r="S1008" s="294"/>
      <c r="T1008" s="294"/>
      <c r="U1008" s="294"/>
      <c r="V1008" s="294"/>
      <c r="W1008" s="294"/>
      <c r="X1008" s="294"/>
      <c r="Y1008" s="294"/>
      <c r="Z1008" s="294"/>
      <c r="AA1008" s="294"/>
      <c r="AB1008" s="294"/>
    </row>
    <row r="1009">
      <c r="A1009" s="288"/>
      <c r="B1009" s="288"/>
      <c r="C1009" s="288"/>
      <c r="D1009" s="288"/>
      <c r="E1009" s="288"/>
      <c r="F1009" s="288"/>
      <c r="G1009" s="289"/>
      <c r="H1009" s="288"/>
      <c r="I1009" s="288"/>
      <c r="J1009" s="288"/>
      <c r="K1009" s="288"/>
      <c r="L1009" s="288"/>
      <c r="M1009" s="288"/>
      <c r="N1009" s="288"/>
      <c r="O1009" s="288"/>
      <c r="P1009" s="294"/>
      <c r="Q1009" s="294"/>
      <c r="R1009" s="294"/>
      <c r="S1009" s="294"/>
      <c r="T1009" s="294"/>
      <c r="U1009" s="294"/>
      <c r="V1009" s="294"/>
      <c r="W1009" s="294"/>
      <c r="X1009" s="294"/>
      <c r="Y1009" s="294"/>
      <c r="Z1009" s="294"/>
      <c r="AA1009" s="294"/>
      <c r="AB1009" s="294"/>
    </row>
    <row r="1010">
      <c r="A1010" s="288"/>
      <c r="B1010" s="288"/>
      <c r="C1010" s="288"/>
      <c r="D1010" s="288"/>
      <c r="E1010" s="288"/>
      <c r="F1010" s="288"/>
      <c r="G1010" s="289"/>
      <c r="H1010" s="288"/>
      <c r="I1010" s="288"/>
      <c r="J1010" s="288"/>
      <c r="K1010" s="288"/>
      <c r="L1010" s="288"/>
      <c r="M1010" s="288"/>
      <c r="N1010" s="288"/>
      <c r="O1010" s="288"/>
      <c r="P1010" s="294"/>
      <c r="Q1010" s="294"/>
      <c r="R1010" s="294"/>
      <c r="S1010" s="294"/>
      <c r="T1010" s="294"/>
      <c r="U1010" s="294"/>
      <c r="V1010" s="294"/>
      <c r="W1010" s="294"/>
      <c r="X1010" s="294"/>
      <c r="Y1010" s="294"/>
      <c r="Z1010" s="294"/>
      <c r="AA1010" s="294"/>
      <c r="AB1010" s="294"/>
    </row>
    <row r="1011">
      <c r="A1011" s="288"/>
      <c r="B1011" s="288"/>
      <c r="C1011" s="288"/>
      <c r="D1011" s="288"/>
      <c r="E1011" s="288"/>
      <c r="F1011" s="288"/>
      <c r="G1011" s="289"/>
      <c r="H1011" s="288"/>
      <c r="I1011" s="288"/>
      <c r="J1011" s="288"/>
      <c r="K1011" s="288"/>
      <c r="L1011" s="288"/>
      <c r="M1011" s="288"/>
      <c r="N1011" s="288"/>
      <c r="O1011" s="288"/>
      <c r="P1011" s="294"/>
      <c r="Q1011" s="294"/>
      <c r="R1011" s="294"/>
      <c r="S1011" s="294"/>
      <c r="T1011" s="294"/>
      <c r="U1011" s="294"/>
      <c r="V1011" s="294"/>
      <c r="W1011" s="294"/>
      <c r="X1011" s="294"/>
      <c r="Y1011" s="294"/>
      <c r="Z1011" s="294"/>
      <c r="AA1011" s="294"/>
      <c r="AB1011" s="294"/>
    </row>
    <row r="1012">
      <c r="A1012" s="288"/>
      <c r="B1012" s="288"/>
      <c r="C1012" s="288"/>
      <c r="D1012" s="288"/>
      <c r="E1012" s="288"/>
      <c r="F1012" s="288"/>
      <c r="G1012" s="289"/>
      <c r="H1012" s="288"/>
      <c r="I1012" s="288"/>
      <c r="J1012" s="288"/>
      <c r="K1012" s="288"/>
      <c r="L1012" s="288"/>
      <c r="M1012" s="288"/>
      <c r="N1012" s="288"/>
      <c r="O1012" s="288"/>
      <c r="P1012" s="294"/>
      <c r="Q1012" s="294"/>
      <c r="R1012" s="294"/>
      <c r="S1012" s="294"/>
      <c r="T1012" s="294"/>
      <c r="U1012" s="294"/>
      <c r="V1012" s="294"/>
      <c r="W1012" s="294"/>
      <c r="X1012" s="294"/>
      <c r="Y1012" s="294"/>
      <c r="Z1012" s="294"/>
      <c r="AA1012" s="294"/>
      <c r="AB1012" s="294"/>
    </row>
    <row r="1013">
      <c r="A1013" s="288"/>
      <c r="B1013" s="288"/>
      <c r="C1013" s="288"/>
      <c r="D1013" s="288"/>
      <c r="E1013" s="288"/>
      <c r="F1013" s="288"/>
      <c r="G1013" s="289"/>
      <c r="H1013" s="288"/>
      <c r="I1013" s="288"/>
      <c r="J1013" s="288"/>
      <c r="K1013" s="288"/>
      <c r="L1013" s="288"/>
      <c r="M1013" s="288"/>
      <c r="N1013" s="288"/>
      <c r="O1013" s="288"/>
      <c r="P1013" s="294"/>
      <c r="Q1013" s="294"/>
      <c r="R1013" s="294"/>
      <c r="S1013" s="294"/>
      <c r="T1013" s="294"/>
      <c r="U1013" s="294"/>
      <c r="V1013" s="294"/>
      <c r="W1013" s="294"/>
      <c r="X1013" s="294"/>
      <c r="Y1013" s="294"/>
      <c r="Z1013" s="294"/>
      <c r="AA1013" s="294"/>
      <c r="AB1013" s="294"/>
    </row>
    <row r="1014">
      <c r="A1014" s="288"/>
      <c r="B1014" s="288"/>
      <c r="C1014" s="288"/>
      <c r="D1014" s="288"/>
      <c r="E1014" s="288"/>
      <c r="F1014" s="288"/>
      <c r="G1014" s="289"/>
      <c r="H1014" s="288"/>
      <c r="I1014" s="288"/>
      <c r="J1014" s="288"/>
      <c r="K1014" s="288"/>
      <c r="L1014" s="288"/>
      <c r="M1014" s="288"/>
      <c r="N1014" s="288"/>
      <c r="O1014" s="288"/>
      <c r="P1014" s="294"/>
      <c r="Q1014" s="294"/>
      <c r="R1014" s="294"/>
      <c r="S1014" s="294"/>
      <c r="T1014" s="294"/>
      <c r="U1014" s="294"/>
      <c r="V1014" s="294"/>
      <c r="W1014" s="294"/>
      <c r="X1014" s="294"/>
      <c r="Y1014" s="294"/>
      <c r="Z1014" s="294"/>
      <c r="AA1014" s="294"/>
      <c r="AB1014" s="294"/>
    </row>
    <row r="1015">
      <c r="A1015" s="288"/>
      <c r="B1015" s="288"/>
      <c r="C1015" s="288"/>
      <c r="D1015" s="288"/>
      <c r="E1015" s="288"/>
      <c r="F1015" s="288"/>
      <c r="G1015" s="289"/>
      <c r="H1015" s="288"/>
      <c r="I1015" s="288"/>
      <c r="J1015" s="288"/>
      <c r="K1015" s="288"/>
      <c r="L1015" s="288"/>
      <c r="M1015" s="288"/>
      <c r="N1015" s="288"/>
      <c r="O1015" s="288"/>
      <c r="P1015" s="294"/>
      <c r="Q1015" s="294"/>
      <c r="R1015" s="294"/>
      <c r="S1015" s="294"/>
      <c r="T1015" s="294"/>
      <c r="U1015" s="294"/>
      <c r="V1015" s="294"/>
      <c r="W1015" s="294"/>
      <c r="X1015" s="294"/>
      <c r="Y1015" s="294"/>
      <c r="Z1015" s="294"/>
      <c r="AA1015" s="294"/>
      <c r="AB1015" s="294"/>
    </row>
  </sheetData>
  <drawing r:id="rId1"/>
</worksheet>
</file>