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50" windowHeight="12120"/>
  </bookViews>
  <sheets>
    <sheet name="Plantilla" sheetId="1" r:id="rId1"/>
    <sheet name="DICCIONARIO DATO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</externalReferences>
  <definedNames>
    <definedName name="_xlnm._FilterDatabase" localSheetId="0" hidden="1">Plantilla!$A$1:$AA$123</definedName>
  </definedNames>
  <calcPr calcId="144525"/>
</workbook>
</file>

<file path=xl/sharedStrings.xml><?xml version="1.0" encoding="utf-8"?>
<sst xmlns="http://schemas.openxmlformats.org/spreadsheetml/2006/main" count="259" uniqueCount="59">
  <si>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</si>
  <si>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</si>
  <si>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</si>
  <si>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</si>
  <si>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</si>
  <si>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</si>
  <si>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</si>
  <si>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</si>
  <si>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</si>
  <si>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</si>
  <si>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</si>
  <si>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</si>
  <si>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</si>
  <si>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</si>
  <si>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</si>
  <si>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</si>
  <si>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</si>
  <si>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</si>
  <si>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</si>
  <si>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</si>
  <si>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</si>
  <si>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</si>
  <si>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</si>
  <si>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</si>
  <si>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AÑO</t>
  </si>
  <si>
    <t>MES</t>
  </si>
  <si>
    <t>Sinistros Liquidados = pagados + mesadas</t>
  </si>
  <si>
    <t>(C / F) -1</t>
  </si>
  <si>
    <t>(D / G) -1</t>
  </si>
  <si>
    <t>(M / N) -1</t>
  </si>
  <si>
    <t>(Q / S) -1</t>
  </si>
  <si>
    <t>(R / T) -1</t>
  </si>
  <si>
    <t>NRO ANHO</t>
  </si>
  <si>
    <t>NRO MES</t>
  </si>
  <si>
    <t>Valor pagado (VLR_PAGO) (Circular 035)</t>
  </si>
  <si>
    <r>
      <rPr>
        <sz val="11"/>
        <color theme="1"/>
        <rFont val="Calibri"/>
        <charset val="134"/>
        <scheme val="minor"/>
      </rPr>
      <t xml:space="preserve">Valor Mesadas (Tomar como fuente lo consignado en el </t>
    </r>
    <r>
      <rPr>
        <b/>
        <sz val="11"/>
        <color theme="1"/>
        <rFont val="Calibri"/>
        <charset val="134"/>
      </rPr>
      <t>formato 394</t>
    </r>
    <r>
      <rPr>
        <sz val="11"/>
        <color theme="1"/>
        <rFont val="Calibri"/>
        <charset val="134"/>
        <scheme val="minor"/>
      </rPr>
      <t>) (tener en cuenta el número de mesadas y las retroactivas)</t>
    </r>
  </si>
  <si>
    <t>Total Liquidado (Suma Valor pagado (VLR_PAGO) (Circular 035) + Valor mesadas (Tomar como fuente lo consignado en el formato 394))</t>
  </si>
  <si>
    <r>
      <rPr>
        <b/>
        <sz val="11"/>
        <color theme="1"/>
        <rFont val="Calibri"/>
        <charset val="134"/>
      </rPr>
      <t>Siniestros Pagados</t>
    </r>
    <r>
      <rPr>
        <sz val="11"/>
        <color theme="1"/>
        <rFont val="Calibri"/>
        <charset val="134"/>
        <scheme val="minor"/>
      </rPr>
      <t xml:space="preserve"> sin incluir mesadas (valor contable que su compañia tenga)</t>
    </r>
    <r>
      <rPr>
        <b/>
        <sz val="11"/>
        <color theme="1"/>
        <rFont val="Calibri"/>
        <charset val="134"/>
        <scheme val="minor"/>
      </rPr>
      <t>(Formato 290)</t>
    </r>
  </si>
  <si>
    <r>
      <t>mesadas pensionales</t>
    </r>
    <r>
      <rPr>
        <sz val="11"/>
        <color theme="1"/>
        <rFont val="Calibri"/>
        <charset val="134"/>
        <scheme val="minor"/>
      </rPr>
      <t xml:space="preserve"> (valor contable que su compañia tenga) </t>
    </r>
    <r>
      <rPr>
        <b/>
        <sz val="11"/>
        <color theme="1"/>
        <rFont val="Calibri"/>
        <charset val="134"/>
        <scheme val="minor"/>
      </rPr>
      <t>(Formato 290)</t>
    </r>
  </si>
  <si>
    <r>
      <rPr>
        <b/>
        <sz val="11"/>
        <color theme="1"/>
        <rFont val="Calibri"/>
        <charset val="134"/>
      </rPr>
      <t>Siniestros Liquidados</t>
    </r>
    <r>
      <rPr>
        <sz val="11"/>
        <color theme="1"/>
        <rFont val="Calibri"/>
        <charset val="134"/>
        <scheme val="minor"/>
      </rPr>
      <t xml:space="preserve"> (valor del mes, no acumulado) (</t>
    </r>
    <r>
      <rPr>
        <b/>
        <sz val="11"/>
        <color theme="1"/>
        <rFont val="Calibri"/>
        <charset val="134"/>
        <scheme val="minor"/>
      </rPr>
      <t>Formato 290</t>
    </r>
    <r>
      <rPr>
        <sz val="11"/>
        <color theme="1"/>
        <rFont val="Calibri"/>
        <charset val="134"/>
        <scheme val="minor"/>
      </rPr>
      <t>) (suma de siniestros pagados mas lo correspondiente a mesadas)</t>
    </r>
  </si>
  <si>
    <t>"Pagados" Diferencia Porcentual ( (Columna Valor pagado (VLR_PAGO) (Circular 035)/Columna Siniestros pagados sin masadas  (valor contable que su compañia tenga))-1)</t>
  </si>
  <si>
    <t>Explicación ( en caso de superar 5%)</t>
  </si>
  <si>
    <r>
      <rPr>
        <sz val="11"/>
        <color theme="1"/>
        <rFont val="Calibri"/>
        <charset val="134"/>
        <scheme val="minor"/>
      </rPr>
      <t xml:space="preserve">"Mesadas" Diferencia Porcentual ( (Columna Valor mesadas (Tomar como fuente lo consignado en el </t>
    </r>
    <r>
      <rPr>
        <b/>
        <sz val="11"/>
        <color theme="1"/>
        <rFont val="Calibri"/>
        <charset val="134"/>
      </rPr>
      <t>formato 394</t>
    </r>
    <r>
      <rPr>
        <sz val="11"/>
        <color theme="1"/>
        <rFont val="Calibri"/>
        <charset val="134"/>
        <scheme val="minor"/>
      </rPr>
      <t>)/mesadas pensionales (valor contable que su compañia tenga))-1)</t>
    </r>
  </si>
  <si>
    <t>Movimiento de la reserva  (liberación más constitución) (VLR_RESV) (Circular 035)</t>
  </si>
  <si>
    <t>Liberación de reserva de avisados y matemática y  constitución de reservas para siniestros avisados y matemática (valor mes-no acumulado)(Formato 290)</t>
  </si>
  <si>
    <t>Diferencia Porcentual  ((M / N) -1)</t>
  </si>
  <si>
    <t>Saldo de la Reserva (SLD_Resv) (Circular 035)</t>
  </si>
  <si>
    <t>Saldo de la Reserva (Total reserva) (Formato 394)</t>
  </si>
  <si>
    <t xml:space="preserve">Saldo de la Reserva de avisados según estados contables de la compañía. </t>
  </si>
  <si>
    <t xml:space="preserve">Saldo de la Reserva matematica según estados contables de la compañía. </t>
  </si>
  <si>
    <t>Diferencia Porcentual ( (Columna Saldo de la Reserva (SLD_Resv) (Circular 035)/Columna Saldo de la Reserva de avisados según estados contables de la compañía. )-1)</t>
  </si>
  <si>
    <t>Diferencia Porcentual ( (Columna Saldo de la Reserva (Total reserva) (Formato 394)/Saldo de la Reserva matematica según estados contables de la compañía. )-1)</t>
  </si>
  <si>
    <t>Problema presentado al generar el archivo de la C035 cuando toma valores negativos</t>
  </si>
  <si>
    <t>Pago total de las pensiones que no se habian reconocido</t>
  </si>
  <si>
    <t>Pensiones reconocidad de forma parcial</t>
  </si>
  <si>
    <t>Siniestros bolsa</t>
  </si>
  <si>
    <t>Archivo mal Repotado</t>
  </si>
  <si>
    <t>Columna</t>
  </si>
  <si>
    <r>
      <rPr>
        <b/>
        <sz val="11"/>
        <color theme="1"/>
        <rFont val="Calibri"/>
        <charset val="134"/>
      </rPr>
      <t>mesadas pensionales</t>
    </r>
    <r>
      <rPr>
        <sz val="11"/>
        <color theme="1"/>
        <rFont val="Calibri"/>
        <charset val="134"/>
        <scheme val="minor"/>
      </rPr>
      <t xml:space="preserve"> (valor contable que su compañia tenga) </t>
    </r>
    <r>
      <rPr>
        <b/>
        <sz val="11"/>
        <color theme="1"/>
        <rFont val="Calibri"/>
        <charset val="134"/>
        <scheme val="minor"/>
      </rPr>
      <t>(Formato 290)</t>
    </r>
  </si>
</sst>
</file>

<file path=xl/styles.xml><?xml version="1.0" encoding="utf-8"?>
<styleSheet xmlns="http://schemas.openxmlformats.org/spreadsheetml/2006/main">
  <numFmts count="6">
    <numFmt numFmtId="176" formatCode="0.0%"/>
    <numFmt numFmtId="177" formatCode="_-* #,##0_-;\-* #,##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ashed">
        <color theme="5" tint="-0.499984740745262"/>
      </right>
      <top style="thin">
        <color auto="1"/>
      </top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auto="1"/>
      </top>
      <bottom style="dashed">
        <color theme="5" tint="-0.499984740745262"/>
      </bottom>
      <diagonal/>
    </border>
    <border>
      <left style="thin">
        <color auto="1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/>
      <diagonal/>
    </border>
    <border>
      <left style="thin">
        <color auto="1"/>
      </left>
      <right style="dashed">
        <color theme="5" tint="-0.499984740745262"/>
      </right>
      <top style="thin">
        <color auto="1"/>
      </top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 style="thin">
        <color auto="1"/>
      </top>
      <bottom style="thin">
        <color auto="1"/>
      </bottom>
      <diagonal/>
    </border>
    <border>
      <left style="dashed">
        <color theme="5" tint="-0.499984740745262"/>
      </left>
      <right style="dashed">
        <color theme="5" tint="-0.499984740745262"/>
      </right>
      <top/>
      <bottom style="dashed">
        <color theme="5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auto="1"/>
      </right>
      <top style="thin">
        <color auto="1"/>
      </top>
      <bottom style="dashed">
        <color theme="5" tint="-0.499984740745262"/>
      </bottom>
      <diagonal/>
    </border>
    <border>
      <left style="dashed">
        <color theme="5" tint="-0.499984740745262"/>
      </left>
      <right style="thin">
        <color auto="1"/>
      </right>
      <top style="dashed">
        <color theme="5" tint="-0.499984740745262"/>
      </top>
      <bottom/>
      <diagonal/>
    </border>
    <border>
      <left style="dashed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4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20" fillId="31" borderId="2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7" borderId="2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8" fillId="24" borderId="1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177" fontId="1" fillId="0" borderId="9" xfId="44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177" fontId="1" fillId="0" borderId="10" xfId="44" applyNumberFormat="1" applyFont="1" applyBorder="1" applyAlignment="1">
      <alignment vertical="center"/>
    </xf>
    <xf numFmtId="177" fontId="2" fillId="0" borderId="10" xfId="44" applyNumberFormat="1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 wrapText="1"/>
    </xf>
    <xf numFmtId="176" fontId="1" fillId="0" borderId="9" xfId="47" applyNumberFormat="1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76" fontId="1" fillId="10" borderId="9" xfId="47" applyNumberFormat="1" applyFont="1" applyFill="1" applyBorder="1" applyAlignment="1">
      <alignment vertical="center"/>
    </xf>
    <xf numFmtId="177" fontId="1" fillId="0" borderId="10" xfId="0" applyNumberFormat="1" applyFont="1" applyBorder="1" applyAlignment="1">
      <alignment vertical="center"/>
    </xf>
    <xf numFmtId="177" fontId="1" fillId="0" borderId="6" xfId="0" applyNumberFormat="1" applyFont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 wrapText="1"/>
    </xf>
    <xf numFmtId="176" fontId="1" fillId="0" borderId="9" xfId="47" applyNumberFormat="1" applyFont="1" applyBorder="1" applyAlignment="1">
      <alignment vertical="center"/>
    </xf>
    <xf numFmtId="176" fontId="1" fillId="0" borderId="10" xfId="47" applyNumberFormat="1" applyFont="1" applyBorder="1" applyAlignment="1">
      <alignment vertical="center"/>
    </xf>
    <xf numFmtId="177" fontId="0" fillId="0" borderId="1" xfId="44" applyNumberFormat="1" applyFont="1" applyFill="1" applyBorder="1"/>
    <xf numFmtId="177" fontId="0" fillId="5" borderId="1" xfId="44" applyNumberFormat="1" applyFont="1" applyFill="1" applyBorder="1"/>
    <xf numFmtId="0" fontId="1" fillId="9" borderId="8" xfId="0" applyFont="1" applyFill="1" applyBorder="1" applyAlignment="1">
      <alignment horizontal="left" vertical="center" wrapText="1"/>
    </xf>
    <xf numFmtId="43" fontId="0" fillId="0" borderId="1" xfId="44" applyFont="1" applyFill="1" applyBorder="1"/>
    <xf numFmtId="43" fontId="1" fillId="0" borderId="10" xfId="44" applyFont="1" applyBorder="1" applyAlignment="1">
      <alignment vertical="center"/>
    </xf>
    <xf numFmtId="43" fontId="1" fillId="10" borderId="10" xfId="44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7" borderId="13" xfId="0" applyFont="1" applyFill="1" applyBorder="1" applyAlignment="1">
      <alignment horizontal="left" vertical="center" wrapText="1"/>
    </xf>
    <xf numFmtId="176" fontId="0" fillId="0" borderId="1" xfId="47" applyNumberFormat="1" applyFont="1" applyFill="1" applyBorder="1"/>
    <xf numFmtId="177" fontId="0" fillId="0" borderId="1" xfId="0" applyNumberFormat="1" applyBorder="1"/>
    <xf numFmtId="176" fontId="0" fillId="10" borderId="1" xfId="47" applyNumberFormat="1" applyFont="1" applyFill="1" applyBorder="1"/>
    <xf numFmtId="177" fontId="1" fillId="0" borderId="0" xfId="44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47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3" fontId="1" fillId="0" borderId="10" xfId="0" applyNumberFormat="1" applyFont="1" applyBorder="1" applyAlignment="1">
      <alignment vertical="center"/>
    </xf>
    <xf numFmtId="10" fontId="1" fillId="0" borderId="0" xfId="47" applyNumberFormat="1" applyFont="1" applyAlignment="1">
      <alignment vertical="center"/>
    </xf>
    <xf numFmtId="43" fontId="1" fillId="0" borderId="0" xfId="0" applyNumberFormat="1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97.xml"/><Relationship Id="rId98" Type="http://schemas.openxmlformats.org/officeDocument/2006/relationships/externalLink" Target="externalLinks/externalLink96.xml"/><Relationship Id="rId97" Type="http://schemas.openxmlformats.org/officeDocument/2006/relationships/externalLink" Target="externalLinks/externalLink95.xml"/><Relationship Id="rId96" Type="http://schemas.openxmlformats.org/officeDocument/2006/relationships/externalLink" Target="externalLinks/externalLink94.xml"/><Relationship Id="rId95" Type="http://schemas.openxmlformats.org/officeDocument/2006/relationships/externalLink" Target="externalLinks/externalLink93.xml"/><Relationship Id="rId94" Type="http://schemas.openxmlformats.org/officeDocument/2006/relationships/externalLink" Target="externalLinks/externalLink92.xml"/><Relationship Id="rId93" Type="http://schemas.openxmlformats.org/officeDocument/2006/relationships/externalLink" Target="externalLinks/externalLink91.xml"/><Relationship Id="rId92" Type="http://schemas.openxmlformats.org/officeDocument/2006/relationships/externalLink" Target="externalLinks/externalLink90.xml"/><Relationship Id="rId91" Type="http://schemas.openxmlformats.org/officeDocument/2006/relationships/externalLink" Target="externalLinks/externalLink89.xml"/><Relationship Id="rId90" Type="http://schemas.openxmlformats.org/officeDocument/2006/relationships/externalLink" Target="externalLinks/externalLink88.xml"/><Relationship Id="rId9" Type="http://schemas.openxmlformats.org/officeDocument/2006/relationships/externalLink" Target="externalLinks/externalLink7.xml"/><Relationship Id="rId89" Type="http://schemas.openxmlformats.org/officeDocument/2006/relationships/externalLink" Target="externalLinks/externalLink87.xml"/><Relationship Id="rId88" Type="http://schemas.openxmlformats.org/officeDocument/2006/relationships/externalLink" Target="externalLinks/externalLink86.xml"/><Relationship Id="rId87" Type="http://schemas.openxmlformats.org/officeDocument/2006/relationships/externalLink" Target="externalLinks/externalLink85.xml"/><Relationship Id="rId86" Type="http://schemas.openxmlformats.org/officeDocument/2006/relationships/externalLink" Target="externalLinks/externalLink84.xml"/><Relationship Id="rId85" Type="http://schemas.openxmlformats.org/officeDocument/2006/relationships/externalLink" Target="externalLinks/externalLink83.xml"/><Relationship Id="rId84" Type="http://schemas.openxmlformats.org/officeDocument/2006/relationships/externalLink" Target="externalLinks/externalLink82.xml"/><Relationship Id="rId83" Type="http://schemas.openxmlformats.org/officeDocument/2006/relationships/externalLink" Target="externalLinks/externalLink81.xml"/><Relationship Id="rId82" Type="http://schemas.openxmlformats.org/officeDocument/2006/relationships/externalLink" Target="externalLinks/externalLink80.xml"/><Relationship Id="rId81" Type="http://schemas.openxmlformats.org/officeDocument/2006/relationships/externalLink" Target="externalLinks/externalLink79.xml"/><Relationship Id="rId80" Type="http://schemas.openxmlformats.org/officeDocument/2006/relationships/externalLink" Target="externalLinks/externalLink78.xml"/><Relationship Id="rId8" Type="http://schemas.openxmlformats.org/officeDocument/2006/relationships/externalLink" Target="externalLinks/externalLink6.xml"/><Relationship Id="rId79" Type="http://schemas.openxmlformats.org/officeDocument/2006/relationships/externalLink" Target="externalLinks/externalLink77.xml"/><Relationship Id="rId78" Type="http://schemas.openxmlformats.org/officeDocument/2006/relationships/externalLink" Target="externalLinks/externalLink76.xml"/><Relationship Id="rId77" Type="http://schemas.openxmlformats.org/officeDocument/2006/relationships/externalLink" Target="externalLinks/externalLink75.xml"/><Relationship Id="rId76" Type="http://schemas.openxmlformats.org/officeDocument/2006/relationships/externalLink" Target="externalLinks/externalLink74.xml"/><Relationship Id="rId75" Type="http://schemas.openxmlformats.org/officeDocument/2006/relationships/externalLink" Target="externalLinks/externalLink73.xml"/><Relationship Id="rId74" Type="http://schemas.openxmlformats.org/officeDocument/2006/relationships/externalLink" Target="externalLinks/externalLink72.xml"/><Relationship Id="rId73" Type="http://schemas.openxmlformats.org/officeDocument/2006/relationships/externalLink" Target="externalLinks/externalLink71.xml"/><Relationship Id="rId72" Type="http://schemas.openxmlformats.org/officeDocument/2006/relationships/externalLink" Target="externalLinks/externalLink70.xml"/><Relationship Id="rId71" Type="http://schemas.openxmlformats.org/officeDocument/2006/relationships/externalLink" Target="externalLinks/externalLink69.xml"/><Relationship Id="rId70" Type="http://schemas.openxmlformats.org/officeDocument/2006/relationships/externalLink" Target="externalLinks/externalLink68.xml"/><Relationship Id="rId7" Type="http://schemas.openxmlformats.org/officeDocument/2006/relationships/externalLink" Target="externalLinks/externalLink5.xml"/><Relationship Id="rId69" Type="http://schemas.openxmlformats.org/officeDocument/2006/relationships/externalLink" Target="externalLinks/externalLink67.xml"/><Relationship Id="rId68" Type="http://schemas.openxmlformats.org/officeDocument/2006/relationships/externalLink" Target="externalLinks/externalLink66.xml"/><Relationship Id="rId67" Type="http://schemas.openxmlformats.org/officeDocument/2006/relationships/externalLink" Target="externalLinks/externalLink65.xml"/><Relationship Id="rId66" Type="http://schemas.openxmlformats.org/officeDocument/2006/relationships/externalLink" Target="externalLinks/externalLink64.xml"/><Relationship Id="rId65" Type="http://schemas.openxmlformats.org/officeDocument/2006/relationships/externalLink" Target="externalLinks/externalLink63.xml"/><Relationship Id="rId64" Type="http://schemas.openxmlformats.org/officeDocument/2006/relationships/externalLink" Target="externalLinks/externalLink62.xml"/><Relationship Id="rId63" Type="http://schemas.openxmlformats.org/officeDocument/2006/relationships/externalLink" Target="externalLinks/externalLink61.xml"/><Relationship Id="rId62" Type="http://schemas.openxmlformats.org/officeDocument/2006/relationships/externalLink" Target="externalLinks/externalLink60.xml"/><Relationship Id="rId61" Type="http://schemas.openxmlformats.org/officeDocument/2006/relationships/externalLink" Target="externalLinks/externalLink59.xml"/><Relationship Id="rId60" Type="http://schemas.openxmlformats.org/officeDocument/2006/relationships/externalLink" Target="externalLinks/externalLink58.xml"/><Relationship Id="rId6" Type="http://schemas.openxmlformats.org/officeDocument/2006/relationships/externalLink" Target="externalLinks/externalLink4.xml"/><Relationship Id="rId59" Type="http://schemas.openxmlformats.org/officeDocument/2006/relationships/externalLink" Target="externalLinks/externalLink57.xml"/><Relationship Id="rId58" Type="http://schemas.openxmlformats.org/officeDocument/2006/relationships/externalLink" Target="externalLinks/externalLink56.xml"/><Relationship Id="rId57" Type="http://schemas.openxmlformats.org/officeDocument/2006/relationships/externalLink" Target="externalLinks/externalLink55.xml"/><Relationship Id="rId56" Type="http://schemas.openxmlformats.org/officeDocument/2006/relationships/externalLink" Target="externalLinks/externalLink54.xml"/><Relationship Id="rId55" Type="http://schemas.openxmlformats.org/officeDocument/2006/relationships/externalLink" Target="externalLinks/externalLink53.xml"/><Relationship Id="rId54" Type="http://schemas.openxmlformats.org/officeDocument/2006/relationships/externalLink" Target="externalLinks/externalLink52.xml"/><Relationship Id="rId53" Type="http://schemas.openxmlformats.org/officeDocument/2006/relationships/externalLink" Target="externalLinks/externalLink51.xml"/><Relationship Id="rId52" Type="http://schemas.openxmlformats.org/officeDocument/2006/relationships/externalLink" Target="externalLinks/externalLink50.xml"/><Relationship Id="rId51" Type="http://schemas.openxmlformats.org/officeDocument/2006/relationships/externalLink" Target="externalLinks/externalLink49.xml"/><Relationship Id="rId50" Type="http://schemas.openxmlformats.org/officeDocument/2006/relationships/externalLink" Target="externalLinks/externalLink48.xml"/><Relationship Id="rId5" Type="http://schemas.openxmlformats.org/officeDocument/2006/relationships/externalLink" Target="externalLinks/externalLink3.xml"/><Relationship Id="rId49" Type="http://schemas.openxmlformats.org/officeDocument/2006/relationships/externalLink" Target="externalLinks/externalLink47.xml"/><Relationship Id="rId48" Type="http://schemas.openxmlformats.org/officeDocument/2006/relationships/externalLink" Target="externalLinks/externalLink46.xml"/><Relationship Id="rId47" Type="http://schemas.openxmlformats.org/officeDocument/2006/relationships/externalLink" Target="externalLinks/externalLink45.xml"/><Relationship Id="rId46" Type="http://schemas.openxmlformats.org/officeDocument/2006/relationships/externalLink" Target="externalLinks/externalLink44.xml"/><Relationship Id="rId45" Type="http://schemas.openxmlformats.org/officeDocument/2006/relationships/externalLink" Target="externalLinks/externalLink43.xml"/><Relationship Id="rId44" Type="http://schemas.openxmlformats.org/officeDocument/2006/relationships/externalLink" Target="externalLinks/externalLink42.xml"/><Relationship Id="rId43" Type="http://schemas.openxmlformats.org/officeDocument/2006/relationships/externalLink" Target="externalLinks/externalLink41.xml"/><Relationship Id="rId42" Type="http://schemas.openxmlformats.org/officeDocument/2006/relationships/externalLink" Target="externalLinks/externalLink40.xml"/><Relationship Id="rId41" Type="http://schemas.openxmlformats.org/officeDocument/2006/relationships/externalLink" Target="externalLinks/externalLink39.xml"/><Relationship Id="rId40" Type="http://schemas.openxmlformats.org/officeDocument/2006/relationships/externalLink" Target="externalLinks/externalLink38.xml"/><Relationship Id="rId4" Type="http://schemas.openxmlformats.org/officeDocument/2006/relationships/externalLink" Target="externalLinks/externalLink2.xml"/><Relationship Id="rId39" Type="http://schemas.openxmlformats.org/officeDocument/2006/relationships/externalLink" Target="externalLinks/externalLink37.xml"/><Relationship Id="rId38" Type="http://schemas.openxmlformats.org/officeDocument/2006/relationships/externalLink" Target="externalLinks/externalLink36.xml"/><Relationship Id="rId37" Type="http://schemas.openxmlformats.org/officeDocument/2006/relationships/externalLink" Target="externalLinks/externalLink35.xml"/><Relationship Id="rId36" Type="http://schemas.openxmlformats.org/officeDocument/2006/relationships/externalLink" Target="externalLinks/externalLink34.xml"/><Relationship Id="rId35" Type="http://schemas.openxmlformats.org/officeDocument/2006/relationships/externalLink" Target="externalLinks/externalLink33.xml"/><Relationship Id="rId34" Type="http://schemas.openxmlformats.org/officeDocument/2006/relationships/externalLink" Target="externalLinks/externalLink32.xml"/><Relationship Id="rId33" Type="http://schemas.openxmlformats.org/officeDocument/2006/relationships/externalLink" Target="externalLinks/externalLink31.xml"/><Relationship Id="rId32" Type="http://schemas.openxmlformats.org/officeDocument/2006/relationships/externalLink" Target="externalLinks/externalLink30.xml"/><Relationship Id="rId31" Type="http://schemas.openxmlformats.org/officeDocument/2006/relationships/externalLink" Target="externalLinks/externalLink29.xml"/><Relationship Id="rId30" Type="http://schemas.openxmlformats.org/officeDocument/2006/relationships/externalLink" Target="externalLinks/externalLink28.xml"/><Relationship Id="rId3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7.xml"/><Relationship Id="rId28" Type="http://schemas.openxmlformats.org/officeDocument/2006/relationships/externalLink" Target="externalLinks/externalLink26.xml"/><Relationship Id="rId27" Type="http://schemas.openxmlformats.org/officeDocument/2006/relationships/externalLink" Target="externalLinks/externalLink25.xml"/><Relationship Id="rId26" Type="http://schemas.openxmlformats.org/officeDocument/2006/relationships/externalLink" Target="externalLinks/externalLink24.xml"/><Relationship Id="rId25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22.xml"/><Relationship Id="rId23" Type="http://schemas.openxmlformats.org/officeDocument/2006/relationships/externalLink" Target="externalLinks/externalLink21.xml"/><Relationship Id="rId22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7.xml"/><Relationship Id="rId18" Type="http://schemas.openxmlformats.org/officeDocument/2006/relationships/externalLink" Target="externalLinks/externalLink16.xml"/><Relationship Id="rId17" Type="http://schemas.openxmlformats.org/officeDocument/2006/relationships/externalLink" Target="externalLinks/externalLink15.xml"/><Relationship Id="rId16" Type="http://schemas.openxmlformats.org/officeDocument/2006/relationships/externalLink" Target="externalLinks/externalLink14.xml"/><Relationship Id="rId15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12.xml"/><Relationship Id="rId13" Type="http://schemas.openxmlformats.org/officeDocument/2006/relationships/externalLink" Target="externalLinks/externalLink11.xml"/><Relationship Id="rId126" Type="http://schemas.openxmlformats.org/officeDocument/2006/relationships/sharedStrings" Target="sharedStrings.xml"/><Relationship Id="rId125" Type="http://schemas.openxmlformats.org/officeDocument/2006/relationships/styles" Target="styles.xml"/><Relationship Id="rId124" Type="http://schemas.openxmlformats.org/officeDocument/2006/relationships/theme" Target="theme/theme1.xml"/><Relationship Id="rId123" Type="http://schemas.openxmlformats.org/officeDocument/2006/relationships/externalLink" Target="externalLinks/externalLink121.xml"/><Relationship Id="rId122" Type="http://schemas.openxmlformats.org/officeDocument/2006/relationships/externalLink" Target="externalLinks/externalLink120.xml"/><Relationship Id="rId121" Type="http://schemas.openxmlformats.org/officeDocument/2006/relationships/externalLink" Target="externalLinks/externalLink119.xml"/><Relationship Id="rId120" Type="http://schemas.openxmlformats.org/officeDocument/2006/relationships/externalLink" Target="externalLinks/externalLink118.xml"/><Relationship Id="rId12" Type="http://schemas.openxmlformats.org/officeDocument/2006/relationships/externalLink" Target="externalLinks/externalLink10.xml"/><Relationship Id="rId119" Type="http://schemas.openxmlformats.org/officeDocument/2006/relationships/externalLink" Target="externalLinks/externalLink117.xml"/><Relationship Id="rId118" Type="http://schemas.openxmlformats.org/officeDocument/2006/relationships/externalLink" Target="externalLinks/externalLink116.xml"/><Relationship Id="rId117" Type="http://schemas.openxmlformats.org/officeDocument/2006/relationships/externalLink" Target="externalLinks/externalLink115.xml"/><Relationship Id="rId116" Type="http://schemas.openxmlformats.org/officeDocument/2006/relationships/externalLink" Target="externalLinks/externalLink114.xml"/><Relationship Id="rId115" Type="http://schemas.openxmlformats.org/officeDocument/2006/relationships/externalLink" Target="externalLinks/externalLink113.xml"/><Relationship Id="rId114" Type="http://schemas.openxmlformats.org/officeDocument/2006/relationships/externalLink" Target="externalLinks/externalLink112.xml"/><Relationship Id="rId113" Type="http://schemas.openxmlformats.org/officeDocument/2006/relationships/externalLink" Target="externalLinks/externalLink111.xml"/><Relationship Id="rId112" Type="http://schemas.openxmlformats.org/officeDocument/2006/relationships/externalLink" Target="externalLinks/externalLink110.xml"/><Relationship Id="rId111" Type="http://schemas.openxmlformats.org/officeDocument/2006/relationships/externalLink" Target="externalLinks/externalLink109.xml"/><Relationship Id="rId110" Type="http://schemas.openxmlformats.org/officeDocument/2006/relationships/externalLink" Target="externalLinks/externalLink108.xml"/><Relationship Id="rId11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7.xml"/><Relationship Id="rId108" Type="http://schemas.openxmlformats.org/officeDocument/2006/relationships/externalLink" Target="externalLinks/externalLink106.xml"/><Relationship Id="rId107" Type="http://schemas.openxmlformats.org/officeDocument/2006/relationships/externalLink" Target="externalLinks/externalLink105.xml"/><Relationship Id="rId106" Type="http://schemas.openxmlformats.org/officeDocument/2006/relationships/externalLink" Target="externalLinks/externalLink104.xml"/><Relationship Id="rId105" Type="http://schemas.openxmlformats.org/officeDocument/2006/relationships/externalLink" Target="externalLinks/externalLink103.xml"/><Relationship Id="rId104" Type="http://schemas.openxmlformats.org/officeDocument/2006/relationships/externalLink" Target="externalLinks/externalLink102.xml"/><Relationship Id="rId103" Type="http://schemas.openxmlformats.org/officeDocument/2006/relationships/externalLink" Target="externalLinks/externalLink101.xml"/><Relationship Id="rId102" Type="http://schemas.openxmlformats.org/officeDocument/2006/relationships/externalLink" Target="externalLinks/externalLink100.xml"/><Relationship Id="rId101" Type="http://schemas.openxmlformats.org/officeDocument/2006/relationships/externalLink" Target="externalLinks/externalLink99.xml"/><Relationship Id="rId100" Type="http://schemas.openxmlformats.org/officeDocument/2006/relationships/externalLink" Target="externalLinks/externalLink98.xml"/><Relationship Id="rId10" Type="http://schemas.openxmlformats.org/officeDocument/2006/relationships/externalLink" Target="externalLinks/externalLink8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%20Nacional/tarifacion_arl_comp/validacion_cia_vlr_pago/data/Detalle%20Contabilidad%20Reserva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914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322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422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522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622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722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822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922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1022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1122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12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1014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123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223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323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423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523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623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723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823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0923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3/f2901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1114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CIERRE LOCAL/202311/RIP/VIDA/FOR290V8 noviembre 2023 Circular 037.xlsb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CIERRE LOCAL/202312/RIP/VIDA/FOR290V8 diciembre 2023 Circular 037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12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11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2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31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41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51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6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11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71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815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091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101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111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5/f290121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11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21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3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4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21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51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61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71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81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091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101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111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6/f290121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117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2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31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317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41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51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61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717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81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0917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1017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111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7/f29012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41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11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21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31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41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51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61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71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8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09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10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51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111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8/f2901218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119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21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3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419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519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6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719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8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6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0919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1019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111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9/f290121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1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22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320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420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520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6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71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720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820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0920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1020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1120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0/f2901220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121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221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321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4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14/f290081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521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621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721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821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0921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1021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1121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1/f290122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122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/nicolas/Disco_Sata/documentos_nicolas/Universidad Nacional/tarifacion_arl_comp/validacion_cia_vlr_pago/data/D:/DATOS/Trabajo/FORMTO290/2022/f29002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4">
          <cell r="HL14">
            <v>72809023146.9061</v>
          </cell>
        </row>
        <row r="14">
          <cell r="HO14">
            <v>73705459592.8644</v>
          </cell>
        </row>
        <row r="14">
          <cell r="HR14">
            <v>74292519206.1266</v>
          </cell>
        </row>
        <row r="14">
          <cell r="HU14">
            <v>75092535295.7801</v>
          </cell>
        </row>
        <row r="14">
          <cell r="HX14">
            <v>78059655309.1562</v>
          </cell>
        </row>
        <row r="14">
          <cell r="IA14">
            <v>81120074672.8582</v>
          </cell>
        </row>
        <row r="14">
          <cell r="ID14">
            <v>83095724977.6489</v>
          </cell>
        </row>
        <row r="14">
          <cell r="IG14">
            <v>81169639044.8922</v>
          </cell>
        </row>
        <row r="14">
          <cell r="IJ14">
            <v>88276696529.3711</v>
          </cell>
        </row>
        <row r="14">
          <cell r="IM14">
            <v>88931027260.161</v>
          </cell>
        </row>
        <row r="14">
          <cell r="IP14">
            <v>89818112731.3051</v>
          </cell>
        </row>
        <row r="14">
          <cell r="IS14">
            <v>90523156597.5815</v>
          </cell>
        </row>
        <row r="14">
          <cell r="IV14">
            <v>89405113236.3067</v>
          </cell>
        </row>
        <row r="14">
          <cell r="IY14">
            <v>93141714211.5006</v>
          </cell>
        </row>
        <row r="14">
          <cell r="JB14">
            <v>93443859664.0764</v>
          </cell>
        </row>
        <row r="14">
          <cell r="JE14">
            <v>96015026023.5846</v>
          </cell>
        </row>
        <row r="14">
          <cell r="JH14">
            <v>98906537107.0511</v>
          </cell>
        </row>
        <row r="14">
          <cell r="JK14">
            <v>101219874938.495</v>
          </cell>
        </row>
        <row r="14">
          <cell r="JN14">
            <v>105583708576.977</v>
          </cell>
        </row>
        <row r="14">
          <cell r="JQ14">
            <v>105025878952.129</v>
          </cell>
        </row>
        <row r="14">
          <cell r="JT14">
            <v>107155894510.593</v>
          </cell>
        </row>
        <row r="14">
          <cell r="JW14">
            <v>106968893471.172</v>
          </cell>
        </row>
        <row r="14">
          <cell r="JZ14">
            <v>108890655622.113</v>
          </cell>
        </row>
        <row r="14">
          <cell r="KC14">
            <v>106764395895.94</v>
          </cell>
        </row>
        <row r="14">
          <cell r="KF14">
            <v>110752003201.639</v>
          </cell>
        </row>
        <row r="14">
          <cell r="KI14">
            <v>111736954275.157</v>
          </cell>
        </row>
        <row r="14">
          <cell r="KL14">
            <v>109291879406.315</v>
          </cell>
        </row>
        <row r="14">
          <cell r="KO14">
            <v>108962916784.894</v>
          </cell>
        </row>
        <row r="14">
          <cell r="KR14">
            <v>114731876751.881</v>
          </cell>
        </row>
        <row r="14">
          <cell r="KU14">
            <v>116888680570.85</v>
          </cell>
        </row>
        <row r="14">
          <cell r="KX14">
            <v>122705973781.926</v>
          </cell>
        </row>
        <row r="14">
          <cell r="LA14">
            <v>120355822603.865</v>
          </cell>
        </row>
        <row r="14">
          <cell r="LD14">
            <v>121841704826.576</v>
          </cell>
        </row>
        <row r="14">
          <cell r="LG14">
            <v>122073431405.562</v>
          </cell>
        </row>
        <row r="14">
          <cell r="LJ14">
            <v>126275548286.735</v>
          </cell>
        </row>
        <row r="14">
          <cell r="LM14">
            <v>124270014028.906</v>
          </cell>
        </row>
        <row r="14">
          <cell r="LP14">
            <v>130797380514.405</v>
          </cell>
        </row>
        <row r="14">
          <cell r="LS14">
            <v>131433113996.343</v>
          </cell>
        </row>
        <row r="14">
          <cell r="LV14">
            <v>132548497921.18</v>
          </cell>
        </row>
        <row r="14">
          <cell r="LY14">
            <v>134676333211.097</v>
          </cell>
        </row>
        <row r="14">
          <cell r="MB14">
            <v>139129231169.42</v>
          </cell>
        </row>
        <row r="14">
          <cell r="ME14">
            <v>140499514709.883</v>
          </cell>
        </row>
        <row r="14">
          <cell r="MH14">
            <v>142906112904.098</v>
          </cell>
        </row>
        <row r="14">
          <cell r="MK14">
            <v>144158993025.646</v>
          </cell>
        </row>
        <row r="14">
          <cell r="MN14">
            <v>138438324231.538</v>
          </cell>
        </row>
        <row r="14">
          <cell r="MQ14">
            <v>145819578103.197</v>
          </cell>
        </row>
        <row r="14">
          <cell r="MT14">
            <v>150219310847.959</v>
          </cell>
        </row>
        <row r="14">
          <cell r="MW14">
            <v>147039821616.819</v>
          </cell>
        </row>
        <row r="14">
          <cell r="MZ14">
            <v>278263045969.896</v>
          </cell>
        </row>
        <row r="14">
          <cell r="NC14">
            <v>286243557248.948</v>
          </cell>
        </row>
        <row r="14">
          <cell r="NF14">
            <v>297262362080.756</v>
          </cell>
        </row>
        <row r="14">
          <cell r="NI14">
            <v>302025857502.303</v>
          </cell>
        </row>
        <row r="14">
          <cell r="NL14">
            <v>310708575135.978</v>
          </cell>
        </row>
        <row r="14">
          <cell r="NO14">
            <v>321361033058.83</v>
          </cell>
        </row>
        <row r="14">
          <cell r="NR14">
            <v>326330061297.808</v>
          </cell>
        </row>
        <row r="14">
          <cell r="NU14">
            <v>336238994600.113</v>
          </cell>
        </row>
        <row r="14">
          <cell r="NX14">
            <v>344843334617.592</v>
          </cell>
        </row>
        <row r="14">
          <cell r="OA14">
            <v>352315845606.012</v>
          </cell>
        </row>
        <row r="14">
          <cell r="OD14">
            <v>360696341113.724</v>
          </cell>
        </row>
        <row r="14">
          <cell r="OG14">
            <v>359083284033.692</v>
          </cell>
        </row>
        <row r="14">
          <cell r="OJ14">
            <v>367759834360.958</v>
          </cell>
        </row>
        <row r="14">
          <cell r="OM14">
            <v>361089559009.198</v>
          </cell>
        </row>
        <row r="14">
          <cell r="OP14">
            <v>364866370501.476</v>
          </cell>
        </row>
        <row r="14">
          <cell r="OS14">
            <v>369296060146.346</v>
          </cell>
        </row>
        <row r="14">
          <cell r="OV14">
            <v>353342255400.922</v>
          </cell>
        </row>
        <row r="14">
          <cell r="OY14">
            <v>361219731740.926</v>
          </cell>
        </row>
        <row r="14">
          <cell r="PB14">
            <v>358064957220.66</v>
          </cell>
        </row>
        <row r="14">
          <cell r="PE14">
            <v>357397725691.723</v>
          </cell>
        </row>
        <row r="14">
          <cell r="PH14">
            <v>354675723927.366</v>
          </cell>
        </row>
        <row r="14">
          <cell r="PK14">
            <v>353188890137.431</v>
          </cell>
        </row>
        <row r="14">
          <cell r="PN14">
            <v>354468648117.797</v>
          </cell>
        </row>
        <row r="14">
          <cell r="PQ14">
            <v>355825008961.897</v>
          </cell>
        </row>
        <row r="14">
          <cell r="PT14">
            <v>364833137142.972</v>
          </cell>
        </row>
        <row r="14">
          <cell r="PW14">
            <v>367532791815.321</v>
          </cell>
        </row>
        <row r="14">
          <cell r="PZ14">
            <v>370998266222.095</v>
          </cell>
        </row>
        <row r="14">
          <cell r="QC14">
            <v>367874159598.98</v>
          </cell>
        </row>
        <row r="14">
          <cell r="QF14">
            <v>374832193263.924</v>
          </cell>
        </row>
        <row r="14">
          <cell r="QI14">
            <v>373417810761.895</v>
          </cell>
        </row>
        <row r="14">
          <cell r="QL14">
            <v>369146184450.905</v>
          </cell>
        </row>
        <row r="14">
          <cell r="QO14">
            <v>374845728120.531</v>
          </cell>
        </row>
        <row r="14">
          <cell r="QR14">
            <v>368293727633.413</v>
          </cell>
        </row>
        <row r="14">
          <cell r="QU14">
            <v>373356801482.378</v>
          </cell>
        </row>
        <row r="14">
          <cell r="QX14">
            <v>374189972666.282</v>
          </cell>
        </row>
        <row r="14">
          <cell r="RA14">
            <v>370359432667.995</v>
          </cell>
        </row>
        <row r="14">
          <cell r="RD14">
            <v>370888435789.109</v>
          </cell>
        </row>
        <row r="14">
          <cell r="RG14">
            <v>368005172806.168</v>
          </cell>
        </row>
        <row r="14">
          <cell r="RJ14">
            <v>377617036493.679</v>
          </cell>
        </row>
        <row r="14">
          <cell r="RM14">
            <v>383604569659.635</v>
          </cell>
        </row>
        <row r="14">
          <cell r="RP14">
            <v>397435191382.427</v>
          </cell>
        </row>
        <row r="14">
          <cell r="RS14">
            <v>391166495640.842</v>
          </cell>
        </row>
        <row r="14">
          <cell r="RV14">
            <v>398683329770.989</v>
          </cell>
        </row>
        <row r="14">
          <cell r="RY14">
            <v>405331228344.516</v>
          </cell>
        </row>
        <row r="14">
          <cell r="SB14">
            <v>405824580064.838</v>
          </cell>
        </row>
        <row r="14">
          <cell r="SE14">
            <v>410742257543.863</v>
          </cell>
        </row>
        <row r="14">
          <cell r="SH14">
            <v>410727680565.955</v>
          </cell>
        </row>
        <row r="14">
          <cell r="SK14">
            <v>408809496735.84</v>
          </cell>
        </row>
        <row r="14">
          <cell r="SN14">
            <v>418443413942.118</v>
          </cell>
        </row>
        <row r="14">
          <cell r="SQ14">
            <v>421682256518.627</v>
          </cell>
        </row>
        <row r="14">
          <cell r="ST14">
            <v>424711890675.333</v>
          </cell>
        </row>
        <row r="14">
          <cell r="SW14">
            <v>431861837718.023</v>
          </cell>
        </row>
        <row r="14">
          <cell r="SZ14">
            <v>441873065405.404</v>
          </cell>
        </row>
        <row r="14">
          <cell r="TC14">
            <v>440828331635.419</v>
          </cell>
        </row>
        <row r="14">
          <cell r="TF14">
            <v>449609022225.953</v>
          </cell>
        </row>
        <row r="14">
          <cell r="TI14">
            <v>457181342464.846</v>
          </cell>
        </row>
        <row r="14">
          <cell r="TL14">
            <v>467425424124.905</v>
          </cell>
        </row>
        <row r="14">
          <cell r="TO14">
            <v>477656955650.809</v>
          </cell>
        </row>
        <row r="14">
          <cell r="TR14">
            <v>487233122753.483</v>
          </cell>
        </row>
        <row r="14">
          <cell r="TU14">
            <v>479799339787.121</v>
          </cell>
        </row>
        <row r="14">
          <cell r="TX14">
            <v>495926935808.008</v>
          </cell>
        </row>
        <row r="14">
          <cell r="UA14">
            <v>503563580968.703</v>
          </cell>
        </row>
        <row r="14">
          <cell r="UD14">
            <v>508955735035.017</v>
          </cell>
        </row>
        <row r="14">
          <cell r="UG14">
            <v>513941396109.421</v>
          </cell>
        </row>
        <row r="14">
          <cell r="UJ14">
            <v>516773775139.493</v>
          </cell>
        </row>
        <row r="14">
          <cell r="UM14">
            <v>520790530296.239</v>
          </cell>
        </row>
        <row r="14">
          <cell r="UP14">
            <v>522969042658.731</v>
          </cell>
        </row>
        <row r="14">
          <cell r="US14">
            <v>533893380954.267</v>
          </cell>
        </row>
        <row r="14">
          <cell r="UV14">
            <v>542420910091.775</v>
          </cell>
        </row>
        <row r="14">
          <cell r="UY14">
            <v>548511571986.98</v>
          </cell>
        </row>
        <row r="14">
          <cell r="VB14">
            <v>562258491284.584</v>
          </cell>
        </row>
        <row r="14">
          <cell r="VE14">
            <v>577827633256.722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318355601327</v>
          </cell>
        </row>
        <row r="3783">
          <cell r="AF3783">
            <v>82019165091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F290"/>
      <sheetName val="REST-ESTAD"/>
    </sheetNames>
    <sheetDataSet>
      <sheetData sheetId="0"/>
      <sheetData sheetId="1">
        <row r="4718">
          <cell r="AE4718">
            <v>1250177732</v>
          </cell>
        </row>
        <row r="4726">
          <cell r="AE4726">
            <v>25060569942</v>
          </cell>
        </row>
        <row r="4747">
          <cell r="AE4747">
            <v>45161787892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F290"/>
      <sheetName val="REST-ESTAD"/>
    </sheetNames>
    <sheetDataSet>
      <sheetData sheetId="0"/>
      <sheetData sheetId="1">
        <row r="4718">
          <cell r="AE4718">
            <v>1427806763</v>
          </cell>
        </row>
        <row r="4726">
          <cell r="AE4726">
            <v>33985023744</v>
          </cell>
        </row>
        <row r="4747">
          <cell r="AE4747">
            <v>62194391789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1580123212</v>
          </cell>
        </row>
        <row r="4726">
          <cell r="AE4726">
            <v>38192271231</v>
          </cell>
        </row>
        <row r="4747">
          <cell r="AE4747">
            <v>78700590622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F290"/>
      <sheetName val="REST-ESTAD"/>
    </sheetNames>
    <sheetDataSet>
      <sheetData sheetId="0"/>
      <sheetData sheetId="1">
        <row r="4718">
          <cell r="AE4718">
            <v>1638979368</v>
          </cell>
        </row>
        <row r="4726">
          <cell r="AE4726">
            <v>64003227290</v>
          </cell>
        </row>
        <row r="4747">
          <cell r="AE4747">
            <v>97151839244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1688960609</v>
          </cell>
        </row>
        <row r="5205">
          <cell r="AE5205">
            <v>80824603825</v>
          </cell>
        </row>
        <row r="5226">
          <cell r="AE5226">
            <v>112675339022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3209394334</v>
          </cell>
        </row>
        <row r="5205">
          <cell r="AE5205">
            <v>100798371291</v>
          </cell>
        </row>
        <row r="5226">
          <cell r="AE5226">
            <v>128893277106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3578305931</v>
          </cell>
        </row>
        <row r="5205">
          <cell r="AE5205">
            <v>132787416459</v>
          </cell>
        </row>
        <row r="5226">
          <cell r="AE5226">
            <v>145109092475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3658535472</v>
          </cell>
        </row>
        <row r="5205">
          <cell r="AE5205">
            <v>160449101757</v>
          </cell>
        </row>
        <row r="5226">
          <cell r="AE5226">
            <v>161732698251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7712532344</v>
          </cell>
        </row>
        <row r="5205">
          <cell r="AE5205">
            <v>194651762040</v>
          </cell>
        </row>
        <row r="5226">
          <cell r="AE5226">
            <v>182686492681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E5197">
            <v>19291175276</v>
          </cell>
        </row>
        <row r="5205">
          <cell r="AE5205">
            <v>218784325049</v>
          </cell>
        </row>
        <row r="5226">
          <cell r="AE5226">
            <v>204316535451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322205366532</v>
          </cell>
        </row>
        <row r="3783">
          <cell r="AF3783">
            <v>92187367130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F290"/>
      <sheetName val="REST-ESTAD"/>
      <sheetName val="Hoja1"/>
    </sheetNames>
    <sheetDataSet>
      <sheetData sheetId="0" refreshError="1"/>
      <sheetData sheetId="1">
        <row r="5197">
          <cell r="AF5197">
            <v>46897395</v>
          </cell>
        </row>
        <row r="5205">
          <cell r="AF5205">
            <v>8323170425</v>
          </cell>
        </row>
        <row r="5226">
          <cell r="AF5226">
            <v>15698279285</v>
          </cell>
        </row>
      </sheetData>
      <sheetData sheetId="2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1072635591</v>
          </cell>
        </row>
        <row r="5205">
          <cell r="AF5205">
            <v>17497277452</v>
          </cell>
        </row>
        <row r="5226">
          <cell r="AF5226">
            <v>35968574814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1407620572</v>
          </cell>
        </row>
        <row r="5205">
          <cell r="AF5205">
            <v>27944601606</v>
          </cell>
        </row>
        <row r="5226">
          <cell r="AF5226">
            <v>54599312693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2565377638</v>
          </cell>
        </row>
        <row r="5205">
          <cell r="AF5205">
            <v>36774825687</v>
          </cell>
        </row>
        <row r="5226">
          <cell r="AF5226">
            <v>79653562458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3361742234</v>
          </cell>
        </row>
        <row r="5205">
          <cell r="AF5205">
            <v>54930404895</v>
          </cell>
        </row>
        <row r="5226">
          <cell r="AF5226">
            <v>97992868882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3815911711</v>
          </cell>
        </row>
        <row r="5205">
          <cell r="AF5205">
            <v>65021475784</v>
          </cell>
        </row>
        <row r="5226">
          <cell r="AF5226">
            <v>119036509532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3973578593</v>
          </cell>
        </row>
        <row r="5205">
          <cell r="AF5205">
            <v>79939001156</v>
          </cell>
        </row>
        <row r="5226">
          <cell r="AF5226">
            <v>143411057774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4096110922</v>
          </cell>
        </row>
        <row r="5205">
          <cell r="AF5205">
            <v>95616944756</v>
          </cell>
        </row>
        <row r="5226">
          <cell r="AF5226">
            <v>166627987414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5119990443</v>
          </cell>
        </row>
        <row r="5205">
          <cell r="AF5205">
            <v>108150932026</v>
          </cell>
        </row>
        <row r="5226">
          <cell r="AF5226">
            <v>190394698091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5197">
          <cell r="AF5197">
            <v>5637458087</v>
          </cell>
        </row>
        <row r="5205">
          <cell r="AF5205">
            <v>128110264522</v>
          </cell>
        </row>
        <row r="5226">
          <cell r="AF5226">
            <v>211940740958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325870943286</v>
          </cell>
        </row>
        <row r="3783">
          <cell r="AF3783">
            <v>104761309459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PLANO_FIJO"/>
      <sheetName val="VALIDADOR PLANO"/>
      <sheetName val="FOR_290"/>
      <sheetName val="Cuentas"/>
      <sheetName val="VALIBALANCE"/>
      <sheetName val="Hoja1"/>
      <sheetName val="Nuevo consolidado"/>
      <sheetName val="NUMERO DE POLIZAS VIGENTES"/>
      <sheetName val="Impuesto Renta"/>
      <sheetName val="Cuentas Varias"/>
      <sheetName val="Otras Provisiones"/>
      <sheetName val="Comisiones"/>
      <sheetName val="Remuneración x Uso de Red"/>
      <sheetName val="% Distribucion Reservas"/>
      <sheetName val="Ing y Egr Portafolio Invers"/>
      <sheetName val="Siniestros"/>
      <sheetName val="253"/>
      <sheetName val="Renta"/>
    </sheetNames>
    <sheetDataSet>
      <sheetData sheetId="0" refreshError="1"/>
      <sheetData sheetId="1" refreshError="1"/>
      <sheetData sheetId="2">
        <row r="30">
          <cell r="AM30">
            <v>5701024490</v>
          </cell>
        </row>
        <row r="37">
          <cell r="AM37">
            <v>153506977613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PLANO_FIJO"/>
      <sheetName val="VALIDADOR PLANO"/>
      <sheetName val="FOR_290"/>
      <sheetName val="Cuentas"/>
      <sheetName val="VALIBALANCE"/>
      <sheetName val="Hoja1"/>
      <sheetName val="Nuevo consolidado"/>
      <sheetName val="NUMERO DE POLIZAS VIGENTES"/>
      <sheetName val="Impuesto Renta"/>
      <sheetName val="Cuentas Varias"/>
      <sheetName val="Otras Provisiones"/>
      <sheetName val="Comisiones"/>
      <sheetName val="Remuneración x Uso de Red"/>
      <sheetName val="% Distribucion Reservas"/>
      <sheetName val="Ing y Egr Portafolio Invers"/>
      <sheetName val="Siniestros"/>
      <sheetName val="253"/>
      <sheetName val="Renta"/>
    </sheetNames>
    <sheetDataSet>
      <sheetData sheetId="0"/>
      <sheetData sheetId="1"/>
      <sheetData sheetId="2">
        <row r="30">
          <cell r="AM30">
            <v>6029239516</v>
          </cell>
        </row>
        <row r="37">
          <cell r="AM37">
            <v>178936485720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327899497498</v>
          </cell>
        </row>
        <row r="3783">
          <cell r="AF3783">
            <v>118762618907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330989722838</v>
          </cell>
        </row>
        <row r="3783">
          <cell r="AF3783">
            <v>11046881808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333486105265</v>
          </cell>
        </row>
        <row r="3783">
          <cell r="AF3783">
            <v>23649139395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4007">
          <cell r="AF4007">
            <v>336506832120</v>
          </cell>
        </row>
        <row r="4025">
          <cell r="AF4025">
            <v>33310802937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292415777440</v>
          </cell>
        </row>
        <row r="3783">
          <cell r="AF3783">
            <v>8687251301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4007">
          <cell r="AH4007">
            <v>362846946922</v>
          </cell>
        </row>
        <row r="4030">
          <cell r="AH4030">
            <v>140601891201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4007">
          <cell r="AH4007">
            <v>366868930126</v>
          </cell>
        </row>
        <row r="4025">
          <cell r="AH4025">
            <v>10726010369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4007">
          <cell r="AH4007">
            <v>372210487652</v>
          </cell>
        </row>
        <row r="4025">
          <cell r="AH4025">
            <v>26093382056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F2900316"/>
    </sheetNames>
    <sheetDataSet>
      <sheetData sheetId="0">
        <row r="4096">
          <cell r="AH4096">
            <v>377296593498</v>
          </cell>
        </row>
        <row r="4122">
          <cell r="AH4122">
            <v>38158775582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F2900416"/>
      <sheetName val="F2900616"/>
      <sheetName val="F2900316"/>
    </sheetNames>
    <sheetDataSet>
      <sheetData sheetId="0">
        <row r="4096">
          <cell r="AH4096">
            <v>383272042184</v>
          </cell>
        </row>
        <row r="4122">
          <cell r="AH4122">
            <v>52253658869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296255873926</v>
          </cell>
        </row>
        <row r="3783">
          <cell r="AF3783">
            <v>18018696023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F29052016"/>
    </sheetNames>
    <sheetDataSet>
      <sheetData sheetId="0">
        <row r="4692">
          <cell r="AH4692">
            <v>386374661924</v>
          </cell>
        </row>
        <row r="4713">
          <cell r="AH4713">
            <v>65918233116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F29052016"/>
    </sheetNames>
    <sheetDataSet>
      <sheetData sheetId="0">
        <row r="4692">
          <cell r="AH4692">
            <v>389131620766</v>
          </cell>
        </row>
        <row r="4713">
          <cell r="AH4713">
            <v>79465551357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F29052016"/>
    </sheetNames>
    <sheetDataSet>
      <sheetData sheetId="0">
        <row r="4692">
          <cell r="AH4692">
            <v>392603827011</v>
          </cell>
        </row>
        <row r="4713">
          <cell r="AH4713">
            <v>92131685660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F29052016"/>
      <sheetName val="F29092016"/>
    </sheetNames>
    <sheetDataSet>
      <sheetData sheetId="0">
        <row r="4692">
          <cell r="AH4692">
            <v>397630139895</v>
          </cell>
        </row>
        <row r="4713">
          <cell r="AH4713">
            <v>108549310178</v>
          </cell>
        </row>
      </sheetData>
      <sheetData sheetId="1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F29092016"/>
      <sheetName val="F29052016"/>
    </sheetNames>
    <sheetDataSet>
      <sheetData sheetId="0">
        <row r="4692">
          <cell r="AH4692">
            <v>403190014382</v>
          </cell>
        </row>
        <row r="4713">
          <cell r="AH4713">
            <v>121303899425</v>
          </cell>
        </row>
      </sheetData>
      <sheetData sheetId="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6"/>
      <sheetName val="F29092016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6"/>
    </sheetNames>
    <sheetDataSet>
      <sheetData sheetId="0">
        <row r="4692">
          <cell r="AF4692">
            <v>411689155288</v>
          </cell>
        </row>
        <row r="4713">
          <cell r="AF4713">
            <v>150302721737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6"/>
      <sheetName val="F290102016"/>
    </sheetNames>
    <sheetDataSet>
      <sheetData sheetId="0">
        <row r="4692">
          <cell r="AF4692">
            <v>416233888271</v>
          </cell>
        </row>
        <row r="4713">
          <cell r="AF4713">
            <v>165014847740</v>
          </cell>
        </row>
      </sheetData>
      <sheetData sheetId="1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6"/>
    </sheetNames>
    <sheetDataSet>
      <sheetData sheetId="0">
        <row r="4692">
          <cell r="AF4692">
            <v>419373324291</v>
          </cell>
        </row>
        <row r="4713">
          <cell r="AF4713">
            <v>11177979562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6"/>
    </sheetNames>
    <sheetDataSet>
      <sheetData sheetId="0">
        <row r="4692">
          <cell r="AF4692">
            <v>424364259568</v>
          </cell>
        </row>
        <row r="4713">
          <cell r="AF4713">
            <v>22173550233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299180765215</v>
          </cell>
        </row>
        <row r="3783">
          <cell r="AF3783">
            <v>27511116067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6"/>
    </sheetNames>
    <sheetDataSet>
      <sheetData sheetId="0">
        <row r="4692">
          <cell r="AF4692">
            <v>428875676647</v>
          </cell>
        </row>
        <row r="4713">
          <cell r="AF4713">
            <v>28716361905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6"/>
    </sheetNames>
    <sheetDataSet>
      <sheetData sheetId="0">
        <row r="4692">
          <cell r="AF4692">
            <v>432294218363</v>
          </cell>
        </row>
        <row r="4713">
          <cell r="AF4713">
            <v>39322492341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F290052017"/>
      <sheetName val="F290122016"/>
    </sheetNames>
    <sheetDataSet>
      <sheetData sheetId="0">
        <row r="4692">
          <cell r="AF4692">
            <v>435513438342</v>
          </cell>
        </row>
        <row r="4713">
          <cell r="AF4713">
            <v>58548112329</v>
          </cell>
        </row>
      </sheetData>
      <sheetData sheetId="1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F290062017"/>
      <sheetName val="F290052017"/>
    </sheetNames>
    <sheetDataSet>
      <sheetData sheetId="0">
        <row r="4692">
          <cell r="AF4692">
            <v>438134343444</v>
          </cell>
        </row>
        <row r="4713">
          <cell r="AF4713">
            <v>71213302192</v>
          </cell>
        </row>
      </sheetData>
      <sheetData sheetId="1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F290072017"/>
      <sheetName val="F290062017"/>
    </sheetNames>
    <sheetDataSet>
      <sheetData sheetId="0">
        <row r="4692">
          <cell r="AF4692">
            <v>440942070387</v>
          </cell>
        </row>
        <row r="4713">
          <cell r="AF4713">
            <v>85001247033</v>
          </cell>
        </row>
      </sheetData>
      <sheetData sheetId="1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F290082017"/>
      <sheetName val="F290072017"/>
    </sheetNames>
    <sheetDataSet>
      <sheetData sheetId="0">
        <row r="4692">
          <cell r="AF4692">
            <v>445419930401</v>
          </cell>
        </row>
        <row r="4713">
          <cell r="AF4713">
            <v>101949740169</v>
          </cell>
        </row>
      </sheetData>
      <sheetData sheetId="1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F290082017"/>
    </sheetNames>
    <sheetDataSet>
      <sheetData sheetId="0">
        <row r="4692">
          <cell r="AF4692">
            <v>447418565961</v>
          </cell>
        </row>
        <row r="4713">
          <cell r="AF4713">
            <v>114205233765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7"/>
      <sheetName val="F290082017"/>
    </sheetNames>
    <sheetDataSet>
      <sheetData sheetId="0">
        <row r="4692">
          <cell r="AF4692">
            <v>451258571871</v>
          </cell>
        </row>
        <row r="4713">
          <cell r="AF4713">
            <v>127023356335</v>
          </cell>
        </row>
      </sheetData>
      <sheetData sheetId="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7"/>
    </sheetNames>
    <sheetDataSet>
      <sheetData sheetId="0">
        <row r="4692">
          <cell r="AF4692">
            <v>452786709292</v>
          </cell>
        </row>
        <row r="4713">
          <cell r="AF4713">
            <v>144050655523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7"/>
      <sheetName val="F290102017"/>
    </sheetNames>
    <sheetDataSet>
      <sheetData sheetId="0">
        <row r="4692">
          <cell r="AF4692">
            <v>458023400632</v>
          </cell>
        </row>
        <row r="4713">
          <cell r="AF4713">
            <v>159618848170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303128422266</v>
          </cell>
        </row>
        <row r="3783">
          <cell r="AF3783">
            <v>35732658343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7"/>
    </sheetNames>
    <sheetDataSet>
      <sheetData sheetId="0">
        <row r="4692">
          <cell r="AF4692">
            <v>461322735647</v>
          </cell>
        </row>
        <row r="4713">
          <cell r="AF4713">
            <v>11513389878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F290022018"/>
      <sheetName val="F290122017"/>
    </sheetNames>
    <sheetDataSet>
      <sheetData sheetId="0">
        <row r="4692">
          <cell r="AF4692">
            <v>464718397093</v>
          </cell>
        </row>
        <row r="4713">
          <cell r="AF4713">
            <v>26803667761</v>
          </cell>
        </row>
      </sheetData>
      <sheetData sheetId="1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F290032018"/>
      <sheetName val="F290022018"/>
    </sheetNames>
    <sheetDataSet>
      <sheetData sheetId="0">
        <row r="4692">
          <cell r="AF4692">
            <v>467728899376</v>
          </cell>
        </row>
        <row r="4713">
          <cell r="AF4713">
            <v>41753799357</v>
          </cell>
        </row>
      </sheetData>
      <sheetData sheetId="1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F290042018"/>
      <sheetName val="F290032018"/>
      <sheetName val="F290052018"/>
    </sheetNames>
    <sheetDataSet>
      <sheetData sheetId="0">
        <row r="4692">
          <cell r="AF4692">
            <v>474518665941</v>
          </cell>
        </row>
        <row r="4713">
          <cell r="AF4713">
            <v>55384420001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F290042018"/>
      <sheetName val="F290052018"/>
    </sheetNames>
    <sheetDataSet>
      <sheetData sheetId="0">
        <row r="4692">
          <cell r="AF4692">
            <v>477239989416</v>
          </cell>
        </row>
        <row r="4713">
          <cell r="AF4713">
            <v>73198813151</v>
          </cell>
        </row>
      </sheetData>
      <sheetData sheetId="1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F290062018"/>
      <sheetName val="F290042018"/>
    </sheetNames>
    <sheetDataSet>
      <sheetData sheetId="0">
        <row r="4692">
          <cell r="AF4692">
            <v>479564448918</v>
          </cell>
        </row>
        <row r="4713">
          <cell r="AF4713">
            <v>88511756960</v>
          </cell>
        </row>
      </sheetData>
      <sheetData sheetId="1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F290072018"/>
      <sheetName val="F290062018"/>
    </sheetNames>
    <sheetDataSet>
      <sheetData sheetId="0">
        <row r="4692">
          <cell r="AF4692">
            <v>484133933260</v>
          </cell>
        </row>
        <row r="4713">
          <cell r="AF4713">
            <v>102044274928</v>
          </cell>
        </row>
      </sheetData>
      <sheetData sheetId="1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F290082018"/>
      <sheetName val="F290072018"/>
    </sheetNames>
    <sheetDataSet>
      <sheetData sheetId="0">
        <row r="4692">
          <cell r="AF4692">
            <v>487001929370</v>
          </cell>
        </row>
        <row r="4713">
          <cell r="AF4713">
            <v>115262499673</v>
          </cell>
        </row>
      </sheetData>
      <sheetData sheetId="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F290092018"/>
      <sheetName val="F290082018"/>
    </sheetNames>
    <sheetDataSet>
      <sheetData sheetId="0">
        <row r="4692">
          <cell r="AF4692">
            <v>490052190470</v>
          </cell>
        </row>
        <row r="4713">
          <cell r="AF4713">
            <v>134560284380</v>
          </cell>
        </row>
      </sheetData>
      <sheetData sheetId="1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8"/>
      <sheetName val="F290092018"/>
    </sheetNames>
    <sheetDataSet>
      <sheetData sheetId="0">
        <row r="4692">
          <cell r="AF4692">
            <v>495407683082</v>
          </cell>
        </row>
        <row r="4713">
          <cell r="AF4713">
            <v>148888550579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305892617340</v>
          </cell>
        </row>
        <row r="3783">
          <cell r="AF3783">
            <v>44922914527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F290112018"/>
      <sheetName val="F290102018"/>
    </sheetNames>
    <sheetDataSet>
      <sheetData sheetId="0">
        <row r="4692">
          <cell r="AF4692">
            <v>495811518083</v>
          </cell>
        </row>
        <row r="4713">
          <cell r="AF4713">
            <v>166015135710</v>
          </cell>
        </row>
      </sheetData>
      <sheetData sheetId="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8"/>
      <sheetName val="F290112018"/>
    </sheetNames>
    <sheetDataSet>
      <sheetData sheetId="0">
        <row r="4692">
          <cell r="AF4692">
            <v>506539511579</v>
          </cell>
        </row>
        <row r="4713">
          <cell r="AF4713">
            <v>184582170136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F290012019"/>
      <sheetName val="F290122017"/>
      <sheetName val="F290122018"/>
    </sheetNames>
    <sheetDataSet>
      <sheetData sheetId="0">
        <row r="4692">
          <cell r="AF4692">
            <v>508760303743</v>
          </cell>
        </row>
        <row r="4713">
          <cell r="AF4713">
            <v>15794447231</v>
          </cell>
        </row>
      </sheetData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F290022019"/>
      <sheetName val="F290012019"/>
    </sheetNames>
    <sheetDataSet>
      <sheetData sheetId="0">
        <row r="4692">
          <cell r="AF4692">
            <v>513698708663</v>
          </cell>
        </row>
        <row r="4713">
          <cell r="AF4713">
            <v>30366288556</v>
          </cell>
        </row>
      </sheetData>
      <sheetData sheetId="1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F290022019"/>
    </sheetNames>
    <sheetDataSet>
      <sheetData sheetId="0">
        <row r="4692">
          <cell r="AF4692">
            <v>516897942445</v>
          </cell>
        </row>
        <row r="4713">
          <cell r="AF4713">
            <v>43142285223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F290042019"/>
      <sheetName val="F290022019"/>
    </sheetNames>
    <sheetDataSet>
      <sheetData sheetId="0">
        <row r="4692">
          <cell r="AF4692">
            <v>519393304674</v>
          </cell>
        </row>
        <row r="4713">
          <cell r="AF4713">
            <v>60276941111</v>
          </cell>
        </row>
      </sheetData>
      <sheetData sheetId="1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F290052019"/>
      <sheetName val="F290042019"/>
    </sheetNames>
    <sheetDataSet>
      <sheetData sheetId="0">
        <row r="4692">
          <cell r="AF4692">
            <v>522373130872</v>
          </cell>
        </row>
        <row r="4713">
          <cell r="AF4713">
            <v>75917850189</v>
          </cell>
        </row>
      </sheetData>
      <sheetData sheetId="1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F290062019"/>
      <sheetName val="F290052019"/>
    </sheetNames>
    <sheetDataSet>
      <sheetData sheetId="0">
        <row r="4692">
          <cell r="AF4692">
            <v>525118194899</v>
          </cell>
        </row>
        <row r="4713">
          <cell r="AF4713">
            <v>90928039015</v>
          </cell>
        </row>
      </sheetData>
      <sheetData sheetId="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F290072019"/>
      <sheetName val="F290062019"/>
    </sheetNames>
    <sheetDataSet>
      <sheetData sheetId="0">
        <row r="4692">
          <cell r="AF4692">
            <v>538339246375</v>
          </cell>
        </row>
        <row r="4713">
          <cell r="AF4713">
            <v>107306657989</v>
          </cell>
        </row>
      </sheetData>
      <sheetData sheetId="1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F290082019"/>
      <sheetName val="F290072019"/>
    </sheetNames>
    <sheetDataSet>
      <sheetData sheetId="0">
        <row r="4692">
          <cell r="AF4692">
            <v>546213424080</v>
          </cell>
        </row>
        <row r="4713">
          <cell r="AF4713">
            <v>122951476086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307762777497</v>
          </cell>
        </row>
        <row r="3783">
          <cell r="AF3783">
            <v>52858423001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F290092019"/>
      <sheetName val="F290082019"/>
    </sheetNames>
    <sheetDataSet>
      <sheetData sheetId="0">
        <row r="4692">
          <cell r="AF4692">
            <v>551760645326</v>
          </cell>
        </row>
        <row r="4713">
          <cell r="AF4713">
            <v>139514926521</v>
          </cell>
        </row>
      </sheetData>
      <sheetData sheetId="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F290102019"/>
      <sheetName val="F290092019"/>
    </sheetNames>
    <sheetDataSet>
      <sheetData sheetId="0">
        <row r="4692">
          <cell r="AF4692">
            <v>556457026387</v>
          </cell>
        </row>
        <row r="4713">
          <cell r="AF4713">
            <v>156681821310</v>
          </cell>
        </row>
      </sheetData>
      <sheetData sheetId="1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F290112019"/>
      <sheetName val="F290102019"/>
    </sheetNames>
    <sheetDataSet>
      <sheetData sheetId="0">
        <row r="4692">
          <cell r="AF4692">
            <v>558525650496</v>
          </cell>
        </row>
        <row r="4713">
          <cell r="AF4713">
            <v>174859491881</v>
          </cell>
        </row>
      </sheetData>
      <sheetData sheetId="1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F290122019"/>
      <sheetName val="F290112019"/>
    </sheetNames>
    <sheetDataSet>
      <sheetData sheetId="0">
        <row r="4692">
          <cell r="AF4692">
            <v>565415678729</v>
          </cell>
        </row>
        <row r="4713">
          <cell r="AF4713">
            <v>192732179580</v>
          </cell>
        </row>
      </sheetData>
      <sheetData sheetId="1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F290012020"/>
      <sheetName val="F290122019"/>
    </sheetNames>
    <sheetDataSet>
      <sheetData sheetId="0">
        <row r="4692">
          <cell r="AF4692">
            <v>568585308848</v>
          </cell>
        </row>
        <row r="4713">
          <cell r="AF4713">
            <v>13756570093</v>
          </cell>
        </row>
      </sheetData>
      <sheetData sheetId="1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F290022020"/>
    </sheetNames>
    <sheetDataSet>
      <sheetData sheetId="0">
        <row r="4692">
          <cell r="AE4692">
            <v>574101974142</v>
          </cell>
        </row>
        <row r="4713">
          <cell r="AE4713">
            <v>27307328863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F290032020"/>
      <sheetName val="F290022020"/>
    </sheetNames>
    <sheetDataSet>
      <sheetData sheetId="0">
        <row r="4692">
          <cell r="AE4692">
            <v>580411234859</v>
          </cell>
        </row>
        <row r="4713">
          <cell r="AE4713">
            <v>41215604281</v>
          </cell>
        </row>
      </sheetData>
      <sheetData sheetId="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F290042020"/>
      <sheetName val="F290032020"/>
    </sheetNames>
    <sheetDataSet>
      <sheetData sheetId="0">
        <row r="4692">
          <cell r="AE4692">
            <v>585675871712</v>
          </cell>
        </row>
        <row r="4713">
          <cell r="AE4713">
            <v>55744339236</v>
          </cell>
        </row>
      </sheetData>
      <sheetData sheetId="1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590189528225</v>
          </cell>
        </row>
        <row r="4713">
          <cell r="AE4713">
            <v>67574671547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594486383516</v>
          </cell>
        </row>
        <row r="4713">
          <cell r="AE4713">
            <v>82934229049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310294791275</v>
          </cell>
        </row>
        <row r="3783">
          <cell r="AF3783">
            <v>64141716132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603483491781</v>
          </cell>
        </row>
        <row r="4713">
          <cell r="AE4713">
            <v>95372755444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607712710309</v>
          </cell>
        </row>
        <row r="4713">
          <cell r="AE4713">
            <v>106985270145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612301890797</v>
          </cell>
        </row>
        <row r="4713">
          <cell r="AE4713">
            <v>118916852683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616373422471</v>
          </cell>
        </row>
        <row r="4713">
          <cell r="AE4713">
            <v>129666132288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618938286000</v>
          </cell>
        </row>
        <row r="4713">
          <cell r="AE4713">
            <v>146525106318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92">
          <cell r="AE4692">
            <v>626695852793</v>
          </cell>
        </row>
        <row r="4713">
          <cell r="AE4713">
            <v>164690565578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684">
          <cell r="AE4684">
            <v>86817744</v>
          </cell>
        </row>
        <row r="4692">
          <cell r="AE4692">
            <v>13653800943</v>
          </cell>
        </row>
        <row r="4713">
          <cell r="AE4713">
            <v>9795047089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905499136</v>
          </cell>
        </row>
        <row r="4726">
          <cell r="AE4726">
            <v>23723980696</v>
          </cell>
        </row>
        <row r="4747">
          <cell r="AE4747">
            <v>25396070299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3264186572</v>
          </cell>
        </row>
        <row r="4726">
          <cell r="AE4726">
            <v>29015342115</v>
          </cell>
        </row>
        <row r="4747">
          <cell r="AE4747">
            <v>37512315403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4416650838</v>
          </cell>
        </row>
        <row r="4726">
          <cell r="AE4726">
            <v>34074714889</v>
          </cell>
        </row>
        <row r="4747">
          <cell r="AE4747">
            <v>52769154842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2901113"/>
    </sheetNames>
    <sheetDataSet>
      <sheetData sheetId="0">
        <row r="3777">
          <cell r="AF3777">
            <v>314536738984</v>
          </cell>
        </row>
        <row r="3783">
          <cell r="AF3783">
            <v>71815060066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5003271680</v>
          </cell>
        </row>
        <row r="4726">
          <cell r="AE4726">
            <v>41051761239</v>
          </cell>
        </row>
        <row r="4747">
          <cell r="AE4747">
            <v>66327723959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5977067983</v>
          </cell>
        </row>
        <row r="4726">
          <cell r="AE4726">
            <v>65969701994</v>
          </cell>
        </row>
        <row r="4747">
          <cell r="AE4747">
            <v>80202256202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6051068561</v>
          </cell>
        </row>
        <row r="4726">
          <cell r="AE4726">
            <v>72168694955</v>
          </cell>
        </row>
        <row r="4747">
          <cell r="AE4747">
            <v>92693259889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6645674702</v>
          </cell>
        </row>
        <row r="4726">
          <cell r="AE4726">
            <v>81055839003</v>
          </cell>
        </row>
        <row r="4747">
          <cell r="AE4747">
            <v>108097034764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7108554525</v>
          </cell>
        </row>
        <row r="4726">
          <cell r="AE4726">
            <v>93195379115</v>
          </cell>
        </row>
        <row r="4747">
          <cell r="AE4747">
            <v>123015963818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7274344986</v>
          </cell>
        </row>
        <row r="4726">
          <cell r="AE4726">
            <v>110546184701</v>
          </cell>
        </row>
        <row r="4747">
          <cell r="AE4747">
            <v>137500805145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  <sheetName val="F290"/>
    </sheetNames>
    <sheetDataSet>
      <sheetData sheetId="0">
        <row r="4718">
          <cell r="AE4718">
            <v>7968874927</v>
          </cell>
        </row>
        <row r="4726">
          <cell r="AE4726">
            <v>124404964533</v>
          </cell>
        </row>
        <row r="4747">
          <cell r="AE4747">
            <v>155175314576</v>
          </cell>
        </row>
      </sheetData>
      <sheetData sheetId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8430833679</v>
          </cell>
        </row>
        <row r="4726">
          <cell r="AE4726">
            <v>148757386634</v>
          </cell>
        </row>
        <row r="4747">
          <cell r="AE4747">
            <v>172777125056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REST-ESTAD"/>
    </sheetNames>
    <sheetDataSet>
      <sheetData sheetId="0">
        <row r="4718">
          <cell r="AE4718">
            <v>489367961</v>
          </cell>
        </row>
        <row r="4726">
          <cell r="AE4726">
            <v>9066643245</v>
          </cell>
        </row>
        <row r="4747">
          <cell r="AE4747">
            <v>12418917536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F290"/>
      <sheetName val="REST-ESTAD"/>
    </sheetNames>
    <sheetDataSet>
      <sheetData sheetId="0"/>
      <sheetData sheetId="1">
        <row r="4718">
          <cell r="AE4718">
            <v>779806986</v>
          </cell>
        </row>
        <row r="4726">
          <cell r="AE4726">
            <v>15625015856</v>
          </cell>
        </row>
        <row r="4747">
          <cell r="AE4747">
            <v>28437148081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A1:AC196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G8" sqref="G8"/>
    </sheetView>
  </sheetViews>
  <sheetFormatPr defaultColWidth="11" defaultRowHeight="14.25"/>
  <cols>
    <col min="1" max="2" width="11" style="11"/>
    <col min="3" max="3" width="19.425" style="16" customWidth="1"/>
    <col min="4" max="4" width="28.5666666666667" style="16" customWidth="1"/>
    <col min="5" max="5" width="32.5666666666667" style="16" customWidth="1"/>
    <col min="6" max="7" width="23.425" style="16" customWidth="1"/>
    <col min="8" max="8" width="40.8583333333333" style="16" customWidth="1"/>
    <col min="9" max="9" width="37.5666666666667" style="16" customWidth="1"/>
    <col min="10" max="10" width="22.7083333333333" style="16" customWidth="1"/>
    <col min="11" max="11" width="33.1416666666667" style="16" customWidth="1"/>
    <col min="12" max="12" width="53.2833333333333" style="16" customWidth="1"/>
    <col min="13" max="13" width="36.5666666666667" style="16" customWidth="1"/>
    <col min="14" max="14" width="32.8583333333333" style="16" customWidth="1"/>
    <col min="15" max="15" width="20.425" style="16" customWidth="1"/>
    <col min="16" max="16" width="77.1416666666667" style="16" customWidth="1"/>
    <col min="17" max="18" width="20.2833333333333" style="16" customWidth="1"/>
    <col min="19" max="20" width="30.2833333333333" style="16" customWidth="1"/>
    <col min="21" max="21" width="30" style="16" customWidth="1"/>
    <col min="22" max="22" width="15.1416666666667" style="16" customWidth="1"/>
    <col min="23" max="23" width="22" style="16" customWidth="1"/>
    <col min="24" max="24" width="17.8583333333333" style="16" customWidth="1"/>
    <col min="25" max="25" width="8" style="16" customWidth="1"/>
    <col min="26" max="26" width="14.1416666666667" style="16" hidden="1" customWidth="1"/>
    <col min="27" max="27" width="11" style="16"/>
    <col min="28" max="28" width="18.8583333333333" style="16" customWidth="1"/>
    <col min="29" max="16384" width="11" style="16"/>
  </cols>
  <sheetData>
    <row r="1" s="11" customFormat="1" spans="1:24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55" t="s">
        <v>23</v>
      </c>
    </row>
    <row r="2" s="11" customFormat="1" ht="33" customHeight="1" spans="1:24">
      <c r="A2" s="20" t="s">
        <v>24</v>
      </c>
      <c r="B2" s="21" t="s">
        <v>25</v>
      </c>
      <c r="C2" s="22"/>
      <c r="D2" s="22"/>
      <c r="E2" s="22"/>
      <c r="F2" s="33" t="s">
        <v>26</v>
      </c>
      <c r="G2" s="33"/>
      <c r="H2" s="33"/>
      <c r="I2" s="38" t="s">
        <v>27</v>
      </c>
      <c r="J2" s="38"/>
      <c r="K2" s="38" t="s">
        <v>28</v>
      </c>
      <c r="L2" s="22"/>
      <c r="M2" s="22"/>
      <c r="N2" s="45"/>
      <c r="O2" s="38" t="s">
        <v>29</v>
      </c>
      <c r="P2" s="22"/>
      <c r="Q2" s="22"/>
      <c r="R2" s="22"/>
      <c r="S2" s="49"/>
      <c r="T2" s="50"/>
      <c r="U2" s="38" t="s">
        <v>30</v>
      </c>
      <c r="V2" s="22"/>
      <c r="W2" s="38" t="s">
        <v>31</v>
      </c>
      <c r="X2" s="56"/>
    </row>
    <row r="3" s="15" customFormat="1" ht="99.75" spans="1:28">
      <c r="A3" s="23" t="s">
        <v>32</v>
      </c>
      <c r="B3" s="24" t="s">
        <v>33</v>
      </c>
      <c r="C3" s="25" t="s">
        <v>34</v>
      </c>
      <c r="D3" s="25" t="s">
        <v>35</v>
      </c>
      <c r="E3" s="34" t="s">
        <v>36</v>
      </c>
      <c r="F3" s="35" t="s">
        <v>37</v>
      </c>
      <c r="G3" s="36" t="s">
        <v>38</v>
      </c>
      <c r="H3" s="37" t="s">
        <v>39</v>
      </c>
      <c r="I3" s="39" t="s">
        <v>40</v>
      </c>
      <c r="J3" s="39" t="s">
        <v>41</v>
      </c>
      <c r="K3" s="39" t="s">
        <v>42</v>
      </c>
      <c r="L3" s="39" t="s">
        <v>41</v>
      </c>
      <c r="M3" s="34" t="s">
        <v>43</v>
      </c>
      <c r="N3" s="37" t="s">
        <v>44</v>
      </c>
      <c r="O3" s="46" t="s">
        <v>45</v>
      </c>
      <c r="P3" s="46" t="s">
        <v>41</v>
      </c>
      <c r="Q3" s="51" t="s">
        <v>46</v>
      </c>
      <c r="R3" s="51" t="s">
        <v>47</v>
      </c>
      <c r="S3" s="37" t="s">
        <v>48</v>
      </c>
      <c r="T3" s="37" t="s">
        <v>49</v>
      </c>
      <c r="U3" s="39" t="s">
        <v>50</v>
      </c>
      <c r="V3" s="39" t="s">
        <v>41</v>
      </c>
      <c r="W3" s="39" t="s">
        <v>51</v>
      </c>
      <c r="X3" s="57" t="s">
        <v>41</v>
      </c>
      <c r="AB3" s="16"/>
    </row>
    <row r="4" spans="1:29">
      <c r="A4" s="26">
        <v>2014</v>
      </c>
      <c r="B4" s="27">
        <v>1</v>
      </c>
      <c r="C4" s="28">
        <v>7027931002</v>
      </c>
      <c r="D4" s="28">
        <v>1349941146</v>
      </c>
      <c r="E4" s="28">
        <f t="shared" ref="E4:E15" si="0">C4+D4</f>
        <v>8377872148</v>
      </c>
      <c r="F4" s="28">
        <v>7286986988</v>
      </c>
      <c r="G4" s="28">
        <v>1400264313</v>
      </c>
      <c r="H4" s="28">
        <f>[2]F2901113!$AF$3783</f>
        <v>8687251301</v>
      </c>
      <c r="I4" s="40">
        <f t="shared" ref="I4:I35" si="1">IFERROR(F4/C4-1,"")</f>
        <v>0.036860917662151</v>
      </c>
      <c r="J4" s="41"/>
      <c r="K4" s="40">
        <f t="shared" ref="K4:K35" si="2">IFERROR(G4/D4-1,"")</f>
        <v>0.0372780451570884</v>
      </c>
      <c r="L4" s="41"/>
      <c r="M4" s="28">
        <v>12125015088</v>
      </c>
      <c r="N4" s="28">
        <v>-6591187349</v>
      </c>
      <c r="O4" s="47">
        <f>M4/N4-1</f>
        <v>-2.839579797385</v>
      </c>
      <c r="P4" s="41" t="s">
        <v>52</v>
      </c>
      <c r="Q4" s="52">
        <v>72271811165</v>
      </c>
      <c r="R4" s="49">
        <v>293413353391.08</v>
      </c>
      <c r="S4" s="49">
        <f>[1]Hoja1!$HL$14</f>
        <v>72809023146.9061</v>
      </c>
      <c r="T4" s="49">
        <f>[2]F2901113!$AF$3777</f>
        <v>292415777440</v>
      </c>
      <c r="U4" s="58">
        <f>Q4/S4-1</f>
        <v>-0.00737837095853056</v>
      </c>
      <c r="V4" s="59"/>
      <c r="W4" s="58">
        <f>R4/T4-1</f>
        <v>0.00341149838019494</v>
      </c>
      <c r="X4" s="59"/>
      <c r="AB4" s="61"/>
      <c r="AC4" s="63"/>
    </row>
    <row r="5" spans="1:29">
      <c r="A5" s="29">
        <v>2014</v>
      </c>
      <c r="B5" s="30">
        <v>2</v>
      </c>
      <c r="C5" s="31">
        <v>7793987331</v>
      </c>
      <c r="D5" s="31">
        <v>1498931589</v>
      </c>
      <c r="E5" s="28">
        <f t="shared" si="0"/>
        <v>9292918920</v>
      </c>
      <c r="F5" s="28">
        <v>7730312833</v>
      </c>
      <c r="G5" s="31">
        <v>1601131889</v>
      </c>
      <c r="H5" s="28">
        <f>[3]F2901113!$AF$3783-SUM(H$4:H4)</f>
        <v>9331444722</v>
      </c>
      <c r="I5" s="40">
        <f t="shared" si="1"/>
        <v>-0.00816969482959506</v>
      </c>
      <c r="J5" s="42"/>
      <c r="K5" s="43">
        <f t="shared" si="2"/>
        <v>0.0681820976687681</v>
      </c>
      <c r="L5" s="44" t="s">
        <v>53</v>
      </c>
      <c r="M5" s="31">
        <v>11118602896</v>
      </c>
      <c r="N5" s="31">
        <v>4697282073</v>
      </c>
      <c r="O5" s="48">
        <f>M5/N5-1</f>
        <v>1.36702900170926</v>
      </c>
      <c r="P5" s="41" t="s">
        <v>52</v>
      </c>
      <c r="Q5" s="52">
        <v>73168033636</v>
      </c>
      <c r="R5" s="49">
        <v>297258822036.64</v>
      </c>
      <c r="S5" s="49">
        <f>[1]Hoja1!$HO$14</f>
        <v>73705459592.8644</v>
      </c>
      <c r="T5" s="49">
        <f>[3]F2901113!$AF$3777</f>
        <v>296255873926</v>
      </c>
      <c r="U5" s="58">
        <f t="shared" ref="U5:U68" si="3">Q5/S5-1</f>
        <v>-0.00729153525170356</v>
      </c>
      <c r="V5" s="59"/>
      <c r="W5" s="58">
        <f t="shared" ref="W5:W27" si="4">R5/T5-1</f>
        <v>0.00338541172989726</v>
      </c>
      <c r="X5" s="59"/>
      <c r="AB5" s="61"/>
      <c r="AC5" s="63"/>
    </row>
    <row r="6" spans="1:29">
      <c r="A6" s="29">
        <v>2014</v>
      </c>
      <c r="B6" s="30">
        <v>3</v>
      </c>
      <c r="C6" s="31">
        <v>8213495862</v>
      </c>
      <c r="D6" s="31">
        <v>1428879784</v>
      </c>
      <c r="E6" s="28">
        <f t="shared" si="0"/>
        <v>9642375646</v>
      </c>
      <c r="F6" s="28">
        <v>8177997514</v>
      </c>
      <c r="G6" s="31">
        <v>1314422530</v>
      </c>
      <c r="H6" s="28">
        <f>[4]F2901113!$AF$3783-SUM(H$4:H5)</f>
        <v>9492420044</v>
      </c>
      <c r="I6" s="40">
        <f t="shared" si="1"/>
        <v>-0.00432195359886089</v>
      </c>
      <c r="J6" s="42"/>
      <c r="K6" s="43">
        <f t="shared" si="2"/>
        <v>-0.0801027877093961</v>
      </c>
      <c r="L6" s="44" t="s">
        <v>54</v>
      </c>
      <c r="M6" s="31">
        <v>12667730669</v>
      </c>
      <c r="N6" s="31">
        <v>3301802901</v>
      </c>
      <c r="O6" s="48">
        <f>M6/N6-1</f>
        <v>2.83661019413466</v>
      </c>
      <c r="P6" s="41" t="s">
        <v>52</v>
      </c>
      <c r="Q6" s="52">
        <v>73758097888</v>
      </c>
      <c r="R6" s="49">
        <v>300189137360.43</v>
      </c>
      <c r="S6" s="49">
        <f>[1]Hoja1!$HR$14</f>
        <v>74292519206.1266</v>
      </c>
      <c r="T6" s="49">
        <f>[4]F2901113!$AF$3777</f>
        <v>299180765215</v>
      </c>
      <c r="U6" s="58">
        <f t="shared" si="3"/>
        <v>-0.00719347417259919</v>
      </c>
      <c r="V6" s="59"/>
      <c r="W6" s="58">
        <f t="shared" si="4"/>
        <v>0.00337044443584245</v>
      </c>
      <c r="X6" s="59"/>
      <c r="AB6" s="61"/>
      <c r="AC6" s="63"/>
    </row>
    <row r="7" spans="1:29">
      <c r="A7" s="29">
        <v>2014</v>
      </c>
      <c r="B7" s="30">
        <v>4</v>
      </c>
      <c r="C7" s="31">
        <v>6934260932</v>
      </c>
      <c r="D7" s="31">
        <v>1345663580</v>
      </c>
      <c r="E7" s="28">
        <f t="shared" si="0"/>
        <v>8279924512</v>
      </c>
      <c r="F7" s="28">
        <v>6884319408</v>
      </c>
      <c r="G7" s="31">
        <v>1337222868</v>
      </c>
      <c r="H7" s="28">
        <f>[5]F2901113!$AF$3783-SUM(H$4:H6)</f>
        <v>8221542276</v>
      </c>
      <c r="I7" s="40">
        <f t="shared" si="1"/>
        <v>-0.00720214086111637</v>
      </c>
      <c r="J7" s="42"/>
      <c r="K7" s="40">
        <f t="shared" si="2"/>
        <v>-0.00627252764022934</v>
      </c>
      <c r="L7" s="42"/>
      <c r="M7" s="31">
        <v>10706575151</v>
      </c>
      <c r="N7" s="31">
        <v>4668964391</v>
      </c>
      <c r="O7" s="48">
        <f>M7/N7-1</f>
        <v>1.29313703305132</v>
      </c>
      <c r="P7" s="41" t="s">
        <v>52</v>
      </c>
      <c r="Q7" s="52">
        <v>74548005619</v>
      </c>
      <c r="R7" s="49">
        <v>304142270872.79</v>
      </c>
      <c r="S7" s="49">
        <f>[1]Hoja1!$HU$14</f>
        <v>75092535295.7801</v>
      </c>
      <c r="T7" s="49">
        <f>[5]F2901113!$AF$3777</f>
        <v>303128422266</v>
      </c>
      <c r="U7" s="58">
        <f t="shared" si="3"/>
        <v>-0.00725144882424467</v>
      </c>
      <c r="V7" s="59"/>
      <c r="W7" s="58">
        <f t="shared" si="4"/>
        <v>0.00334461743709502</v>
      </c>
      <c r="X7" s="59"/>
      <c r="AB7" s="61"/>
      <c r="AC7" s="63"/>
    </row>
    <row r="8" spans="1:29">
      <c r="A8" s="29">
        <v>2014</v>
      </c>
      <c r="B8" s="30">
        <v>5</v>
      </c>
      <c r="C8" s="31">
        <v>7017869911</v>
      </c>
      <c r="D8" s="31">
        <v>1351484376</v>
      </c>
      <c r="E8" s="28">
        <f t="shared" si="0"/>
        <v>8369354287</v>
      </c>
      <c r="F8" s="28">
        <v>7858845823</v>
      </c>
      <c r="G8" s="31">
        <v>1331410361</v>
      </c>
      <c r="H8" s="28">
        <f>[6]F2901113!$AF$3783-SUM(H$4:H7)</f>
        <v>9190256184</v>
      </c>
      <c r="I8" s="43">
        <f t="shared" si="1"/>
        <v>0.119833499717889</v>
      </c>
      <c r="J8" s="42" t="s">
        <v>55</v>
      </c>
      <c r="K8" s="40">
        <f t="shared" si="2"/>
        <v>-0.0148533089664071</v>
      </c>
      <c r="L8" s="44"/>
      <c r="M8" s="31">
        <v>12879640662</v>
      </c>
      <c r="N8" s="31">
        <v>5505091527</v>
      </c>
      <c r="O8" s="48">
        <f>M8/N8-1</f>
        <v>1.33958701664289</v>
      </c>
      <c r="P8" s="41" t="s">
        <v>52</v>
      </c>
      <c r="Q8" s="52">
        <v>77513702893</v>
      </c>
      <c r="R8" s="49">
        <v>306911995360.96</v>
      </c>
      <c r="S8" s="49">
        <f>[1]Hoja1!$HX$14</f>
        <v>78059655309.1562</v>
      </c>
      <c r="T8" s="49">
        <f>[6]F2901113!$AF$3777</f>
        <v>305892617340</v>
      </c>
      <c r="U8" s="58">
        <f t="shared" si="3"/>
        <v>-0.00699404082677435</v>
      </c>
      <c r="V8" s="59"/>
      <c r="W8" s="58">
        <f t="shared" si="4"/>
        <v>0.00333247016493687</v>
      </c>
      <c r="X8" s="59"/>
      <c r="AB8" s="61"/>
      <c r="AC8" s="63"/>
    </row>
    <row r="9" spans="1:29">
      <c r="A9" s="29">
        <v>2014</v>
      </c>
      <c r="B9" s="30">
        <v>6</v>
      </c>
      <c r="C9" s="31">
        <v>5347033591</v>
      </c>
      <c r="D9" s="31">
        <v>2411493082</v>
      </c>
      <c r="E9" s="28">
        <f t="shared" si="0"/>
        <v>7758526673</v>
      </c>
      <c r="F9" s="28">
        <v>5689627548</v>
      </c>
      <c r="G9" s="31">
        <v>2245880926</v>
      </c>
      <c r="H9" s="28">
        <f>[7]F2901113!$AF$3783-SUM(H$4:H8)</f>
        <v>7935508474</v>
      </c>
      <c r="I9" s="43">
        <f t="shared" si="1"/>
        <v>0.0640717794585479</v>
      </c>
      <c r="J9" s="42" t="s">
        <v>55</v>
      </c>
      <c r="K9" s="43">
        <f t="shared" si="2"/>
        <v>-0.0686761895508519</v>
      </c>
      <c r="L9" s="44" t="s">
        <v>54</v>
      </c>
      <c r="M9" s="31">
        <v>12932859208</v>
      </c>
      <c r="N9" s="31">
        <v>4782663209</v>
      </c>
      <c r="O9" s="48">
        <f t="shared" ref="O9:O72" si="5">M9/N9-1</f>
        <v>1.70411246680782</v>
      </c>
      <c r="P9" s="41" t="s">
        <v>52</v>
      </c>
      <c r="Q9" s="52">
        <v>80566800271</v>
      </c>
      <c r="R9" s="49">
        <v>308782877290.68</v>
      </c>
      <c r="S9" s="49">
        <f>[1]Hoja1!$IA$14</f>
        <v>81120074672.8582</v>
      </c>
      <c r="T9" s="49">
        <f>[7]F2901113!$AF$3777</f>
        <v>307762777497</v>
      </c>
      <c r="U9" s="58">
        <f t="shared" si="3"/>
        <v>-0.00682043753151651</v>
      </c>
      <c r="V9" s="59"/>
      <c r="W9" s="58">
        <f t="shared" si="4"/>
        <v>0.00331456520498152</v>
      </c>
      <c r="X9" s="59"/>
      <c r="AB9" s="61"/>
      <c r="AC9" s="63"/>
    </row>
    <row r="10" spans="1:29">
      <c r="A10" s="29">
        <v>2014</v>
      </c>
      <c r="B10" s="30">
        <v>7</v>
      </c>
      <c r="C10" s="31">
        <v>9911976720</v>
      </c>
      <c r="D10" s="31">
        <v>1340141862</v>
      </c>
      <c r="E10" s="28">
        <f t="shared" si="0"/>
        <v>11252118582</v>
      </c>
      <c r="F10" s="28">
        <v>9961901765</v>
      </c>
      <c r="G10" s="31">
        <v>1321391366</v>
      </c>
      <c r="H10" s="28">
        <f>[8]F2901113!$AF$3783-SUM(H$4:H9)</f>
        <v>11283293131</v>
      </c>
      <c r="I10" s="40">
        <f t="shared" si="1"/>
        <v>0.00503684042147357</v>
      </c>
      <c r="J10" s="42"/>
      <c r="K10" s="40">
        <f t="shared" si="2"/>
        <v>-0.0139914262300688</v>
      </c>
      <c r="L10" s="42"/>
      <c r="M10" s="31">
        <v>15429782246</v>
      </c>
      <c r="N10" s="31">
        <v>4556241917</v>
      </c>
      <c r="O10" s="48">
        <f t="shared" si="5"/>
        <v>2.38651514276036</v>
      </c>
      <c r="P10" s="41" t="s">
        <v>52</v>
      </c>
      <c r="Q10" s="52">
        <v>82537647701</v>
      </c>
      <c r="R10" s="49">
        <v>311320477997.27</v>
      </c>
      <c r="S10" s="49">
        <f>[1]Hoja1!$ID$14</f>
        <v>83095724977.6489</v>
      </c>
      <c r="T10" s="49">
        <f>[8]F2901113!$AF$3777</f>
        <v>310294791275</v>
      </c>
      <c r="U10" s="58">
        <f t="shared" si="3"/>
        <v>-0.00671607687157205</v>
      </c>
      <c r="V10" s="59"/>
      <c r="W10" s="58">
        <f t="shared" si="4"/>
        <v>0.00330552349285496</v>
      </c>
      <c r="X10" s="59"/>
      <c r="AB10" s="61"/>
      <c r="AC10" s="63"/>
    </row>
    <row r="11" spans="1:29">
      <c r="A11" s="29">
        <v>2014</v>
      </c>
      <c r="B11" s="30">
        <v>8</v>
      </c>
      <c r="C11" s="31">
        <v>6325931279</v>
      </c>
      <c r="D11" s="31">
        <v>1535956060</v>
      </c>
      <c r="E11" s="28">
        <f t="shared" si="0"/>
        <v>7861887339</v>
      </c>
      <c r="F11" s="28">
        <v>6151812575</v>
      </c>
      <c r="G11" s="31">
        <v>1521531359</v>
      </c>
      <c r="H11" s="28">
        <f>[9]F2901113!$AF$3783-SUM(H$4:H10)</f>
        <v>7673343934</v>
      </c>
      <c r="I11" s="40">
        <f t="shared" si="1"/>
        <v>-0.0275245961931355</v>
      </c>
      <c r="J11" s="42"/>
      <c r="K11" s="40">
        <f t="shared" si="2"/>
        <v>-0.00939135003640668</v>
      </c>
      <c r="L11" s="42"/>
      <c r="M11" s="31">
        <v>11648459580</v>
      </c>
      <c r="N11" s="31">
        <v>1183543180</v>
      </c>
      <c r="O11" s="48">
        <f t="shared" si="5"/>
        <v>8.84202332186985</v>
      </c>
      <c r="P11" s="41" t="s">
        <v>52</v>
      </c>
      <c r="Q11" s="52">
        <v>80604908199</v>
      </c>
      <c r="R11" s="49">
        <v>315568066704.74</v>
      </c>
      <c r="S11" s="49">
        <f>[1]Hoja1!$IG$14</f>
        <v>81169639044.8922</v>
      </c>
      <c r="T11" s="49">
        <f>[9]F2901113!$AF$3777</f>
        <v>314536738984</v>
      </c>
      <c r="U11" s="58">
        <f t="shared" si="3"/>
        <v>-0.0069574147740129</v>
      </c>
      <c r="V11" s="59"/>
      <c r="W11" s="58">
        <f t="shared" si="4"/>
        <v>0.00327887840406604</v>
      </c>
      <c r="X11" s="59"/>
      <c r="AB11" s="61"/>
      <c r="AC11" s="63"/>
    </row>
    <row r="12" spans="1:29">
      <c r="A12" s="29">
        <v>2014</v>
      </c>
      <c r="B12" s="30">
        <v>9</v>
      </c>
      <c r="C12" s="31">
        <v>8785998123</v>
      </c>
      <c r="D12" s="31">
        <v>1386724408</v>
      </c>
      <c r="E12" s="28">
        <f t="shared" si="0"/>
        <v>10172722531</v>
      </c>
      <c r="F12" s="28">
        <v>8810361653</v>
      </c>
      <c r="G12" s="31">
        <v>1393743372</v>
      </c>
      <c r="H12" s="28">
        <f>[10]F2901113!$AF$3783-SUM(H$4:H11)</f>
        <v>10204105025</v>
      </c>
      <c r="I12" s="40">
        <f t="shared" si="1"/>
        <v>0.00277299512917284</v>
      </c>
      <c r="J12" s="42"/>
      <c r="K12" s="40">
        <f t="shared" si="2"/>
        <v>0.00506154212005483</v>
      </c>
      <c r="L12" s="42"/>
      <c r="M12" s="31">
        <v>17299229283</v>
      </c>
      <c r="N12" s="31">
        <v>10844181987</v>
      </c>
      <c r="O12" s="48">
        <f t="shared" si="5"/>
        <v>0.595254423407714</v>
      </c>
      <c r="P12" s="41" t="s">
        <v>52</v>
      </c>
      <c r="Q12" s="52">
        <v>86366465301</v>
      </c>
      <c r="R12" s="49">
        <v>319392624665.841</v>
      </c>
      <c r="S12" s="49">
        <f>[1]Hoja1!$IJ$14</f>
        <v>88276696529.3711</v>
      </c>
      <c r="T12" s="49">
        <f>[10]F2901113!$AF$3777</f>
        <v>318355601327</v>
      </c>
      <c r="U12" s="58">
        <f t="shared" si="3"/>
        <v>-0.0216391335819359</v>
      </c>
      <c r="V12" s="59"/>
      <c r="W12" s="58">
        <f t="shared" si="4"/>
        <v>0.00325743707513992</v>
      </c>
      <c r="X12" s="59"/>
      <c r="AB12" s="61"/>
      <c r="AC12" s="63"/>
    </row>
    <row r="13" spans="1:29">
      <c r="A13" s="29">
        <v>2014</v>
      </c>
      <c r="B13" s="30">
        <v>10</v>
      </c>
      <c r="C13" s="32">
        <v>8776281158</v>
      </c>
      <c r="D13" s="31">
        <v>1379427982</v>
      </c>
      <c r="E13" s="28">
        <f t="shared" si="0"/>
        <v>10155709140</v>
      </c>
      <c r="F13" s="28">
        <v>8734048049</v>
      </c>
      <c r="G13" s="31">
        <v>1434153990</v>
      </c>
      <c r="H13" s="28">
        <f>[11]F2901113!$AF$3783-SUM(H$4:H12)</f>
        <v>10168202039</v>
      </c>
      <c r="I13" s="40">
        <f t="shared" si="1"/>
        <v>-0.00481218733079247</v>
      </c>
      <c r="J13" s="42"/>
      <c r="K13" s="40">
        <f t="shared" si="2"/>
        <v>0.0396729722132025</v>
      </c>
      <c r="L13" s="42"/>
      <c r="M13" s="31">
        <v>14070455591</v>
      </c>
      <c r="N13" s="31">
        <v>4766090992</v>
      </c>
      <c r="O13" s="48">
        <f t="shared" si="5"/>
        <v>1.95220037020225</v>
      </c>
      <c r="P13" s="41" t="s">
        <v>52</v>
      </c>
      <c r="Q13" s="52">
        <v>86684381851</v>
      </c>
      <c r="R13" s="49">
        <v>323248140662.62</v>
      </c>
      <c r="S13" s="49">
        <f>[1]Hoja1!$IM$14</f>
        <v>88931027260.161</v>
      </c>
      <c r="T13" s="49">
        <f>[11]F2901113!$AF$3777</f>
        <v>322205366532</v>
      </c>
      <c r="U13" s="58">
        <f t="shared" si="3"/>
        <v>-0.025262784861223</v>
      </c>
      <c r="V13" s="59"/>
      <c r="W13" s="58">
        <f t="shared" si="4"/>
        <v>0.0032363648745013</v>
      </c>
      <c r="X13" s="59"/>
      <c r="AB13" s="61"/>
      <c r="AC13" s="63"/>
    </row>
    <row r="14" spans="1:29">
      <c r="A14" s="29">
        <v>2014</v>
      </c>
      <c r="B14" s="30">
        <v>11</v>
      </c>
      <c r="C14" s="31">
        <v>9385621357</v>
      </c>
      <c r="D14" s="31">
        <v>2593674718</v>
      </c>
      <c r="E14" s="28">
        <f t="shared" si="0"/>
        <v>11979296075</v>
      </c>
      <c r="F14" s="28">
        <v>9880670066</v>
      </c>
      <c r="G14" s="31">
        <v>2693272263</v>
      </c>
      <c r="H14" s="28">
        <f>[12]F2901113!$AF$3783-SUM(H$4:H13)</f>
        <v>12573942329</v>
      </c>
      <c r="I14" s="43">
        <f t="shared" si="1"/>
        <v>0.0527454379598196</v>
      </c>
      <c r="J14" s="42" t="s">
        <v>55</v>
      </c>
      <c r="K14" s="40">
        <f t="shared" si="2"/>
        <v>0.0384001680352579</v>
      </c>
      <c r="L14" s="44"/>
      <c r="M14" s="31">
        <v>15161656121</v>
      </c>
      <c r="N14" s="31">
        <v>4320427856</v>
      </c>
      <c r="O14" s="48">
        <f t="shared" si="5"/>
        <v>2.50929505741989</v>
      </c>
      <c r="P14" s="41" t="s">
        <v>52</v>
      </c>
      <c r="Q14" s="52">
        <v>87894553736</v>
      </c>
      <c r="R14" s="49">
        <v>326919523942.82</v>
      </c>
      <c r="S14" s="49">
        <f>[1]Hoja1!$IP$14</f>
        <v>89818112731.3051</v>
      </c>
      <c r="T14" s="49">
        <f>[12]F2901113!$AF$3777</f>
        <v>325870943286</v>
      </c>
      <c r="U14" s="58">
        <f t="shared" si="3"/>
        <v>-0.0214161591332866</v>
      </c>
      <c r="V14" s="59"/>
      <c r="W14" s="58">
        <f t="shared" si="4"/>
        <v>0.00321777893495634</v>
      </c>
      <c r="X14" s="59"/>
      <c r="AB14" s="61"/>
      <c r="AC14" s="63"/>
    </row>
    <row r="15" spans="1:29">
      <c r="A15" s="29">
        <v>2014</v>
      </c>
      <c r="B15" s="30">
        <v>12</v>
      </c>
      <c r="C15" s="31">
        <v>11964944139</v>
      </c>
      <c r="D15" s="31">
        <v>1429541021</v>
      </c>
      <c r="E15" s="28">
        <f t="shared" si="0"/>
        <v>13394485160</v>
      </c>
      <c r="F15" s="28">
        <v>12409289787</v>
      </c>
      <c r="G15" s="31">
        <v>1592019661</v>
      </c>
      <c r="H15" s="28">
        <f>[13]F2901113!$AF$3783-SUM(H$4:H14)</f>
        <v>14001309448</v>
      </c>
      <c r="I15" s="40">
        <f t="shared" si="1"/>
        <v>0.0371372939846535</v>
      </c>
      <c r="J15" s="42"/>
      <c r="K15" s="43">
        <f t="shared" si="2"/>
        <v>0.113657906707946</v>
      </c>
      <c r="L15" s="44" t="s">
        <v>53</v>
      </c>
      <c r="M15" s="31">
        <v>14344507997</v>
      </c>
      <c r="N15" s="31">
        <v>2733598080</v>
      </c>
      <c r="O15" s="48">
        <f t="shared" si="5"/>
        <v>4.24748246713723</v>
      </c>
      <c r="P15" s="41" t="s">
        <v>52</v>
      </c>
      <c r="Q15" s="52">
        <v>88421171333</v>
      </c>
      <c r="R15" s="49">
        <v>328949063721.76</v>
      </c>
      <c r="S15" s="49">
        <f>[1]Hoja1!$IS$14</f>
        <v>90523156597.5815</v>
      </c>
      <c r="T15" s="49">
        <f>[13]F2901113!$AF$3777</f>
        <v>327899497498</v>
      </c>
      <c r="U15" s="58">
        <f t="shared" si="3"/>
        <v>-0.0232204150140927</v>
      </c>
      <c r="V15" s="59"/>
      <c r="W15" s="58">
        <f t="shared" si="4"/>
        <v>0.00320087780484135</v>
      </c>
      <c r="X15" s="59"/>
      <c r="AB15" s="61"/>
      <c r="AC15" s="63"/>
    </row>
    <row r="16" spans="1:29">
      <c r="A16" s="29">
        <f>A4+1</f>
        <v>2015</v>
      </c>
      <c r="B16" s="30">
        <f t="shared" ref="B16:B47" si="6">B4</f>
        <v>1</v>
      </c>
      <c r="C16" s="31">
        <v>9488482865</v>
      </c>
      <c r="D16" s="31">
        <v>1449157777</v>
      </c>
      <c r="E16" s="28">
        <f t="shared" ref="E16:E79" si="7">C16+D16</f>
        <v>10937640642</v>
      </c>
      <c r="F16" s="31">
        <v>9562817504</v>
      </c>
      <c r="G16" s="31">
        <v>1484064304</v>
      </c>
      <c r="H16" s="28">
        <f>[14]F2901113!$AF$3783</f>
        <v>11046881808</v>
      </c>
      <c r="I16" s="40">
        <f t="shared" si="1"/>
        <v>0.00783419647351602</v>
      </c>
      <c r="J16" s="42"/>
      <c r="K16" s="40">
        <f t="shared" si="2"/>
        <v>0.0240874579386809</v>
      </c>
      <c r="L16" s="42"/>
      <c r="M16" s="31">
        <v>11777783391</v>
      </c>
      <c r="N16" s="31">
        <v>1833805935</v>
      </c>
      <c r="O16" s="48">
        <f t="shared" si="5"/>
        <v>5.42258985327147</v>
      </c>
      <c r="P16" s="41" t="s">
        <v>52</v>
      </c>
      <c r="Q16" s="53">
        <v>87159092939</v>
      </c>
      <c r="R16" s="31">
        <v>321332804810.8</v>
      </c>
      <c r="S16" s="49">
        <f>[1]Hoja1!$IV$14</f>
        <v>89405113236.3067</v>
      </c>
      <c r="T16" s="49">
        <f>[14]F2901113!$AF$3777</f>
        <v>330989722838</v>
      </c>
      <c r="U16" s="58">
        <f t="shared" si="3"/>
        <v>-0.0251218327006674</v>
      </c>
      <c r="V16" s="59"/>
      <c r="W16" s="58">
        <f t="shared" si="4"/>
        <v>-0.0291758848111628</v>
      </c>
      <c r="X16" s="59"/>
      <c r="Z16" s="62"/>
      <c r="AB16" s="61"/>
      <c r="AC16" s="63"/>
    </row>
    <row r="17" spans="1:29">
      <c r="A17" s="29">
        <f t="shared" ref="A17:A80" si="8">A5+1</f>
        <v>2015</v>
      </c>
      <c r="B17" s="30">
        <f t="shared" si="6"/>
        <v>2</v>
      </c>
      <c r="C17" s="31">
        <v>10757416513</v>
      </c>
      <c r="D17" s="31">
        <v>1630334198</v>
      </c>
      <c r="E17" s="28">
        <f t="shared" si="7"/>
        <v>12387750711</v>
      </c>
      <c r="F17" s="31">
        <v>10966967632</v>
      </c>
      <c r="G17" s="31">
        <v>1635289955</v>
      </c>
      <c r="H17" s="28">
        <f>[15]F2901113!$AF$3783-H16</f>
        <v>12602257587</v>
      </c>
      <c r="I17" s="40">
        <f t="shared" si="1"/>
        <v>0.0194796881525192</v>
      </c>
      <c r="J17" s="42"/>
      <c r="K17" s="40">
        <f t="shared" si="2"/>
        <v>0.0030397184859885</v>
      </c>
      <c r="L17" s="44"/>
      <c r="M17" s="31">
        <v>16932038437</v>
      </c>
      <c r="N17" s="31">
        <v>6237459714</v>
      </c>
      <c r="O17" s="48">
        <f t="shared" si="5"/>
        <v>1.71457279299071</v>
      </c>
      <c r="P17" s="41" t="s">
        <v>52</v>
      </c>
      <c r="Q17" s="53">
        <v>91116890733</v>
      </c>
      <c r="R17" s="31">
        <v>334549942532.339</v>
      </c>
      <c r="S17" s="49">
        <f>[1]Hoja1!$IY$14</f>
        <v>93141714211.5006</v>
      </c>
      <c r="T17" s="49">
        <f>[15]F2901113!$AF$3777</f>
        <v>333486105265</v>
      </c>
      <c r="U17" s="58">
        <f t="shared" si="3"/>
        <v>-0.0217391691321331</v>
      </c>
      <c r="V17" s="59"/>
      <c r="W17" s="58">
        <f t="shared" si="4"/>
        <v>0.00319004975183024</v>
      </c>
      <c r="X17" s="59"/>
      <c r="AB17" s="61"/>
      <c r="AC17" s="63"/>
    </row>
    <row r="18" spans="1:29">
      <c r="A18" s="29">
        <f t="shared" si="8"/>
        <v>2015</v>
      </c>
      <c r="B18" s="30">
        <f t="shared" si="6"/>
        <v>3</v>
      </c>
      <c r="C18" s="31">
        <v>8141597398</v>
      </c>
      <c r="D18" s="31">
        <v>1472670967</v>
      </c>
      <c r="E18" s="28">
        <f t="shared" si="7"/>
        <v>9614268365</v>
      </c>
      <c r="F18" s="31">
        <v>8198338726</v>
      </c>
      <c r="G18" s="31">
        <v>1463324816</v>
      </c>
      <c r="H18" s="28">
        <f>[16]F2901113!$AF$4025-SUM(H$16:H17)</f>
        <v>9661663542</v>
      </c>
      <c r="I18" s="40">
        <f t="shared" si="1"/>
        <v>0.00696931145403212</v>
      </c>
      <c r="J18" s="42"/>
      <c r="K18" s="40">
        <f t="shared" si="2"/>
        <v>-0.00634639455073882</v>
      </c>
      <c r="L18" s="42"/>
      <c r="M18" s="31">
        <v>12786278805</v>
      </c>
      <c r="N18" s="31">
        <v>3253030492</v>
      </c>
      <c r="O18" s="48">
        <f t="shared" si="5"/>
        <v>2.93057453240743</v>
      </c>
      <c r="P18" s="41" t="s">
        <v>52</v>
      </c>
      <c r="Q18" s="53">
        <v>91668328323</v>
      </c>
      <c r="R18" s="31">
        <v>337494879523.041</v>
      </c>
      <c r="S18" s="49">
        <f>[1]Hoja1!$JB$14</f>
        <v>93443859664.0764</v>
      </c>
      <c r="T18" s="49">
        <f>[16]F2901113!$AF$4007</f>
        <v>336506832120</v>
      </c>
      <c r="U18" s="58">
        <f t="shared" si="3"/>
        <v>-0.019001048837872</v>
      </c>
      <c r="V18" s="59"/>
      <c r="W18" s="58">
        <f t="shared" si="4"/>
        <v>0.00293618823967345</v>
      </c>
      <c r="X18" s="59"/>
      <c r="AB18" s="61"/>
      <c r="AC18" s="63"/>
    </row>
    <row r="19" spans="1:29">
      <c r="A19" s="29">
        <f t="shared" si="8"/>
        <v>2015</v>
      </c>
      <c r="B19" s="30">
        <f t="shared" si="6"/>
        <v>4</v>
      </c>
      <c r="C19" s="31">
        <v>9997627618</v>
      </c>
      <c r="D19" s="31">
        <v>1474218273</v>
      </c>
      <c r="E19" s="28">
        <f t="shared" si="7"/>
        <v>11471845891</v>
      </c>
      <c r="F19" s="31">
        <v>10137393515</v>
      </c>
      <c r="G19" s="31">
        <v>1416420084</v>
      </c>
      <c r="H19" s="28">
        <f>[17]F2901113!$AG$4030-SUM(H$16:H18)</f>
        <v>11553813599</v>
      </c>
      <c r="I19" s="40">
        <f t="shared" si="1"/>
        <v>0.0139799062677992</v>
      </c>
      <c r="J19" s="42"/>
      <c r="K19" s="40">
        <f t="shared" si="2"/>
        <v>-0.0392059914454743</v>
      </c>
      <c r="L19" s="44"/>
      <c r="M19" s="31">
        <v>15526399341</v>
      </c>
      <c r="N19" s="31">
        <v>4946572338</v>
      </c>
      <c r="O19" s="48">
        <f t="shared" si="5"/>
        <v>2.13881982918249</v>
      </c>
      <c r="P19" s="41" t="s">
        <v>52</v>
      </c>
      <c r="Q19" s="53">
        <v>94588640596</v>
      </c>
      <c r="R19" s="31">
        <v>340046421816</v>
      </c>
      <c r="S19" s="49">
        <f>[1]Hoja1!$JE$14</f>
        <v>96015026023.5846</v>
      </c>
      <c r="T19" s="49">
        <f>[17]F2901113!$AG$4007</f>
        <v>338977479723</v>
      </c>
      <c r="U19" s="58">
        <f t="shared" si="3"/>
        <v>-0.0148558562826845</v>
      </c>
      <c r="V19" s="59"/>
      <c r="W19" s="58">
        <f t="shared" si="4"/>
        <v>0.00315343100041199</v>
      </c>
      <c r="X19" s="59"/>
      <c r="AB19" s="61"/>
      <c r="AC19" s="63"/>
    </row>
    <row r="20" spans="1:29">
      <c r="A20" s="29">
        <f t="shared" si="8"/>
        <v>2015</v>
      </c>
      <c r="B20" s="30">
        <f t="shared" si="6"/>
        <v>5</v>
      </c>
      <c r="C20" s="31">
        <v>7878526203</v>
      </c>
      <c r="D20" s="31">
        <v>1512244423</v>
      </c>
      <c r="E20" s="28">
        <f t="shared" si="7"/>
        <v>9390770626</v>
      </c>
      <c r="F20" s="31">
        <v>8030215668</v>
      </c>
      <c r="G20" s="31">
        <v>1546894155</v>
      </c>
      <c r="H20" s="28">
        <f>[18]F2901113!$AG$4030-SUM(H$16:H19)</f>
        <v>9577109823</v>
      </c>
      <c r="I20" s="40">
        <f t="shared" si="1"/>
        <v>0.0192535330963599</v>
      </c>
      <c r="J20" s="42"/>
      <c r="K20" s="40">
        <f t="shared" si="2"/>
        <v>0.0229127854419602</v>
      </c>
      <c r="L20" s="42"/>
      <c r="M20" s="31">
        <v>15585712186</v>
      </c>
      <c r="N20" s="31">
        <v>6164413238</v>
      </c>
      <c r="O20" s="48">
        <f t="shared" si="5"/>
        <v>1.52833669390027</v>
      </c>
      <c r="P20" s="41" t="s">
        <v>52</v>
      </c>
      <c r="Q20" s="53">
        <v>96493519499</v>
      </c>
      <c r="R20" s="31">
        <v>343343857473</v>
      </c>
      <c r="S20" s="31">
        <f>[1]Hoja1!$JH$14</f>
        <v>98906537107.0511</v>
      </c>
      <c r="T20" s="49">
        <f>[18]F2901113!$AG$4007</f>
        <v>342272331138</v>
      </c>
      <c r="U20" s="58">
        <f t="shared" si="3"/>
        <v>-0.0243969476500769</v>
      </c>
      <c r="V20" s="59"/>
      <c r="W20" s="58">
        <f t="shared" si="4"/>
        <v>0.00313062505355699</v>
      </c>
      <c r="X20" s="59"/>
      <c r="AB20" s="61"/>
      <c r="AC20" s="63"/>
    </row>
    <row r="21" spans="1:29">
      <c r="A21" s="29">
        <f t="shared" si="8"/>
        <v>2015</v>
      </c>
      <c r="B21" s="30">
        <f t="shared" si="6"/>
        <v>6</v>
      </c>
      <c r="C21" s="31">
        <v>9969808703</v>
      </c>
      <c r="D21" s="31">
        <v>2661404315</v>
      </c>
      <c r="E21" s="28">
        <f t="shared" si="7"/>
        <v>12631213018</v>
      </c>
      <c r="F21" s="31">
        <v>9912550096</v>
      </c>
      <c r="G21" s="31">
        <v>2735453895</v>
      </c>
      <c r="H21" s="28">
        <f>[19]F2901113!$AG$4030-SUM(H$16:H20)</f>
        <v>12648003991</v>
      </c>
      <c r="I21" s="40">
        <f t="shared" si="1"/>
        <v>-0.00574320016619478</v>
      </c>
      <c r="J21" s="42"/>
      <c r="K21" s="40">
        <f t="shared" si="2"/>
        <v>0.0278234988884054</v>
      </c>
      <c r="L21" s="42"/>
      <c r="M21" s="31">
        <v>17655606834</v>
      </c>
      <c r="N21" s="31">
        <v>4983407435</v>
      </c>
      <c r="O21" s="48">
        <f t="shared" si="5"/>
        <v>2.54287845501037</v>
      </c>
      <c r="P21" s="41" t="s">
        <v>52</v>
      </c>
      <c r="Q21" s="53">
        <v>99314027933</v>
      </c>
      <c r="R21" s="31">
        <v>345668797176</v>
      </c>
      <c r="S21" s="31">
        <f>[1]Hoja1!$JK$14</f>
        <v>101219874938.495</v>
      </c>
      <c r="T21" s="49">
        <f>[19]F2901113!$AG$4007</f>
        <v>344599860171</v>
      </c>
      <c r="U21" s="58">
        <f t="shared" si="3"/>
        <v>-0.0188287824565436</v>
      </c>
      <c r="V21" s="59"/>
      <c r="W21" s="58">
        <f t="shared" si="4"/>
        <v>0.00310196586983391</v>
      </c>
      <c r="X21" s="59"/>
      <c r="AB21" s="61"/>
      <c r="AC21" s="63"/>
    </row>
    <row r="22" spans="1:29">
      <c r="A22" s="29">
        <f t="shared" si="8"/>
        <v>2015</v>
      </c>
      <c r="B22" s="30">
        <f t="shared" si="6"/>
        <v>7</v>
      </c>
      <c r="C22" s="31">
        <v>8283848659</v>
      </c>
      <c r="D22" s="31">
        <v>1959734083</v>
      </c>
      <c r="E22" s="28">
        <f t="shared" si="7"/>
        <v>10243582742</v>
      </c>
      <c r="F22" s="31">
        <v>8792233029</v>
      </c>
      <c r="G22" s="31">
        <v>1971628672</v>
      </c>
      <c r="H22" s="28">
        <f>[20]F2901113!$AG$4030-SUM(H$16:H21)</f>
        <v>10763861701</v>
      </c>
      <c r="I22" s="43">
        <f t="shared" si="1"/>
        <v>0.0613705526171902</v>
      </c>
      <c r="J22" s="42" t="s">
        <v>55</v>
      </c>
      <c r="K22" s="40">
        <f t="shared" si="2"/>
        <v>0.00606949131679713</v>
      </c>
      <c r="L22" s="44"/>
      <c r="M22" s="31">
        <v>17019841134</v>
      </c>
      <c r="N22" s="31">
        <v>7098986454</v>
      </c>
      <c r="O22" s="48">
        <f t="shared" si="5"/>
        <v>1.3975029737393</v>
      </c>
      <c r="P22" s="41" t="s">
        <v>52</v>
      </c>
      <c r="Q22" s="53">
        <v>103108048626</v>
      </c>
      <c r="R22" s="31">
        <v>349445657761</v>
      </c>
      <c r="S22" s="31">
        <f>[1]Hoja1!$JN$14</f>
        <v>105583708576.977</v>
      </c>
      <c r="T22" s="49">
        <f>[20]F2901113!$AG$4007</f>
        <v>348374132607</v>
      </c>
      <c r="U22" s="58">
        <f t="shared" si="3"/>
        <v>-0.0234473668745231</v>
      </c>
      <c r="V22" s="59"/>
      <c r="W22" s="58">
        <f t="shared" si="4"/>
        <v>0.00307578850927137</v>
      </c>
      <c r="X22" s="59"/>
      <c r="AB22" s="61"/>
      <c r="AC22" s="63"/>
    </row>
    <row r="23" spans="1:29">
      <c r="A23" s="29">
        <f t="shared" si="8"/>
        <v>2015</v>
      </c>
      <c r="B23" s="30">
        <f t="shared" si="6"/>
        <v>8</v>
      </c>
      <c r="C23" s="31">
        <v>9157461283</v>
      </c>
      <c r="D23" s="31">
        <v>1510493180</v>
      </c>
      <c r="E23" s="28">
        <f t="shared" si="7"/>
        <v>10667954463</v>
      </c>
      <c r="F23" s="31">
        <v>9136020407</v>
      </c>
      <c r="G23" s="31">
        <v>1513712798</v>
      </c>
      <c r="H23" s="28">
        <f>[21]F2901113!$AG$4030-SUM(H$16:H22)</f>
        <v>10649733205</v>
      </c>
      <c r="I23" s="40">
        <f t="shared" si="1"/>
        <v>-0.00234135589956608</v>
      </c>
      <c r="J23" s="42"/>
      <c r="K23" s="40">
        <f t="shared" si="2"/>
        <v>0.00213150118294481</v>
      </c>
      <c r="L23" s="42"/>
      <c r="M23" s="31">
        <v>12978170192</v>
      </c>
      <c r="N23" s="31">
        <v>2397074505</v>
      </c>
      <c r="O23" s="48">
        <f t="shared" si="5"/>
        <v>4.41417055036427</v>
      </c>
      <c r="P23" s="41" t="s">
        <v>52</v>
      </c>
      <c r="Q23" s="53">
        <v>102801194490</v>
      </c>
      <c r="R23" s="31">
        <v>352464913829</v>
      </c>
      <c r="S23" s="31">
        <f>[1]Hoja1!$JQ$14</f>
        <v>105025878952.129</v>
      </c>
      <c r="T23" s="49">
        <f>[21]F2901113!$AG$4007</f>
        <v>351390779626</v>
      </c>
      <c r="U23" s="58">
        <f t="shared" si="3"/>
        <v>-0.0211822503589101</v>
      </c>
      <c r="V23" s="59"/>
      <c r="W23" s="58">
        <f t="shared" si="4"/>
        <v>0.00305680816139575</v>
      </c>
      <c r="X23" s="59"/>
      <c r="AB23" s="61"/>
      <c r="AC23" s="63"/>
    </row>
    <row r="24" spans="1:29">
      <c r="A24" s="29">
        <f t="shared" si="8"/>
        <v>2015</v>
      </c>
      <c r="B24" s="30">
        <f t="shared" si="6"/>
        <v>9</v>
      </c>
      <c r="C24" s="31">
        <v>10282365370</v>
      </c>
      <c r="D24" s="31">
        <v>1765729428</v>
      </c>
      <c r="E24" s="28">
        <f t="shared" si="7"/>
        <v>12048094798</v>
      </c>
      <c r="F24" s="31">
        <v>10776281026</v>
      </c>
      <c r="G24" s="31">
        <v>1805747858</v>
      </c>
      <c r="H24" s="28">
        <f>[22]F2901113!$AG$4030-SUM(H$16:H23)</f>
        <v>12582028884</v>
      </c>
      <c r="I24" s="40">
        <f t="shared" si="1"/>
        <v>0.0480352174064012</v>
      </c>
      <c r="J24" s="42"/>
      <c r="K24" s="40">
        <f t="shared" si="2"/>
        <v>0.0226639650251104</v>
      </c>
      <c r="L24" s="44"/>
      <c r="M24" s="31">
        <v>15290723857</v>
      </c>
      <c r="N24" s="31">
        <v>5685332518</v>
      </c>
      <c r="O24" s="48">
        <f t="shared" si="5"/>
        <v>1.6895038783728</v>
      </c>
      <c r="P24" s="41" t="s">
        <v>52</v>
      </c>
      <c r="Q24" s="53">
        <v>104952736317</v>
      </c>
      <c r="R24" s="31">
        <v>355984072044</v>
      </c>
      <c r="S24" s="31">
        <f>[1]Hoja1!$JT$14</f>
        <v>107155894510.593</v>
      </c>
      <c r="T24" s="49">
        <f>[22]F2901113!$AG$4007</f>
        <v>354907307800</v>
      </c>
      <c r="U24" s="58">
        <f t="shared" si="3"/>
        <v>-0.0205603079854384</v>
      </c>
      <c r="V24" s="59"/>
      <c r="W24" s="58">
        <f t="shared" si="4"/>
        <v>0.00303393088937676</v>
      </c>
      <c r="X24" s="59"/>
      <c r="AB24" s="61"/>
      <c r="AC24" s="63"/>
    </row>
    <row r="25" spans="1:29">
      <c r="A25" s="29">
        <f t="shared" si="8"/>
        <v>2015</v>
      </c>
      <c r="B25" s="30">
        <f t="shared" si="6"/>
        <v>10</v>
      </c>
      <c r="C25" s="31">
        <v>8858679407</v>
      </c>
      <c r="D25" s="31">
        <v>1558770206</v>
      </c>
      <c r="E25" s="28">
        <f t="shared" si="7"/>
        <v>10417449613</v>
      </c>
      <c r="F25" s="31">
        <v>8850250358</v>
      </c>
      <c r="G25" s="31">
        <v>1564986162</v>
      </c>
      <c r="H25" s="28">
        <f>[23]F2901113!$AG$4030-SUM(H$16:H24)</f>
        <v>10415236520</v>
      </c>
      <c r="I25" s="40">
        <f t="shared" si="1"/>
        <v>-0.000951501754690387</v>
      </c>
      <c r="J25" s="42"/>
      <c r="K25" s="40">
        <f t="shared" si="2"/>
        <v>0.00398773082528359</v>
      </c>
      <c r="L25" s="42"/>
      <c r="M25" s="31">
        <v>15347228543</v>
      </c>
      <c r="N25" s="31">
        <v>2780229910</v>
      </c>
      <c r="O25" s="48">
        <f t="shared" si="5"/>
        <v>4.5201292842001</v>
      </c>
      <c r="P25" s="41" t="s">
        <v>52</v>
      </c>
      <c r="Q25" s="53">
        <v>104561644111</v>
      </c>
      <c r="R25" s="31">
        <v>359348530224</v>
      </c>
      <c r="S25" s="31">
        <f>[1]Hoja1!$JW$14</f>
        <v>106968893471.172</v>
      </c>
      <c r="T25" s="49">
        <f>[23]F2901113!$AG$4007</f>
        <v>358269114903</v>
      </c>
      <c r="U25" s="58">
        <f t="shared" si="3"/>
        <v>-0.0225041998851833</v>
      </c>
      <c r="V25" s="59"/>
      <c r="W25" s="58">
        <f t="shared" si="4"/>
        <v>0.00301286177373195</v>
      </c>
      <c r="X25" s="59"/>
      <c r="AB25" s="61"/>
      <c r="AC25" s="63"/>
    </row>
    <row r="26" spans="1:29">
      <c r="A26" s="29">
        <f t="shared" si="8"/>
        <v>2015</v>
      </c>
      <c r="B26" s="30">
        <f t="shared" si="6"/>
        <v>11</v>
      </c>
      <c r="C26" s="31">
        <v>9118449584</v>
      </c>
      <c r="D26" s="31">
        <v>3161933665</v>
      </c>
      <c r="E26" s="28">
        <f t="shared" si="7"/>
        <v>12280383249</v>
      </c>
      <c r="F26" s="31">
        <v>9287601462</v>
      </c>
      <c r="G26" s="31">
        <v>3096415123</v>
      </c>
      <c r="H26" s="28">
        <f>[24]F2901113!$AG$4030-SUM(H$16:H25)</f>
        <v>12384016585</v>
      </c>
      <c r="I26" s="40">
        <f t="shared" si="1"/>
        <v>0.018550508662877</v>
      </c>
      <c r="J26" s="42"/>
      <c r="K26" s="40">
        <f t="shared" si="2"/>
        <v>-0.0207210362207266</v>
      </c>
      <c r="L26" s="44"/>
      <c r="M26" s="31">
        <v>15761109236</v>
      </c>
      <c r="N26" s="31">
        <v>4986623735</v>
      </c>
      <c r="O26" s="48">
        <f t="shared" si="5"/>
        <v>2.16067745905437</v>
      </c>
      <c r="P26" s="41" t="s">
        <v>52</v>
      </c>
      <c r="Q26" s="53">
        <v>106718412010</v>
      </c>
      <c r="R26" s="31">
        <v>362048206861</v>
      </c>
      <c r="S26" s="31">
        <f>[1]Hoja1!$JZ$14</f>
        <v>108890655622.113</v>
      </c>
      <c r="T26" s="49">
        <f>[24]F2901113!$AG$4007</f>
        <v>360966119400</v>
      </c>
      <c r="U26" s="58">
        <f t="shared" si="3"/>
        <v>-0.0199488523574665</v>
      </c>
      <c r="V26" s="59"/>
      <c r="W26" s="58">
        <f t="shared" si="4"/>
        <v>0.00299775353653309</v>
      </c>
      <c r="X26" s="59"/>
      <c r="AB26" s="61"/>
      <c r="AC26" s="63"/>
    </row>
    <row r="27" spans="1:29">
      <c r="A27" s="29">
        <f t="shared" si="8"/>
        <v>2015</v>
      </c>
      <c r="B27" s="30">
        <f t="shared" si="6"/>
        <v>12</v>
      </c>
      <c r="C27" s="31">
        <v>14408665754</v>
      </c>
      <c r="D27" s="31">
        <v>1566790658</v>
      </c>
      <c r="E27" s="28">
        <f t="shared" si="7"/>
        <v>15975456412</v>
      </c>
      <c r="F27" s="31">
        <v>15100397711</v>
      </c>
      <c r="G27" s="31">
        <v>1616886245</v>
      </c>
      <c r="H27" s="28">
        <f>[25]F2901113!$AH$4030-SUM(H$16:H26)</f>
        <v>16717283956</v>
      </c>
      <c r="I27" s="40">
        <f t="shared" si="1"/>
        <v>0.0480080507668079</v>
      </c>
      <c r="J27" s="42"/>
      <c r="K27" s="40">
        <f t="shared" si="2"/>
        <v>0.0319733761139136</v>
      </c>
      <c r="L27" s="42"/>
      <c r="M27" s="31">
        <v>15440946430</v>
      </c>
      <c r="N27" s="31">
        <v>-449163803</v>
      </c>
      <c r="O27" s="48">
        <f t="shared" si="5"/>
        <v>-35.3770943403469</v>
      </c>
      <c r="P27" s="41" t="s">
        <v>52</v>
      </c>
      <c r="Q27" s="53">
        <v>104940453329</v>
      </c>
      <c r="R27" s="31">
        <v>363926606605</v>
      </c>
      <c r="S27" s="31">
        <f>[1]Hoja1!$KC$14</f>
        <v>106764395895.94</v>
      </c>
      <c r="T27" s="49">
        <f>[25]F2901113!$AH$4007</f>
        <v>362846946922</v>
      </c>
      <c r="U27" s="58">
        <f t="shared" si="3"/>
        <v>-0.0170838091822115</v>
      </c>
      <c r="V27" s="59"/>
      <c r="W27" s="58">
        <f t="shared" si="4"/>
        <v>0.00297552368060039</v>
      </c>
      <c r="X27" s="59"/>
      <c r="AB27" s="61"/>
      <c r="AC27" s="63"/>
    </row>
    <row r="28" spans="1:29">
      <c r="A28" s="29">
        <f t="shared" si="8"/>
        <v>2016</v>
      </c>
      <c r="B28" s="30">
        <f t="shared" si="6"/>
        <v>1</v>
      </c>
      <c r="C28" s="31">
        <v>9027780295</v>
      </c>
      <c r="D28" s="31">
        <v>1653391636</v>
      </c>
      <c r="E28" s="28">
        <f t="shared" si="7"/>
        <v>10681171931</v>
      </c>
      <c r="F28" s="31">
        <v>9045570355</v>
      </c>
      <c r="G28" s="31">
        <v>1680440014</v>
      </c>
      <c r="H28" s="28">
        <f>[26]F2901113!$AH$4025</f>
        <v>10726010369</v>
      </c>
      <c r="I28" s="40">
        <f t="shared" si="1"/>
        <v>0.00197059071207706</v>
      </c>
      <c r="J28" s="42"/>
      <c r="K28" s="40">
        <f t="shared" si="2"/>
        <v>0.0163593291577531</v>
      </c>
      <c r="L28" s="42"/>
      <c r="M28" s="31">
        <v>16295887172</v>
      </c>
      <c r="N28" s="31">
        <v>7696761970</v>
      </c>
      <c r="O28" s="48">
        <f t="shared" si="5"/>
        <v>1.11723933200964</v>
      </c>
      <c r="P28" s="41" t="s">
        <v>52</v>
      </c>
      <c r="Q28" s="53">
        <v>108277272348</v>
      </c>
      <c r="R28" s="31">
        <v>367963700219</v>
      </c>
      <c r="S28" s="31">
        <f>[1]Hoja1!$KF$14</f>
        <v>110752003201.639</v>
      </c>
      <c r="T28" s="49">
        <f>[26]F2901113!$AH$4007</f>
        <v>366868930126</v>
      </c>
      <c r="U28" s="58">
        <f t="shared" si="3"/>
        <v>-0.0223447954176788</v>
      </c>
      <c r="V28" s="59"/>
      <c r="W28" s="58">
        <f t="shared" ref="W28" si="9">R28/T28-1</f>
        <v>0.00298409051053738</v>
      </c>
      <c r="X28" s="59"/>
      <c r="AB28" s="61"/>
      <c r="AC28" s="63"/>
    </row>
    <row r="29" spans="1:29">
      <c r="A29" s="29">
        <f t="shared" si="8"/>
        <v>2016</v>
      </c>
      <c r="B29" s="30">
        <f t="shared" si="6"/>
        <v>2</v>
      </c>
      <c r="C29" s="31">
        <v>13645057328</v>
      </c>
      <c r="D29" s="31">
        <v>1728890151</v>
      </c>
      <c r="E29" s="28">
        <f t="shared" si="7"/>
        <v>15373947479</v>
      </c>
      <c r="F29" s="31">
        <v>13648736627</v>
      </c>
      <c r="G29" s="31">
        <v>1718635060</v>
      </c>
      <c r="H29" s="28">
        <f>[27]F2901113!$AH$4025-SUM($H$28)</f>
        <v>15367371687</v>
      </c>
      <c r="I29" s="40">
        <f t="shared" si="1"/>
        <v>0.000269643352281745</v>
      </c>
      <c r="J29" s="42"/>
      <c r="K29" s="40">
        <f t="shared" si="2"/>
        <v>-0.00593160357473765</v>
      </c>
      <c r="L29" s="42"/>
      <c r="M29" s="31">
        <v>16878171206</v>
      </c>
      <c r="N29" s="31">
        <v>6348116076</v>
      </c>
      <c r="O29" s="48">
        <f t="shared" si="5"/>
        <v>1.65876852343807</v>
      </c>
      <c r="P29" s="41" t="s">
        <v>52</v>
      </c>
      <c r="Q29" s="53">
        <v>109877890314</v>
      </c>
      <c r="R29" s="31">
        <v>373310012321</v>
      </c>
      <c r="S29" s="31">
        <f>[1]Hoja1!$KI$14</f>
        <v>111736954275.157</v>
      </c>
      <c r="T29" s="49">
        <f>[27]F2901113!$AH$4007</f>
        <v>372210487652</v>
      </c>
      <c r="U29" s="58">
        <f t="shared" si="3"/>
        <v>-0.0166378614238804</v>
      </c>
      <c r="V29" s="59"/>
      <c r="W29" s="58">
        <f t="shared" ref="W29:W30" si="10">R29/T29-1</f>
        <v>0.00295404000015176</v>
      </c>
      <c r="X29" s="59"/>
      <c r="AB29" s="61"/>
      <c r="AC29" s="63"/>
    </row>
    <row r="30" spans="1:29">
      <c r="A30" s="29">
        <f t="shared" si="8"/>
        <v>2016</v>
      </c>
      <c r="B30" s="30">
        <f t="shared" si="6"/>
        <v>3</v>
      </c>
      <c r="C30" s="31">
        <v>9376175137</v>
      </c>
      <c r="D30" s="31">
        <v>1798501640</v>
      </c>
      <c r="E30" s="28">
        <f t="shared" si="7"/>
        <v>11174676777</v>
      </c>
      <c r="F30" s="31">
        <v>10252590339</v>
      </c>
      <c r="G30" s="31">
        <v>1812803187</v>
      </c>
      <c r="H30" s="28">
        <f>[28]F2900316!$AH$4122-SUM($H$28:$H$29)</f>
        <v>12065393526</v>
      </c>
      <c r="I30" s="43">
        <f t="shared" si="1"/>
        <v>0.0934725716184113</v>
      </c>
      <c r="J30" s="42" t="s">
        <v>55</v>
      </c>
      <c r="K30" s="40">
        <f t="shared" si="2"/>
        <v>0.00795192324650862</v>
      </c>
      <c r="L30" s="42"/>
      <c r="M30" s="31">
        <v>13141059962</v>
      </c>
      <c r="N30" s="31">
        <v>2691963655</v>
      </c>
      <c r="O30" s="48">
        <f t="shared" si="5"/>
        <v>3.88158892397825</v>
      </c>
      <c r="P30" s="41" t="s">
        <v>52</v>
      </c>
      <c r="Q30" s="53">
        <v>107225804919</v>
      </c>
      <c r="R30" s="31">
        <v>378400917477</v>
      </c>
      <c r="S30" s="31">
        <f>[1]Hoja1!$KL$14</f>
        <v>109291879406.315</v>
      </c>
      <c r="T30" s="49">
        <f>[28]F2900316!$AH$4096</f>
        <v>377296593498</v>
      </c>
      <c r="U30" s="58">
        <f t="shared" si="3"/>
        <v>-0.0189041903070799</v>
      </c>
      <c r="V30" s="59"/>
      <c r="W30" s="58">
        <f t="shared" si="10"/>
        <v>0.00292693864198879</v>
      </c>
      <c r="X30" s="59"/>
      <c r="AB30" s="61"/>
      <c r="AC30" s="63"/>
    </row>
    <row r="31" spans="1:29">
      <c r="A31" s="29">
        <f t="shared" si="8"/>
        <v>2016</v>
      </c>
      <c r="B31" s="30">
        <f t="shared" si="6"/>
        <v>4</v>
      </c>
      <c r="C31" s="31">
        <v>11388735388</v>
      </c>
      <c r="D31" s="31">
        <v>1948741872</v>
      </c>
      <c r="E31" s="28">
        <f t="shared" si="7"/>
        <v>13337477260</v>
      </c>
      <c r="F31" s="31">
        <v>12181073479</v>
      </c>
      <c r="G31" s="31">
        <v>1913809808</v>
      </c>
      <c r="H31" s="28">
        <f>[29]F2900416!$AH$4122-SUM($H$28:$H30)</f>
        <v>14094883287</v>
      </c>
      <c r="I31" s="43">
        <f t="shared" si="1"/>
        <v>0.0695720871550729</v>
      </c>
      <c r="J31" s="42" t="s">
        <v>55</v>
      </c>
      <c r="K31" s="40">
        <f t="shared" si="2"/>
        <v>-0.0179254443607501</v>
      </c>
      <c r="L31" s="42"/>
      <c r="M31" s="31">
        <v>13492028057</v>
      </c>
      <c r="N31" s="31">
        <v>5782335009</v>
      </c>
      <c r="O31" s="48">
        <f t="shared" si="5"/>
        <v>1.3333182937343</v>
      </c>
      <c r="P31" s="41" t="s">
        <v>52</v>
      </c>
      <c r="Q31" s="53">
        <v>107100637896</v>
      </c>
      <c r="R31" s="31">
        <v>384381210714</v>
      </c>
      <c r="S31" s="31">
        <f>[1]Hoja1!$KO$14</f>
        <v>108962916784.894</v>
      </c>
      <c r="T31" s="49">
        <f>[29]F2900416!$AH$4096</f>
        <v>383272042184</v>
      </c>
      <c r="U31" s="58">
        <f t="shared" si="3"/>
        <v>-0.0170909419813942</v>
      </c>
      <c r="V31" s="59"/>
      <c r="W31" s="58">
        <f t="shared" ref="W31:W94" si="11">R31/T31-1</f>
        <v>0.00289394583460778</v>
      </c>
      <c r="X31" s="59"/>
      <c r="AB31" s="61"/>
      <c r="AC31" s="63"/>
    </row>
    <row r="32" spans="1:29">
      <c r="A32" s="29">
        <f t="shared" si="8"/>
        <v>2016</v>
      </c>
      <c r="B32" s="30">
        <f t="shared" si="6"/>
        <v>5</v>
      </c>
      <c r="C32" s="31">
        <v>11059748428</v>
      </c>
      <c r="D32" s="31">
        <v>1695133113</v>
      </c>
      <c r="E32" s="28">
        <f t="shared" si="7"/>
        <v>12754881541</v>
      </c>
      <c r="F32" s="31">
        <v>11837792346</v>
      </c>
      <c r="G32" s="31">
        <v>1826781901</v>
      </c>
      <c r="H32" s="28">
        <f>[30]F29052016!$AH$4713-SUM($H$28:$H31)</f>
        <v>13664574247</v>
      </c>
      <c r="I32" s="43">
        <f t="shared" si="1"/>
        <v>0.0703491515259265</v>
      </c>
      <c r="J32" s="42" t="s">
        <v>55</v>
      </c>
      <c r="K32" s="43">
        <f t="shared" si="2"/>
        <v>0.0776628024019963</v>
      </c>
      <c r="L32" s="44" t="s">
        <v>53</v>
      </c>
      <c r="M32" s="31">
        <v>16708818194</v>
      </c>
      <c r="N32" s="31">
        <v>8908305975</v>
      </c>
      <c r="O32" s="48">
        <f t="shared" si="5"/>
        <v>0.875644846606203</v>
      </c>
      <c r="P32" s="41" t="s">
        <v>52</v>
      </c>
      <c r="Q32" s="53">
        <v>112286631069</v>
      </c>
      <c r="R32" s="31">
        <v>387489280152</v>
      </c>
      <c r="S32" s="31">
        <f>[1]Hoja1!$KR$14</f>
        <v>114731876751.881</v>
      </c>
      <c r="T32" s="49">
        <f>[30]F29052016!$AH$4692</f>
        <v>386374661924</v>
      </c>
      <c r="U32" s="58">
        <f t="shared" si="3"/>
        <v>-0.0213126966289333</v>
      </c>
      <c r="V32" s="59"/>
      <c r="W32" s="58">
        <f t="shared" si="11"/>
        <v>0.00288481191403611</v>
      </c>
      <c r="X32" s="59"/>
      <c r="AB32" s="61"/>
      <c r="AC32" s="63"/>
    </row>
    <row r="33" spans="1:29">
      <c r="A33" s="29">
        <f t="shared" si="8"/>
        <v>2016</v>
      </c>
      <c r="B33" s="30">
        <f t="shared" si="6"/>
        <v>6</v>
      </c>
      <c r="C33" s="31">
        <v>10033673970</v>
      </c>
      <c r="D33" s="31">
        <v>2910387903</v>
      </c>
      <c r="E33" s="28">
        <f t="shared" si="7"/>
        <v>12944061873</v>
      </c>
      <c r="F33" s="31">
        <v>10670154359</v>
      </c>
      <c r="G33" s="31">
        <v>2877163882</v>
      </c>
      <c r="H33" s="28">
        <f>[31]F29052016!$AH$4713-SUM($H$28:$H32)</f>
        <v>13547318241</v>
      </c>
      <c r="I33" s="43">
        <f t="shared" si="1"/>
        <v>0.0634344299907523</v>
      </c>
      <c r="J33" s="42" t="s">
        <v>55</v>
      </c>
      <c r="K33" s="40">
        <f t="shared" si="2"/>
        <v>-0.0114156676385828</v>
      </c>
      <c r="L33" s="42"/>
      <c r="M33" s="31">
        <v>16914590353</v>
      </c>
      <c r="N33" s="31">
        <v>4784821469</v>
      </c>
      <c r="O33" s="48">
        <f t="shared" si="5"/>
        <v>2.53505150873164</v>
      </c>
      <c r="P33" s="41" t="s">
        <v>52</v>
      </c>
      <c r="Q33" s="53">
        <v>114931175845</v>
      </c>
      <c r="R33" s="31">
        <v>390245094441</v>
      </c>
      <c r="S33" s="31">
        <f>[1]Hoja1!$KU$14</f>
        <v>116888680570.85</v>
      </c>
      <c r="T33" s="49">
        <f>[31]F29052016!$AH$4692</f>
        <v>389131620766</v>
      </c>
      <c r="U33" s="58">
        <f t="shared" si="3"/>
        <v>-0.0167467432799357</v>
      </c>
      <c r="V33" s="59"/>
      <c r="W33" s="58">
        <f t="shared" si="11"/>
        <v>0.00286143200803912</v>
      </c>
      <c r="X33" s="59"/>
      <c r="AB33" s="61"/>
      <c r="AC33" s="63"/>
    </row>
    <row r="34" spans="1:29">
      <c r="A34" s="29">
        <f t="shared" si="8"/>
        <v>2016</v>
      </c>
      <c r="B34" s="30">
        <f t="shared" si="6"/>
        <v>7</v>
      </c>
      <c r="C34" s="31">
        <v>10466413439</v>
      </c>
      <c r="D34" s="31">
        <v>1722019900</v>
      </c>
      <c r="E34" s="28">
        <f t="shared" si="7"/>
        <v>12188433339</v>
      </c>
      <c r="F34" s="31">
        <v>10951183601</v>
      </c>
      <c r="G34" s="31">
        <v>1714950702</v>
      </c>
      <c r="H34" s="28">
        <f>[32]F29052016!$AH$4713-SUM($H$28:$H33)</f>
        <v>12666134303</v>
      </c>
      <c r="I34" s="40">
        <f t="shared" si="1"/>
        <v>0.0463167411477983</v>
      </c>
      <c r="J34" s="42"/>
      <c r="K34" s="40">
        <f t="shared" si="2"/>
        <v>-0.00410517787860643</v>
      </c>
      <c r="L34" s="42"/>
      <c r="M34" s="31">
        <v>16560676628</v>
      </c>
      <c r="N34" s="31">
        <v>9250366490</v>
      </c>
      <c r="O34" s="48">
        <f t="shared" si="5"/>
        <v>0.790272487679567</v>
      </c>
      <c r="P34" s="41" t="s">
        <v>52</v>
      </c>
      <c r="Q34" s="53">
        <v>119942304927</v>
      </c>
      <c r="R34" s="31">
        <v>393722231462</v>
      </c>
      <c r="S34" s="31">
        <f>[1]Hoja1!$KX$14</f>
        <v>122705973781.926</v>
      </c>
      <c r="T34" s="49">
        <f>[32]F29052016!$AH$4692</f>
        <v>392603827011</v>
      </c>
      <c r="U34" s="58">
        <f t="shared" si="3"/>
        <v>-0.0225226920071334</v>
      </c>
      <c r="V34" s="59"/>
      <c r="W34" s="58">
        <f t="shared" si="11"/>
        <v>0.00284868453655873</v>
      </c>
      <c r="X34" s="59"/>
      <c r="AB34" s="61"/>
      <c r="AC34" s="63"/>
    </row>
    <row r="35" spans="1:29">
      <c r="A35" s="29">
        <f t="shared" si="8"/>
        <v>2016</v>
      </c>
      <c r="B35" s="30">
        <f t="shared" si="6"/>
        <v>8</v>
      </c>
      <c r="C35" s="31">
        <v>13035048356</v>
      </c>
      <c r="D35" s="31">
        <v>1950387475</v>
      </c>
      <c r="E35" s="28">
        <f t="shared" si="7"/>
        <v>14985435831</v>
      </c>
      <c r="F35" s="31">
        <v>14397435525</v>
      </c>
      <c r="G35" s="31">
        <v>2020188993</v>
      </c>
      <c r="H35" s="28">
        <f>[33]F29052016!$AH$4713-SUM($H$28:$H34)</f>
        <v>16417624518</v>
      </c>
      <c r="I35" s="43">
        <f t="shared" si="1"/>
        <v>0.104517231681223</v>
      </c>
      <c r="J35" s="42" t="s">
        <v>55</v>
      </c>
      <c r="K35" s="40">
        <f t="shared" si="2"/>
        <v>0.0357885388902017</v>
      </c>
      <c r="L35" s="42"/>
      <c r="M35" s="31">
        <v>15098530286</v>
      </c>
      <c r="N35" s="31">
        <v>2843626680</v>
      </c>
      <c r="O35" s="48">
        <f t="shared" si="5"/>
        <v>4.3096035398008</v>
      </c>
      <c r="P35" s="41" t="s">
        <v>52</v>
      </c>
      <c r="Q35" s="53">
        <v>117949529892</v>
      </c>
      <c r="R35" s="31">
        <v>398753521566</v>
      </c>
      <c r="S35" s="31">
        <f>[1]Hoja1!$LA$14</f>
        <v>120355822603.865</v>
      </c>
      <c r="T35" s="49">
        <f>[33]F29052016!$AH$4692</f>
        <v>397630139895</v>
      </c>
      <c r="U35" s="58">
        <f t="shared" si="3"/>
        <v>-0.0199931557925968</v>
      </c>
      <c r="V35" s="59"/>
      <c r="W35" s="58">
        <f t="shared" si="11"/>
        <v>0.00282519245471846</v>
      </c>
      <c r="X35" s="59"/>
      <c r="Z35" s="62"/>
      <c r="AB35" s="61"/>
      <c r="AC35" s="63"/>
    </row>
    <row r="36" spans="1:29">
      <c r="A36" s="29">
        <f t="shared" si="8"/>
        <v>2016</v>
      </c>
      <c r="B36" s="30">
        <f t="shared" si="6"/>
        <v>9</v>
      </c>
      <c r="C36" s="31">
        <v>10834117434</v>
      </c>
      <c r="D36" s="31">
        <v>1922826716</v>
      </c>
      <c r="E36" s="28">
        <f t="shared" si="7"/>
        <v>12756944150</v>
      </c>
      <c r="F36" s="31">
        <v>10847368818</v>
      </c>
      <c r="G36" s="31">
        <v>1907220429</v>
      </c>
      <c r="H36" s="28">
        <f>[34]F29092016!$AH$4713-SUM($H$28:$H35)</f>
        <v>12754589247</v>
      </c>
      <c r="I36" s="40">
        <f t="shared" ref="I36:I67" si="12">IFERROR(F36/C36-1,"")</f>
        <v>0.00122311614958259</v>
      </c>
      <c r="J36" s="42"/>
      <c r="K36" s="40">
        <f t="shared" ref="K36:K67" si="13">IFERROR(G36/D36-1,"")</f>
        <v>-0.00811632523624684</v>
      </c>
      <c r="L36" s="42"/>
      <c r="M36" s="31">
        <v>17209232498</v>
      </c>
      <c r="N36" s="31">
        <v>6503538742</v>
      </c>
      <c r="O36" s="48">
        <f t="shared" si="5"/>
        <v>1.64613361751232</v>
      </c>
      <c r="P36" s="41" t="s">
        <v>52</v>
      </c>
      <c r="Q36" s="53">
        <v>119600228027</v>
      </c>
      <c r="R36" s="31">
        <v>403190014383</v>
      </c>
      <c r="S36" s="31">
        <f>[1]Hoja1!$LD$14</f>
        <v>121841704826.576</v>
      </c>
      <c r="T36" s="49">
        <f>[34]F29092016!$AH$4692</f>
        <v>403190014382</v>
      </c>
      <c r="U36" s="58">
        <f t="shared" si="3"/>
        <v>-0.0183966303062333</v>
      </c>
      <c r="V36" s="59"/>
      <c r="W36" s="58">
        <f t="shared" si="11"/>
        <v>2.4802382370126e-12</v>
      </c>
      <c r="X36" s="59"/>
      <c r="Z36" s="62"/>
      <c r="AB36" s="61"/>
      <c r="AC36" s="63"/>
    </row>
    <row r="37" spans="1:29">
      <c r="A37" s="29">
        <f t="shared" si="8"/>
        <v>2016</v>
      </c>
      <c r="B37" s="30">
        <f t="shared" si="6"/>
        <v>10</v>
      </c>
      <c r="C37" s="31">
        <v>11944829952</v>
      </c>
      <c r="D37" s="31">
        <v>1804410930</v>
      </c>
      <c r="E37" s="28">
        <f t="shared" si="7"/>
        <v>13749240882</v>
      </c>
      <c r="F37" s="31">
        <v>12082792484</v>
      </c>
      <c r="G37" s="31">
        <v>1795167499</v>
      </c>
      <c r="H37" s="28">
        <f>[35]F290102016!$AG$4713-SUM($H$28:$H36)</f>
        <v>13877959983</v>
      </c>
      <c r="I37" s="40">
        <f t="shared" si="12"/>
        <v>0.0115499787401243</v>
      </c>
      <c r="J37" s="42"/>
      <c r="K37" s="40">
        <f t="shared" si="13"/>
        <v>-0.00512268621649281</v>
      </c>
      <c r="L37" s="42"/>
      <c r="M37" s="31">
        <v>14051454460</v>
      </c>
      <c r="N37" s="31">
        <v>4003293073</v>
      </c>
      <c r="O37" s="48">
        <f t="shared" si="5"/>
        <v>2.50997396487639</v>
      </c>
      <c r="P37" s="41" t="s">
        <v>52</v>
      </c>
      <c r="Q37" s="53">
        <v>119365503153</v>
      </c>
      <c r="R37" s="31">
        <v>406855941741</v>
      </c>
      <c r="S37" s="31">
        <f>[1]Hoja1!$LG$14</f>
        <v>122073431405.562</v>
      </c>
      <c r="T37" s="49">
        <f>[35]F290102016!$AG$4692</f>
        <v>406855942722</v>
      </c>
      <c r="U37" s="58">
        <f t="shared" si="3"/>
        <v>-0.0221827814732729</v>
      </c>
      <c r="V37" s="59"/>
      <c r="W37" s="58">
        <f t="shared" si="11"/>
        <v>-2.4111728169629e-9</v>
      </c>
      <c r="X37" s="59"/>
      <c r="AB37" s="61"/>
      <c r="AC37" s="63"/>
    </row>
    <row r="38" spans="1:29">
      <c r="A38" s="29">
        <f t="shared" si="8"/>
        <v>2016</v>
      </c>
      <c r="B38" s="30">
        <f t="shared" si="6"/>
        <v>11</v>
      </c>
      <c r="C38" s="31">
        <v>11540469079</v>
      </c>
      <c r="D38" s="31">
        <v>3514953834</v>
      </c>
      <c r="E38" s="28">
        <f t="shared" si="7"/>
        <v>15055422913</v>
      </c>
      <c r="F38" s="31">
        <v>11539631028</v>
      </c>
      <c r="G38" s="31">
        <v>3581231301</v>
      </c>
      <c r="H38" s="28">
        <f>[36]F290102016!$AF$4713-SUM($H$28:$H37)</f>
        <v>15120862329</v>
      </c>
      <c r="I38" s="40">
        <f t="shared" si="12"/>
        <v>-7.26184520112305e-5</v>
      </c>
      <c r="J38" s="42"/>
      <c r="K38" s="40">
        <f t="shared" si="13"/>
        <v>0.0188558570411084</v>
      </c>
      <c r="L38" s="42"/>
      <c r="M38" s="31">
        <v>19145813797</v>
      </c>
      <c r="N38" s="31">
        <v>8918231463</v>
      </c>
      <c r="O38" s="48">
        <f t="shared" si="5"/>
        <v>1.14681732319151</v>
      </c>
      <c r="P38" s="41" t="s">
        <v>52</v>
      </c>
      <c r="Q38" s="53">
        <v>124078406244</v>
      </c>
      <c r="R38" s="31">
        <v>411689155289</v>
      </c>
      <c r="S38" s="31">
        <f>[1]Hoja1!$LJ$14</f>
        <v>126275548286.735</v>
      </c>
      <c r="T38" s="49">
        <f>[36]F290102016!$AF$4692</f>
        <v>411689155288</v>
      </c>
      <c r="U38" s="58">
        <f t="shared" si="3"/>
        <v>-0.017399584262714</v>
      </c>
      <c r="V38" s="59"/>
      <c r="W38" s="58">
        <f t="shared" si="11"/>
        <v>2.42894593327492e-12</v>
      </c>
      <c r="X38" s="59"/>
      <c r="AB38" s="61"/>
      <c r="AC38" s="63"/>
    </row>
    <row r="39" spans="1:29">
      <c r="A39" s="29">
        <f t="shared" si="8"/>
        <v>2016</v>
      </c>
      <c r="B39" s="30">
        <f t="shared" si="6"/>
        <v>12</v>
      </c>
      <c r="C39" s="31">
        <v>12669489346</v>
      </c>
      <c r="D39" s="31">
        <v>1926604347</v>
      </c>
      <c r="E39" s="28">
        <f t="shared" si="7"/>
        <v>14596093693</v>
      </c>
      <c r="F39" s="31">
        <v>12725599391</v>
      </c>
      <c r="G39" s="31">
        <v>1986526612</v>
      </c>
      <c r="H39" s="28">
        <f>[37]F290122016!$AF$4713-SUM($H$28:$H38)</f>
        <v>14712126003</v>
      </c>
      <c r="I39" s="40">
        <f t="shared" si="12"/>
        <v>0.00442875347755955</v>
      </c>
      <c r="J39" s="42"/>
      <c r="K39" s="40">
        <f t="shared" si="13"/>
        <v>0.0311025276639221</v>
      </c>
      <c r="L39" s="42"/>
      <c r="M39" s="31">
        <v>17473851913</v>
      </c>
      <c r="N39" s="31">
        <v>2870435339</v>
      </c>
      <c r="O39" s="48">
        <f t="shared" si="5"/>
        <v>5.0875267509379</v>
      </c>
      <c r="P39" s="41" t="s">
        <v>52</v>
      </c>
      <c r="Q39" s="53">
        <v>121814215572</v>
      </c>
      <c r="R39" s="31">
        <v>416233888271</v>
      </c>
      <c r="S39" s="31">
        <f>[1]Hoja1!$LM$14</f>
        <v>124270014028.906</v>
      </c>
      <c r="T39" s="49">
        <f>[37]F290122016!$AF$4692</f>
        <v>416233888271</v>
      </c>
      <c r="U39" s="58">
        <f t="shared" si="3"/>
        <v>-0.0197617943161645</v>
      </c>
      <c r="V39" s="59"/>
      <c r="W39" s="58">
        <f t="shared" si="11"/>
        <v>0</v>
      </c>
      <c r="X39" s="59"/>
      <c r="AB39" s="61"/>
      <c r="AC39" s="63"/>
    </row>
    <row r="40" spans="1:29">
      <c r="A40" s="29">
        <f t="shared" si="8"/>
        <v>2017</v>
      </c>
      <c r="B40" s="30">
        <f t="shared" si="6"/>
        <v>1</v>
      </c>
      <c r="C40" s="31">
        <v>9206989260</v>
      </c>
      <c r="D40" s="31">
        <v>1914075738</v>
      </c>
      <c r="E40" s="28">
        <f t="shared" si="7"/>
        <v>11121064998</v>
      </c>
      <c r="F40" s="31">
        <v>9271706305</v>
      </c>
      <c r="G40" s="31">
        <v>1906273257</v>
      </c>
      <c r="H40" s="28">
        <f>[38]F290122016!$AF$4713</f>
        <v>11177979562</v>
      </c>
      <c r="I40" s="40">
        <f t="shared" si="12"/>
        <v>0.00702912137425482</v>
      </c>
      <c r="J40" s="42"/>
      <c r="K40" s="40">
        <f t="shared" si="13"/>
        <v>-0.00407637004382744</v>
      </c>
      <c r="L40" s="42"/>
      <c r="M40" s="31">
        <v>18191450501</v>
      </c>
      <c r="N40" s="31">
        <v>8990862538</v>
      </c>
      <c r="O40" s="48">
        <f t="shared" si="5"/>
        <v>1.0233265077865</v>
      </c>
      <c r="P40" s="41" t="s">
        <v>52</v>
      </c>
      <c r="Q40" s="53">
        <v>127832441069</v>
      </c>
      <c r="R40" s="31">
        <v>419373324291</v>
      </c>
      <c r="S40" s="31">
        <f>[1]Hoja1!$LP$14</f>
        <v>130797380514.405</v>
      </c>
      <c r="T40" s="49">
        <f>[38]F290122016!$AF$4692</f>
        <v>419373324291</v>
      </c>
      <c r="U40" s="58">
        <f t="shared" si="3"/>
        <v>-0.0226681867308405</v>
      </c>
      <c r="V40" s="59"/>
      <c r="W40" s="58">
        <f t="shared" si="11"/>
        <v>0</v>
      </c>
      <c r="X40" s="59"/>
      <c r="AB40" s="61"/>
      <c r="AC40" s="63"/>
    </row>
    <row r="41" spans="1:29">
      <c r="A41" s="29">
        <f t="shared" si="8"/>
        <v>2017</v>
      </c>
      <c r="B41" s="30">
        <f t="shared" si="6"/>
        <v>2</v>
      </c>
      <c r="C41" s="31">
        <v>8619248249</v>
      </c>
      <c r="D41" s="31">
        <v>2283187187</v>
      </c>
      <c r="E41" s="28">
        <f t="shared" si="7"/>
        <v>10902435436</v>
      </c>
      <c r="F41" s="31">
        <v>8612748797</v>
      </c>
      <c r="G41" s="31">
        <v>2382821874</v>
      </c>
      <c r="H41" s="28">
        <f>[39]F290122016!$AF$4713-SUM($H$40:$H40)</f>
        <v>10995570671</v>
      </c>
      <c r="I41" s="40">
        <f t="shared" si="12"/>
        <v>-0.000754062513601883</v>
      </c>
      <c r="J41" s="42"/>
      <c r="K41" s="40">
        <f t="shared" si="13"/>
        <v>0.0436384224505548</v>
      </c>
      <c r="L41" s="42"/>
      <c r="M41" s="31">
        <v>16651863849</v>
      </c>
      <c r="N41" s="31">
        <v>5675492110</v>
      </c>
      <c r="O41" s="48">
        <f t="shared" si="5"/>
        <v>1.93399471380817</v>
      </c>
      <c r="P41" s="41" t="s">
        <v>52</v>
      </c>
      <c r="Q41" s="53">
        <v>128938055763</v>
      </c>
      <c r="R41" s="31">
        <v>424364259568</v>
      </c>
      <c r="S41" s="31">
        <f>[1]Hoja1!$LS$14</f>
        <v>131433113996.343</v>
      </c>
      <c r="T41" s="49">
        <f>[39]F290122016!$AF$4692</f>
        <v>424364259568</v>
      </c>
      <c r="U41" s="58">
        <f t="shared" si="3"/>
        <v>-0.0189834826055496</v>
      </c>
      <c r="V41" s="59"/>
      <c r="W41" s="58">
        <f t="shared" si="11"/>
        <v>0</v>
      </c>
      <c r="X41" s="59"/>
      <c r="AB41" s="61"/>
      <c r="AC41" s="63"/>
    </row>
    <row r="42" spans="1:29">
      <c r="A42" s="29">
        <f t="shared" si="8"/>
        <v>2017</v>
      </c>
      <c r="B42" s="30">
        <f t="shared" si="6"/>
        <v>3</v>
      </c>
      <c r="C42" s="31">
        <v>4633118816</v>
      </c>
      <c r="D42" s="31">
        <v>2096548630</v>
      </c>
      <c r="E42" s="28">
        <f t="shared" si="7"/>
        <v>6729667446</v>
      </c>
      <c r="F42" s="31">
        <v>4614091749</v>
      </c>
      <c r="G42" s="31">
        <v>1928719923</v>
      </c>
      <c r="H42" s="28">
        <f>[40]F290122016!$AF$4713-SUM($H$40:$H41)</f>
        <v>6542811672</v>
      </c>
      <c r="I42" s="40">
        <f t="shared" si="12"/>
        <v>-0.00410675136029148</v>
      </c>
      <c r="J42" s="42"/>
      <c r="K42" s="43">
        <f t="shared" si="13"/>
        <v>-0.0800499948336519</v>
      </c>
      <c r="L42" s="44" t="s">
        <v>54</v>
      </c>
      <c r="M42" s="31">
        <v>13669369787</v>
      </c>
      <c r="N42" s="31">
        <v>5712464198</v>
      </c>
      <c r="O42" s="48">
        <f t="shared" si="5"/>
        <v>1.39290248712382</v>
      </c>
      <c r="P42" s="41" t="s">
        <v>52</v>
      </c>
      <c r="Q42" s="53">
        <v>129798653291</v>
      </c>
      <c r="R42" s="31">
        <v>428875676647</v>
      </c>
      <c r="S42" s="31">
        <f>[1]Hoja1!$LV$14</f>
        <v>132548497921.18</v>
      </c>
      <c r="T42" s="49">
        <f>[40]F290122016!$AF$4692</f>
        <v>428875676647</v>
      </c>
      <c r="U42" s="58">
        <f t="shared" si="3"/>
        <v>-0.0207459509033059</v>
      </c>
      <c r="V42" s="59"/>
      <c r="W42" s="58">
        <f t="shared" si="11"/>
        <v>0</v>
      </c>
      <c r="X42" s="59"/>
      <c r="AB42" s="61"/>
      <c r="AC42" s="63"/>
    </row>
    <row r="43" spans="1:29">
      <c r="A43" s="29">
        <f t="shared" si="8"/>
        <v>2017</v>
      </c>
      <c r="B43" s="30">
        <f t="shared" si="6"/>
        <v>4</v>
      </c>
      <c r="C43" s="31">
        <v>8616698104</v>
      </c>
      <c r="D43" s="31">
        <v>1927448751</v>
      </c>
      <c r="E43" s="28">
        <f t="shared" si="7"/>
        <v>10544146855</v>
      </c>
      <c r="F43" s="31">
        <v>8598178220</v>
      </c>
      <c r="G43" s="31">
        <v>2007952216</v>
      </c>
      <c r="H43" s="28">
        <f>[41]F290122016!$AF$4713-SUM($H$40:$H42)</f>
        <v>10606130436</v>
      </c>
      <c r="I43" s="40">
        <f t="shared" si="12"/>
        <v>-0.00214930171354188</v>
      </c>
      <c r="J43" s="42"/>
      <c r="K43" s="40">
        <f t="shared" si="13"/>
        <v>0.0417668511073164</v>
      </c>
      <c r="L43" s="42"/>
      <c r="M43" s="31">
        <v>17345238885</v>
      </c>
      <c r="N43" s="31">
        <v>5501950185</v>
      </c>
      <c r="O43" s="48">
        <f t="shared" si="5"/>
        <v>2.15256196471724</v>
      </c>
      <c r="P43" s="41" t="s">
        <v>52</v>
      </c>
      <c r="Q43" s="53">
        <v>131913960909</v>
      </c>
      <c r="R43" s="31">
        <v>432294218363</v>
      </c>
      <c r="S43" s="31">
        <f>[1]Hoja1!$LY$14</f>
        <v>134676333211.097</v>
      </c>
      <c r="T43" s="49">
        <f>[41]F290122016!$AF$4692</f>
        <v>432294218363</v>
      </c>
      <c r="U43" s="58">
        <f t="shared" si="3"/>
        <v>-0.0205111932901162</v>
      </c>
      <c r="V43" s="59"/>
      <c r="W43" s="58">
        <f t="shared" si="11"/>
        <v>0</v>
      </c>
      <c r="X43" s="59"/>
      <c r="AB43" s="61"/>
      <c r="AC43" s="63"/>
    </row>
    <row r="44" spans="1:29">
      <c r="A44" s="29">
        <f t="shared" si="8"/>
        <v>2017</v>
      </c>
      <c r="B44" s="30">
        <f t="shared" si="6"/>
        <v>5</v>
      </c>
      <c r="C44" s="31">
        <v>16646428587</v>
      </c>
      <c r="D44" s="31">
        <v>2364483621</v>
      </c>
      <c r="E44" s="28">
        <f t="shared" si="7"/>
        <v>19010912208</v>
      </c>
      <c r="F44" s="31">
        <v>16820440329</v>
      </c>
      <c r="G44" s="31">
        <v>2405179659</v>
      </c>
      <c r="H44" s="28">
        <f>[42]F290052017!$AF$4713-SUM($H$40:$H43)</f>
        <v>19225619988</v>
      </c>
      <c r="I44" s="40">
        <f t="shared" si="12"/>
        <v>0.0104533979219961</v>
      </c>
      <c r="J44" s="42"/>
      <c r="K44" s="40">
        <f t="shared" si="13"/>
        <v>0.0172113850307785</v>
      </c>
      <c r="L44" s="42"/>
      <c r="M44" s="31">
        <v>18052506169</v>
      </c>
      <c r="N44" s="31">
        <v>7590053158</v>
      </c>
      <c r="O44" s="48">
        <f t="shared" si="5"/>
        <v>1.37844265293089</v>
      </c>
      <c r="P44" s="41" t="s">
        <v>52</v>
      </c>
      <c r="Q44" s="53">
        <v>135813934434</v>
      </c>
      <c r="R44" s="31">
        <v>435513438342</v>
      </c>
      <c r="S44" s="31">
        <f>[1]Hoja1!$MB$14</f>
        <v>139129231169.42</v>
      </c>
      <c r="T44" s="49">
        <f>[42]F290052017!$AF$4692</f>
        <v>435513438342</v>
      </c>
      <c r="U44" s="58">
        <f t="shared" si="3"/>
        <v>-0.0238289014289393</v>
      </c>
      <c r="V44" s="59"/>
      <c r="W44" s="58">
        <f t="shared" si="11"/>
        <v>0</v>
      </c>
      <c r="X44" s="59"/>
      <c r="AB44" s="61"/>
      <c r="AC44" s="63"/>
    </row>
    <row r="45" spans="1:29">
      <c r="A45" s="29">
        <f t="shared" si="8"/>
        <v>2017</v>
      </c>
      <c r="B45" s="30">
        <f t="shared" si="6"/>
        <v>6</v>
      </c>
      <c r="C45" s="31">
        <v>9274457492</v>
      </c>
      <c r="D45" s="31">
        <v>3204635549</v>
      </c>
      <c r="E45" s="28">
        <f t="shared" si="7"/>
        <v>12479093041</v>
      </c>
      <c r="F45" s="31">
        <v>9303144388</v>
      </c>
      <c r="G45" s="31">
        <v>3362045475</v>
      </c>
      <c r="H45" s="28">
        <f>[43]F290062017!$AF$4713-SUM($H$40:$H44)</f>
        <v>12665189863</v>
      </c>
      <c r="I45" s="40">
        <f t="shared" si="12"/>
        <v>0.00309310771274163</v>
      </c>
      <c r="J45" s="42"/>
      <c r="K45" s="40">
        <f t="shared" si="13"/>
        <v>0.0491194469989324</v>
      </c>
      <c r="L45" s="42"/>
      <c r="M45" s="31">
        <v>19465892964</v>
      </c>
      <c r="N45" s="31">
        <v>3413874953</v>
      </c>
      <c r="O45" s="48">
        <f t="shared" si="5"/>
        <v>4.70199355043571</v>
      </c>
      <c r="P45" s="41" t="s">
        <v>52</v>
      </c>
      <c r="Q45" s="53">
        <v>137206801510</v>
      </c>
      <c r="R45" s="31">
        <v>438134343444</v>
      </c>
      <c r="S45" s="31">
        <f>[1]Hoja1!$ME$14</f>
        <v>140499514709.883</v>
      </c>
      <c r="T45" s="49">
        <f>[43]F290062017!$AF$4692</f>
        <v>438134343444</v>
      </c>
      <c r="U45" s="58">
        <f t="shared" si="3"/>
        <v>-0.0234357620855996</v>
      </c>
      <c r="V45" s="59"/>
      <c r="W45" s="58">
        <f t="shared" si="11"/>
        <v>0</v>
      </c>
      <c r="X45" s="59"/>
      <c r="AB45" s="61"/>
      <c r="AC45" s="63"/>
    </row>
    <row r="46" spans="1:29">
      <c r="A46" s="29">
        <f t="shared" si="8"/>
        <v>2017</v>
      </c>
      <c r="B46" s="30">
        <f t="shared" si="6"/>
        <v>7</v>
      </c>
      <c r="C46" s="31">
        <v>11542792974</v>
      </c>
      <c r="D46" s="31">
        <v>1989348486</v>
      </c>
      <c r="E46" s="28">
        <f t="shared" si="7"/>
        <v>13532141460</v>
      </c>
      <c r="F46" s="31">
        <v>11797994878</v>
      </c>
      <c r="G46" s="31">
        <v>1989949963</v>
      </c>
      <c r="H46" s="28">
        <f>[44]F290072017!$AF$4713-SUM($H$40:$H45)</f>
        <v>13787944841</v>
      </c>
      <c r="I46" s="40">
        <f t="shared" si="12"/>
        <v>0.0221091987506696</v>
      </c>
      <c r="J46" s="42"/>
      <c r="K46" s="40">
        <f t="shared" si="13"/>
        <v>0.000302348735896629</v>
      </c>
      <c r="L46" s="42"/>
      <c r="M46" s="31">
        <v>14922389568</v>
      </c>
      <c r="N46" s="31">
        <v>5169356361</v>
      </c>
      <c r="O46" s="48">
        <f t="shared" si="5"/>
        <v>1.88670165604781</v>
      </c>
      <c r="P46" s="41" t="s">
        <v>52</v>
      </c>
      <c r="Q46" s="53">
        <v>139154717924</v>
      </c>
      <c r="R46" s="31">
        <v>440942070387</v>
      </c>
      <c r="S46" s="31">
        <f>[1]Hoja1!$MH$14</f>
        <v>142906112904.098</v>
      </c>
      <c r="T46" s="49">
        <f>[44]F290072017!$AF$4692</f>
        <v>440942070387</v>
      </c>
      <c r="U46" s="58">
        <f t="shared" si="3"/>
        <v>-0.0262507663518572</v>
      </c>
      <c r="V46" s="59"/>
      <c r="W46" s="58">
        <f t="shared" si="11"/>
        <v>0</v>
      </c>
      <c r="X46" s="59"/>
      <c r="AB46" s="61"/>
      <c r="AC46" s="63"/>
    </row>
    <row r="47" spans="1:29">
      <c r="A47" s="29">
        <f t="shared" si="8"/>
        <v>2017</v>
      </c>
      <c r="B47" s="30">
        <f t="shared" si="6"/>
        <v>8</v>
      </c>
      <c r="C47" s="31">
        <v>14843481686</v>
      </c>
      <c r="D47" s="31">
        <v>2068734033</v>
      </c>
      <c r="E47" s="28">
        <f t="shared" si="7"/>
        <v>16912215719</v>
      </c>
      <c r="F47" s="31">
        <v>14854719219</v>
      </c>
      <c r="G47" s="31">
        <v>2093773917</v>
      </c>
      <c r="H47" s="28">
        <f>[45]F290082017!$AF$4713-SUM($H$40:$H46)</f>
        <v>16948493136</v>
      </c>
      <c r="I47" s="40">
        <f t="shared" si="12"/>
        <v>0.000757068539424921</v>
      </c>
      <c r="J47" s="42"/>
      <c r="K47" s="40">
        <f t="shared" si="13"/>
        <v>0.0121039648406074</v>
      </c>
      <c r="L47" s="42"/>
      <c r="M47" s="31">
        <v>16891606060</v>
      </c>
      <c r="N47" s="31">
        <v>5775266509</v>
      </c>
      <c r="O47" s="48">
        <f t="shared" si="5"/>
        <v>1.92481845360325</v>
      </c>
      <c r="P47" s="41" t="s">
        <v>52</v>
      </c>
      <c r="Q47" s="53">
        <v>140618287091</v>
      </c>
      <c r="R47" s="31">
        <v>445419930401</v>
      </c>
      <c r="S47" s="31">
        <f>[1]Hoja1!$MK$14</f>
        <v>144158993025.646</v>
      </c>
      <c r="T47" s="49">
        <f>[45]F290082017!$AF$4692</f>
        <v>445419930401</v>
      </c>
      <c r="U47" s="58">
        <f t="shared" si="3"/>
        <v>-0.0245611172798388</v>
      </c>
      <c r="V47" s="59"/>
      <c r="W47" s="58">
        <f t="shared" si="11"/>
        <v>0</v>
      </c>
      <c r="X47" s="59"/>
      <c r="AB47" s="61"/>
      <c r="AC47" s="63"/>
    </row>
    <row r="48" spans="1:29">
      <c r="A48" s="29">
        <f t="shared" si="8"/>
        <v>2017</v>
      </c>
      <c r="B48" s="30">
        <f t="shared" ref="B48:B79" si="14">B36</f>
        <v>9</v>
      </c>
      <c r="C48" s="31">
        <v>10100956199</v>
      </c>
      <c r="D48" s="31">
        <v>1961743811</v>
      </c>
      <c r="E48" s="28">
        <f t="shared" si="7"/>
        <v>12062700010</v>
      </c>
      <c r="F48" s="31">
        <v>10277675335</v>
      </c>
      <c r="G48" s="31">
        <v>1977818261</v>
      </c>
      <c r="H48" s="28">
        <f>[46]F290082017!$AF$4713-SUM($H$40:$H47)</f>
        <v>12255493596</v>
      </c>
      <c r="I48" s="40">
        <f t="shared" si="12"/>
        <v>0.0174952878240868</v>
      </c>
      <c r="J48" s="42"/>
      <c r="K48" s="40">
        <f t="shared" si="13"/>
        <v>0.00819395983811266</v>
      </c>
      <c r="L48" s="42"/>
      <c r="M48" s="31">
        <v>8626831039</v>
      </c>
      <c r="N48" s="31">
        <v>-3814299681</v>
      </c>
      <c r="O48" s="48">
        <f t="shared" si="5"/>
        <v>-3.26170772107196</v>
      </c>
      <c r="P48" s="41" t="s">
        <v>52</v>
      </c>
      <c r="Q48" s="53">
        <v>136221885734</v>
      </c>
      <c r="R48" s="31">
        <v>447418565961</v>
      </c>
      <c r="S48" s="31">
        <f>[1]Hoja1!$MN$14</f>
        <v>138438324231.538</v>
      </c>
      <c r="T48" s="49">
        <f>[46]F290082017!$AF$4692</f>
        <v>447418565961</v>
      </c>
      <c r="U48" s="58">
        <f t="shared" si="3"/>
        <v>-0.0160102956305026</v>
      </c>
      <c r="V48" s="59"/>
      <c r="W48" s="58">
        <f t="shared" si="11"/>
        <v>0</v>
      </c>
      <c r="X48" s="59"/>
      <c r="AB48" s="61"/>
      <c r="AC48" s="63"/>
    </row>
    <row r="49" spans="1:29">
      <c r="A49" s="29">
        <f t="shared" si="8"/>
        <v>2017</v>
      </c>
      <c r="B49" s="30">
        <f t="shared" si="14"/>
        <v>10</v>
      </c>
      <c r="C49" s="31">
        <v>10817284328</v>
      </c>
      <c r="D49" s="31">
        <v>2013692173</v>
      </c>
      <c r="E49" s="28">
        <f t="shared" si="7"/>
        <v>12830976501</v>
      </c>
      <c r="F49" s="31">
        <v>10807449579</v>
      </c>
      <c r="G49" s="31">
        <v>2010672991</v>
      </c>
      <c r="H49" s="28">
        <f>[47]F290102017!$AF$4713-SUM($H$40:$H48)</f>
        <v>12818122570</v>
      </c>
      <c r="I49" s="40">
        <f t="shared" si="12"/>
        <v>-0.000909169871271986</v>
      </c>
      <c r="J49" s="42"/>
      <c r="K49" s="40">
        <f t="shared" si="13"/>
        <v>-0.00149932648121787</v>
      </c>
      <c r="L49" s="42"/>
      <c r="M49" s="31">
        <v>18649455122</v>
      </c>
      <c r="N49" s="31">
        <v>10982606434</v>
      </c>
      <c r="O49" s="48">
        <f t="shared" si="5"/>
        <v>0.69809008763757</v>
      </c>
      <c r="P49" s="41" t="s">
        <v>52</v>
      </c>
      <c r="Q49" s="53">
        <v>141868078371</v>
      </c>
      <c r="R49" s="31">
        <v>451258571872</v>
      </c>
      <c r="S49" s="31">
        <f>[1]Hoja1!$MQ$14</f>
        <v>145819578103.197</v>
      </c>
      <c r="T49" s="49">
        <f>[47]F290102017!$AF$4692</f>
        <v>451258571871</v>
      </c>
      <c r="U49" s="58">
        <f t="shared" si="3"/>
        <v>-0.027098554142025</v>
      </c>
      <c r="V49" s="59"/>
      <c r="W49" s="58">
        <f t="shared" si="11"/>
        <v>2.21600515715181e-12</v>
      </c>
      <c r="X49" s="59"/>
      <c r="AB49" s="61"/>
      <c r="AC49" s="63"/>
    </row>
    <row r="50" spans="1:29">
      <c r="A50" s="29">
        <f t="shared" si="8"/>
        <v>2017</v>
      </c>
      <c r="B50" s="30">
        <f t="shared" si="14"/>
        <v>11</v>
      </c>
      <c r="C50" s="31">
        <v>12738719856</v>
      </c>
      <c r="D50" s="31">
        <v>4293225180</v>
      </c>
      <c r="E50" s="28">
        <f t="shared" si="7"/>
        <v>17031945036</v>
      </c>
      <c r="F50" s="31">
        <v>12783367404</v>
      </c>
      <c r="G50" s="31">
        <v>4243931784</v>
      </c>
      <c r="H50" s="28">
        <f>[48]F290102017!$AF$4713-SUM($H$40:$H49)</f>
        <v>17027299188</v>
      </c>
      <c r="I50" s="40">
        <f t="shared" si="12"/>
        <v>0.00350486928864924</v>
      </c>
      <c r="J50" s="42"/>
      <c r="K50" s="40">
        <f t="shared" si="13"/>
        <v>-0.0114816702905856</v>
      </c>
      <c r="L50" s="42"/>
      <c r="M50" s="31">
        <v>19297258560</v>
      </c>
      <c r="N50" s="31">
        <v>5946420685</v>
      </c>
      <c r="O50" s="48">
        <f t="shared" si="5"/>
        <v>2.24518892662233</v>
      </c>
      <c r="P50" s="41" t="s">
        <v>52</v>
      </c>
      <c r="Q50" s="53">
        <v>146949010724</v>
      </c>
      <c r="R50" s="31">
        <v>452786709292</v>
      </c>
      <c r="S50" s="31">
        <f>[1]Hoja1!$MT$14</f>
        <v>150219310847.959</v>
      </c>
      <c r="T50" s="49">
        <f>[48]F290102017!$AF$4692</f>
        <v>452786709292</v>
      </c>
      <c r="U50" s="58">
        <f t="shared" si="3"/>
        <v>-0.0217701712615967</v>
      </c>
      <c r="V50" s="59"/>
      <c r="W50" s="58">
        <f t="shared" si="11"/>
        <v>0</v>
      </c>
      <c r="X50" s="59"/>
      <c r="AB50" s="61"/>
      <c r="AC50" s="63"/>
    </row>
    <row r="51" spans="1:29">
      <c r="A51" s="29">
        <f t="shared" si="8"/>
        <v>2017</v>
      </c>
      <c r="B51" s="30">
        <f t="shared" si="14"/>
        <v>12</v>
      </c>
      <c r="C51" s="31">
        <v>13298140953</v>
      </c>
      <c r="D51" s="31">
        <v>1910919338</v>
      </c>
      <c r="E51" s="28">
        <f t="shared" si="7"/>
        <v>15209060291</v>
      </c>
      <c r="F51" s="31">
        <v>13653069110</v>
      </c>
      <c r="G51" s="31">
        <v>1915123537</v>
      </c>
      <c r="H51" s="28">
        <f>[49]F290122017!$AF$4713-SUM($H$40:$H50)</f>
        <v>15568192647</v>
      </c>
      <c r="I51" s="40">
        <f t="shared" si="12"/>
        <v>0.026690058276148</v>
      </c>
      <c r="J51" s="42"/>
      <c r="K51" s="40">
        <f t="shared" si="13"/>
        <v>0.00220009234110341</v>
      </c>
      <c r="L51" s="42"/>
      <c r="M51" s="31">
        <v>16800460535</v>
      </c>
      <c r="N51" s="31">
        <v>1905741665</v>
      </c>
      <c r="O51" s="48">
        <f t="shared" si="5"/>
        <v>7.81570720919301</v>
      </c>
      <c r="P51" s="41" t="s">
        <v>52</v>
      </c>
      <c r="Q51" s="53">
        <v>143967559356</v>
      </c>
      <c r="R51" s="31">
        <v>458023400632</v>
      </c>
      <c r="S51" s="31">
        <f>[1]Hoja1!$MW$14</f>
        <v>147039821616.819</v>
      </c>
      <c r="T51" s="49">
        <f>[49]F290122017!$AF$4692</f>
        <v>458023400632</v>
      </c>
      <c r="U51" s="58">
        <f t="shared" si="3"/>
        <v>-0.0208940831608539</v>
      </c>
      <c r="V51" s="59"/>
      <c r="W51" s="58">
        <f t="shared" si="11"/>
        <v>0</v>
      </c>
      <c r="X51" s="59"/>
      <c r="AB51" s="61"/>
      <c r="AC51" s="63"/>
    </row>
    <row r="52" spans="1:29">
      <c r="A52" s="29">
        <f t="shared" si="8"/>
        <v>2018</v>
      </c>
      <c r="B52" s="30">
        <f t="shared" si="14"/>
        <v>1</v>
      </c>
      <c r="C52" s="31">
        <v>9356079219</v>
      </c>
      <c r="D52" s="31">
        <v>2050176746</v>
      </c>
      <c r="E52" s="28">
        <f t="shared" si="7"/>
        <v>11406255965</v>
      </c>
      <c r="F52" s="31">
        <v>9365241348</v>
      </c>
      <c r="G52" s="31">
        <v>2148148530</v>
      </c>
      <c r="H52" s="28">
        <f>[50]F290122017!$AF$4713</f>
        <v>11513389878</v>
      </c>
      <c r="I52" s="40">
        <f t="shared" si="12"/>
        <v>0.000979270139290112</v>
      </c>
      <c r="J52" s="42"/>
      <c r="K52" s="40">
        <f t="shared" si="13"/>
        <v>0.0477869940682665</v>
      </c>
      <c r="L52" s="42"/>
      <c r="M52" s="31">
        <v>144588000685</v>
      </c>
      <c r="N52" s="31">
        <v>134366501272</v>
      </c>
      <c r="O52" s="48">
        <f t="shared" si="5"/>
        <v>0.0760717836383078</v>
      </c>
      <c r="P52" s="41" t="s">
        <v>52</v>
      </c>
      <c r="Q52" s="53">
        <v>273457131646</v>
      </c>
      <c r="R52" s="31">
        <v>461322735647</v>
      </c>
      <c r="S52" s="31">
        <f>[1]Hoja1!$MZ$14</f>
        <v>278263045969.896</v>
      </c>
      <c r="T52" s="49">
        <f>[50]F290122017!$AF$4692</f>
        <v>461322735647</v>
      </c>
      <c r="U52" s="58">
        <f t="shared" si="3"/>
        <v>-0.0172711195162273</v>
      </c>
      <c r="V52" s="59"/>
      <c r="W52" s="58">
        <f t="shared" si="11"/>
        <v>0</v>
      </c>
      <c r="X52" s="59"/>
      <c r="AB52" s="61"/>
      <c r="AC52" s="63"/>
    </row>
    <row r="53" spans="1:29">
      <c r="A53" s="29">
        <f t="shared" si="8"/>
        <v>2018</v>
      </c>
      <c r="B53" s="30">
        <f t="shared" si="14"/>
        <v>2</v>
      </c>
      <c r="C53" s="31">
        <v>12820188543</v>
      </c>
      <c r="D53" s="31">
        <v>2363124570</v>
      </c>
      <c r="E53" s="28">
        <f t="shared" si="7"/>
        <v>15183313113</v>
      </c>
      <c r="F53" s="31">
        <v>12969723884</v>
      </c>
      <c r="G53" s="31">
        <v>2320553999</v>
      </c>
      <c r="H53" s="28">
        <f>[51]F290022018!$AF$4713-SUM($H$52:$H52)</f>
        <v>15290277883</v>
      </c>
      <c r="I53" s="40">
        <f t="shared" si="12"/>
        <v>0.0116640516243927</v>
      </c>
      <c r="J53" s="42"/>
      <c r="K53" s="40">
        <f t="shared" si="13"/>
        <v>-0.0180145268431617</v>
      </c>
      <c r="L53" s="42"/>
      <c r="M53" s="31">
        <v>26839694585</v>
      </c>
      <c r="N53" s="31">
        <v>10571665048</v>
      </c>
      <c r="O53" s="48">
        <f t="shared" si="5"/>
        <v>1.5388332361209</v>
      </c>
      <c r="P53" s="41" t="s">
        <v>52</v>
      </c>
      <c r="Q53" s="53">
        <v>283951811794</v>
      </c>
      <c r="R53" s="31">
        <v>464718397093</v>
      </c>
      <c r="S53" s="31">
        <f>[1]Hoja1!$NC$14</f>
        <v>286243557248.948</v>
      </c>
      <c r="T53" s="49">
        <f>[51]F290022018!$AF$4692</f>
        <v>464718397093</v>
      </c>
      <c r="U53" s="58">
        <f t="shared" si="3"/>
        <v>-0.00800627785992369</v>
      </c>
      <c r="V53" s="59"/>
      <c r="W53" s="58">
        <f t="shared" si="11"/>
        <v>0</v>
      </c>
      <c r="X53" s="59"/>
      <c r="AB53" s="61"/>
      <c r="AC53" s="63"/>
    </row>
    <row r="54" spans="1:29">
      <c r="A54" s="29">
        <f t="shared" si="8"/>
        <v>2018</v>
      </c>
      <c r="B54" s="30">
        <f t="shared" si="14"/>
        <v>3</v>
      </c>
      <c r="C54" s="31">
        <v>12605855618</v>
      </c>
      <c r="D54" s="31">
        <v>2208299347</v>
      </c>
      <c r="E54" s="28">
        <f t="shared" si="7"/>
        <v>14814154965</v>
      </c>
      <c r="F54" s="31">
        <v>12608375673</v>
      </c>
      <c r="G54" s="31">
        <v>2341755923</v>
      </c>
      <c r="H54" s="28">
        <f>[52]F290032018!$AF$4713-SUM($H$52:$H53)</f>
        <v>14950131596</v>
      </c>
      <c r="I54" s="40">
        <f t="shared" si="12"/>
        <v>0.000199911459909385</v>
      </c>
      <c r="J54" s="42"/>
      <c r="K54" s="43">
        <f t="shared" si="13"/>
        <v>0.0604340965735928</v>
      </c>
      <c r="L54" s="44" t="s">
        <v>53</v>
      </c>
      <c r="M54" s="31">
        <v>23812430844</v>
      </c>
      <c r="N54" s="31">
        <v>13204619101</v>
      </c>
      <c r="O54" s="48">
        <f t="shared" si="5"/>
        <v>0.803340987109326</v>
      </c>
      <c r="P54" s="41" t="s">
        <v>52</v>
      </c>
      <c r="Q54" s="53">
        <v>294840817842</v>
      </c>
      <c r="R54" s="31">
        <v>467728899376</v>
      </c>
      <c r="S54" s="31">
        <f>[1]Hoja1!$NF$14</f>
        <v>297262362080.756</v>
      </c>
      <c r="T54" s="49">
        <f>[52]F290032018!$AF$4692</f>
        <v>467728899376</v>
      </c>
      <c r="U54" s="58">
        <f t="shared" si="3"/>
        <v>-0.00814615150672271</v>
      </c>
      <c r="V54" s="59"/>
      <c r="W54" s="58">
        <f t="shared" si="11"/>
        <v>0</v>
      </c>
      <c r="X54" s="59"/>
      <c r="AB54" s="61"/>
      <c r="AC54" s="63"/>
    </row>
    <row r="55" spans="1:29">
      <c r="A55" s="29">
        <f t="shared" si="8"/>
        <v>2018</v>
      </c>
      <c r="B55" s="30">
        <f t="shared" si="14"/>
        <v>4</v>
      </c>
      <c r="C55" s="31">
        <v>11136226421</v>
      </c>
      <c r="D55" s="31">
        <v>2259719413</v>
      </c>
      <c r="E55" s="28">
        <f t="shared" si="7"/>
        <v>13395945834</v>
      </c>
      <c r="F55" s="31">
        <v>11265661360</v>
      </c>
      <c r="G55" s="31">
        <v>2364959284</v>
      </c>
      <c r="H55" s="28">
        <f>[53]F290042018!$AF$4713-SUM($H$52:$H54)</f>
        <v>13630620644</v>
      </c>
      <c r="I55" s="40">
        <f t="shared" si="12"/>
        <v>0.0116228724261496</v>
      </c>
      <c r="J55" s="42"/>
      <c r="K55" s="40">
        <f t="shared" si="13"/>
        <v>0.0465720966924312</v>
      </c>
      <c r="L55" s="42"/>
      <c r="M55" s="31">
        <v>20511522483</v>
      </c>
      <c r="N55" s="31">
        <v>11612073811</v>
      </c>
      <c r="O55" s="48">
        <f t="shared" si="5"/>
        <v>0.766396150838246</v>
      </c>
      <c r="P55" s="41" t="s">
        <v>52</v>
      </c>
      <c r="Q55" s="53">
        <v>299657184984</v>
      </c>
      <c r="R55" s="31">
        <v>474518665941</v>
      </c>
      <c r="S55" s="31">
        <f>[1]Hoja1!$NI$14</f>
        <v>302025857502.303</v>
      </c>
      <c r="T55" s="49">
        <f>[53]F290042018!$AF$4692</f>
        <v>474518665941</v>
      </c>
      <c r="U55" s="58">
        <f t="shared" si="3"/>
        <v>-0.00784261499293837</v>
      </c>
      <c r="V55" s="59"/>
      <c r="W55" s="58">
        <f t="shared" si="11"/>
        <v>0</v>
      </c>
      <c r="X55" s="59"/>
      <c r="AB55" s="61"/>
      <c r="AC55" s="63"/>
    </row>
    <row r="56" spans="1:29">
      <c r="A56" s="29">
        <f t="shared" si="8"/>
        <v>2018</v>
      </c>
      <c r="B56" s="30">
        <f t="shared" si="14"/>
        <v>5</v>
      </c>
      <c r="C56" s="31">
        <v>15671236128</v>
      </c>
      <c r="D56" s="31">
        <v>2458336090</v>
      </c>
      <c r="E56" s="28">
        <f t="shared" si="7"/>
        <v>18129572218</v>
      </c>
      <c r="F56" s="31">
        <v>15677572683</v>
      </c>
      <c r="G56" s="31">
        <v>2136820467</v>
      </c>
      <c r="H56" s="28">
        <f>[54]F290042018!$AF$4713-SUM($H$52:$H55)</f>
        <v>17814393150</v>
      </c>
      <c r="I56" s="40">
        <f t="shared" si="12"/>
        <v>0.000404343023629128</v>
      </c>
      <c r="J56" s="42"/>
      <c r="K56" s="43">
        <f t="shared" si="13"/>
        <v>-0.130785869478083</v>
      </c>
      <c r="L56" s="44" t="s">
        <v>54</v>
      </c>
      <c r="M56" s="31">
        <v>21874422341</v>
      </c>
      <c r="N56" s="31">
        <v>10954236424</v>
      </c>
      <c r="O56" s="48">
        <f t="shared" si="5"/>
        <v>0.996891567272969</v>
      </c>
      <c r="P56" s="41" t="s">
        <v>52</v>
      </c>
      <c r="Q56" s="53">
        <v>307746800869</v>
      </c>
      <c r="R56" s="31">
        <v>477239989415</v>
      </c>
      <c r="S56" s="31">
        <f>[1]Hoja1!$NL$14</f>
        <v>310708575135.978</v>
      </c>
      <c r="T56" s="49">
        <f>[54]F290042018!$AF$4692</f>
        <v>477239989416</v>
      </c>
      <c r="U56" s="58">
        <f t="shared" si="3"/>
        <v>-0.00953232225947254</v>
      </c>
      <c r="V56" s="59"/>
      <c r="W56" s="58">
        <f t="shared" si="11"/>
        <v>-2.09543493667752e-12</v>
      </c>
      <c r="X56" s="59"/>
      <c r="AB56" s="61"/>
      <c r="AC56" s="63"/>
    </row>
    <row r="57" spans="1:29">
      <c r="A57" s="29">
        <f t="shared" si="8"/>
        <v>2018</v>
      </c>
      <c r="B57" s="30">
        <f t="shared" si="14"/>
        <v>6</v>
      </c>
      <c r="C57" s="31">
        <v>11648055324</v>
      </c>
      <c r="D57" s="31">
        <v>3467037623</v>
      </c>
      <c r="E57" s="28">
        <f t="shared" si="7"/>
        <v>15115092947</v>
      </c>
      <c r="F57" s="31">
        <v>11909472331</v>
      </c>
      <c r="G57" s="31">
        <v>3403471478</v>
      </c>
      <c r="H57" s="28">
        <f>[55]F290062018!$AF$4713-SUM($H$52:$H56)</f>
        <v>15312943809</v>
      </c>
      <c r="I57" s="40">
        <f t="shared" si="12"/>
        <v>0.0224429743616832</v>
      </c>
      <c r="J57" s="42"/>
      <c r="K57" s="40">
        <f t="shared" si="13"/>
        <v>-0.0183344260755373</v>
      </c>
      <c r="L57" s="42"/>
      <c r="M57" s="31">
        <v>24422763566</v>
      </c>
      <c r="N57" s="31">
        <v>12816390173</v>
      </c>
      <c r="O57" s="48">
        <f t="shared" si="5"/>
        <v>0.905588331529644</v>
      </c>
      <c r="P57" s="41" t="s">
        <v>52</v>
      </c>
      <c r="Q57" s="53">
        <v>318221028860</v>
      </c>
      <c r="R57" s="31">
        <v>479564448917</v>
      </c>
      <c r="S57" s="31">
        <f>[1]Hoja1!$NO$14</f>
        <v>321361033058.83</v>
      </c>
      <c r="T57" s="49">
        <f>[55]F290062018!$AF$4692</f>
        <v>479564448918</v>
      </c>
      <c r="U57" s="58">
        <f t="shared" si="3"/>
        <v>-0.00977095501885228</v>
      </c>
      <c r="V57" s="59"/>
      <c r="W57" s="58">
        <f t="shared" si="11"/>
        <v>-2.08522088485097e-12</v>
      </c>
      <c r="X57" s="59"/>
      <c r="AB57" s="61"/>
      <c r="AC57" s="63"/>
    </row>
    <row r="58" spans="1:29">
      <c r="A58" s="29">
        <f t="shared" si="8"/>
        <v>2018</v>
      </c>
      <c r="B58" s="30">
        <f t="shared" si="14"/>
        <v>7</v>
      </c>
      <c r="C58" s="31">
        <v>11146798993</v>
      </c>
      <c r="D58" s="31">
        <v>2286676103</v>
      </c>
      <c r="E58" s="28">
        <f t="shared" si="7"/>
        <v>13433475096</v>
      </c>
      <c r="F58" s="31">
        <v>11245074632</v>
      </c>
      <c r="G58" s="31">
        <v>2287443336</v>
      </c>
      <c r="H58" s="28">
        <f>[56]F290072018!$AF$4713-SUM($H$52:$H57)</f>
        <v>13532517968</v>
      </c>
      <c r="I58" s="40">
        <f t="shared" si="12"/>
        <v>0.00881648974398086</v>
      </c>
      <c r="J58" s="42"/>
      <c r="K58" s="40">
        <f t="shared" si="13"/>
        <v>0.000335523250972747</v>
      </c>
      <c r="L58" s="42"/>
      <c r="M58" s="31">
        <v>28928289375</v>
      </c>
      <c r="N58" s="31">
        <v>10383987239</v>
      </c>
      <c r="O58" s="48">
        <f t="shared" si="5"/>
        <v>1.78585563610398</v>
      </c>
      <c r="P58" s="41" t="s">
        <v>52</v>
      </c>
      <c r="Q58" s="53">
        <v>322974667059</v>
      </c>
      <c r="R58" s="31">
        <v>484133933259</v>
      </c>
      <c r="S58" s="31">
        <f>[1]Hoja1!$NR$14</f>
        <v>326330061297.808</v>
      </c>
      <c r="T58" s="49">
        <f>[56]F290072018!$AF$4692</f>
        <v>484133933260</v>
      </c>
      <c r="U58" s="58">
        <f t="shared" si="3"/>
        <v>-0.0102822100589318</v>
      </c>
      <c r="V58" s="59"/>
      <c r="W58" s="58">
        <f t="shared" si="11"/>
        <v>-2.0655699373151e-12</v>
      </c>
      <c r="X58" s="59"/>
      <c r="AB58" s="61"/>
      <c r="AC58" s="63"/>
    </row>
    <row r="59" spans="1:29">
      <c r="A59" s="29">
        <f t="shared" si="8"/>
        <v>2018</v>
      </c>
      <c r="B59" s="30">
        <f t="shared" si="14"/>
        <v>8</v>
      </c>
      <c r="C59" s="31">
        <v>10610363517</v>
      </c>
      <c r="D59" s="31">
        <v>2591170950</v>
      </c>
      <c r="E59" s="28">
        <f t="shared" si="7"/>
        <v>13201534467</v>
      </c>
      <c r="F59" s="31">
        <v>10652081229</v>
      </c>
      <c r="G59" s="31">
        <v>2566143516</v>
      </c>
      <c r="H59" s="28">
        <f>[57]F290082018!$AF$4713-SUM($H$52:$H58)</f>
        <v>13218224745</v>
      </c>
      <c r="I59" s="40">
        <f t="shared" si="12"/>
        <v>0.0039317891355144</v>
      </c>
      <c r="J59" s="42"/>
      <c r="K59" s="40">
        <f t="shared" si="13"/>
        <v>-0.00965873517530746</v>
      </c>
      <c r="L59" s="42"/>
      <c r="M59" s="31">
        <v>27794194562</v>
      </c>
      <c r="N59" s="31">
        <v>12685434806</v>
      </c>
      <c r="O59" s="48">
        <f t="shared" si="5"/>
        <v>1.19103207631904</v>
      </c>
      <c r="P59" s="41" t="s">
        <v>52</v>
      </c>
      <c r="Q59" s="53">
        <v>332188641331</v>
      </c>
      <c r="R59" s="31">
        <v>487001929369</v>
      </c>
      <c r="S59" s="31">
        <f>[1]Hoja1!$NU$14</f>
        <v>336238994600.113</v>
      </c>
      <c r="T59" s="49">
        <f>[57]F290082018!$AF$4692</f>
        <v>487001929370</v>
      </c>
      <c r="U59" s="58">
        <f t="shared" si="3"/>
        <v>-0.0120460545450115</v>
      </c>
      <c r="V59" s="59"/>
      <c r="W59" s="58">
        <f t="shared" si="11"/>
        <v>-2.05335748404423e-12</v>
      </c>
      <c r="X59" s="59"/>
      <c r="AB59" s="61"/>
      <c r="AC59" s="63"/>
    </row>
    <row r="60" spans="1:29">
      <c r="A60" s="29">
        <f t="shared" si="8"/>
        <v>2018</v>
      </c>
      <c r="B60" s="30">
        <f t="shared" si="14"/>
        <v>9</v>
      </c>
      <c r="C60" s="31">
        <v>16923630343</v>
      </c>
      <c r="D60" s="31">
        <v>2304677693</v>
      </c>
      <c r="E60" s="28">
        <f t="shared" si="7"/>
        <v>19228308036</v>
      </c>
      <c r="F60" s="31">
        <v>17008120691</v>
      </c>
      <c r="G60" s="31">
        <v>2289664016</v>
      </c>
      <c r="H60" s="28">
        <f>[58]F290092018!$AF$4713-SUM($H$52:$H59)</f>
        <v>19297784707</v>
      </c>
      <c r="I60" s="40">
        <f t="shared" si="12"/>
        <v>0.00499244820925471</v>
      </c>
      <c r="J60" s="42"/>
      <c r="K60" s="40">
        <f t="shared" si="13"/>
        <v>-0.00651443672388596</v>
      </c>
      <c r="L60" s="42"/>
      <c r="M60" s="31">
        <v>33417156837</v>
      </c>
      <c r="N60" s="31">
        <v>10238720756</v>
      </c>
      <c r="O60" s="48">
        <f t="shared" si="5"/>
        <v>2.26380195664748</v>
      </c>
      <c r="P60" s="41" t="s">
        <v>52</v>
      </c>
      <c r="Q60" s="53">
        <v>339461318974</v>
      </c>
      <c r="R60" s="31">
        <v>490052190469</v>
      </c>
      <c r="S60" s="31">
        <f>[1]Hoja1!$NX$14</f>
        <v>344843334617.592</v>
      </c>
      <c r="T60" s="49">
        <f>[58]F290092018!$AF$4692</f>
        <v>490052190470</v>
      </c>
      <c r="U60" s="58">
        <f t="shared" si="3"/>
        <v>-0.0156071325825703</v>
      </c>
      <c r="V60" s="59"/>
      <c r="W60" s="58">
        <f t="shared" si="11"/>
        <v>-2.04058991926104e-12</v>
      </c>
      <c r="X60" s="59"/>
      <c r="AB60" s="61"/>
      <c r="AC60" s="63"/>
    </row>
    <row r="61" spans="1:29">
      <c r="A61" s="29">
        <f t="shared" si="8"/>
        <v>2018</v>
      </c>
      <c r="B61" s="30">
        <f t="shared" si="14"/>
        <v>10</v>
      </c>
      <c r="C61" s="31">
        <v>11925772968</v>
      </c>
      <c r="D61" s="31">
        <v>2241069961</v>
      </c>
      <c r="E61" s="28">
        <f t="shared" si="7"/>
        <v>14166842929</v>
      </c>
      <c r="F61" s="31">
        <v>12106324758</v>
      </c>
      <c r="G61" s="31">
        <v>2221941441</v>
      </c>
      <c r="H61" s="28">
        <f>[59]F290102018!$AF$4713-SUM($H$52:$H60)</f>
        <v>14328266199</v>
      </c>
      <c r="I61" s="40">
        <f t="shared" si="12"/>
        <v>0.0151396299832698</v>
      </c>
      <c r="J61" s="42"/>
      <c r="K61" s="40">
        <f t="shared" si="13"/>
        <v>-0.00853544080857904</v>
      </c>
      <c r="L61" s="42"/>
      <c r="M61" s="31">
        <v>30248335219</v>
      </c>
      <c r="N61" s="31">
        <v>13471185520</v>
      </c>
      <c r="O61" s="48">
        <f t="shared" si="5"/>
        <v>1.24541004012541</v>
      </c>
      <c r="P61" s="41" t="s">
        <v>52</v>
      </c>
      <c r="Q61" s="53">
        <v>346538194814</v>
      </c>
      <c r="R61" s="31">
        <v>495407683081</v>
      </c>
      <c r="S61" s="31">
        <f>[1]Hoja1!$OA$14</f>
        <v>352315845606.012</v>
      </c>
      <c r="T61" s="49">
        <f>[59]F290102018!$AF$4692</f>
        <v>495407683082</v>
      </c>
      <c r="U61" s="58">
        <f t="shared" si="3"/>
        <v>-0.0163990659633081</v>
      </c>
      <c r="V61" s="59"/>
      <c r="W61" s="58">
        <f t="shared" si="11"/>
        <v>-2.018496481071e-12</v>
      </c>
      <c r="X61" s="59"/>
      <c r="AB61" s="61"/>
      <c r="AC61" s="63"/>
    </row>
    <row r="62" spans="1:29">
      <c r="A62" s="29">
        <f t="shared" si="8"/>
        <v>2018</v>
      </c>
      <c r="B62" s="30">
        <f t="shared" si="14"/>
        <v>11</v>
      </c>
      <c r="C62" s="31">
        <v>12886922784</v>
      </c>
      <c r="D62" s="31">
        <v>4286937914</v>
      </c>
      <c r="E62" s="28">
        <f t="shared" si="7"/>
        <v>17173860698</v>
      </c>
      <c r="F62" s="31">
        <v>12971240346</v>
      </c>
      <c r="G62" s="31">
        <v>4155344785</v>
      </c>
      <c r="H62" s="28">
        <f>[60]F290112018!$AF$4713-SUM($H$52:$H61)</f>
        <v>17126585131</v>
      </c>
      <c r="I62" s="40">
        <f t="shared" si="12"/>
        <v>0.00654287787808316</v>
      </c>
      <c r="J62" s="42"/>
      <c r="K62" s="40">
        <f t="shared" si="13"/>
        <v>-0.0306962992326648</v>
      </c>
      <c r="L62" s="42"/>
      <c r="M62" s="31">
        <v>29214646382</v>
      </c>
      <c r="N62" s="31">
        <v>8551700720</v>
      </c>
      <c r="O62" s="48">
        <f t="shared" si="5"/>
        <v>2.4162381657809</v>
      </c>
      <c r="P62" s="41" t="s">
        <v>52</v>
      </c>
      <c r="Q62" s="53">
        <v>355594047125</v>
      </c>
      <c r="R62" s="31">
        <v>495811518082</v>
      </c>
      <c r="S62" s="31">
        <f>[1]Hoja1!$OD$14</f>
        <v>360696341113.724</v>
      </c>
      <c r="T62" s="49">
        <f>[60]F290112018!$AF$4692</f>
        <v>495811518083</v>
      </c>
      <c r="U62" s="58">
        <f t="shared" si="3"/>
        <v>-0.014145677144851</v>
      </c>
      <c r="V62" s="59"/>
      <c r="W62" s="58">
        <f t="shared" si="11"/>
        <v>-2.01694216883652e-12</v>
      </c>
      <c r="X62" s="59"/>
      <c r="AB62" s="61"/>
      <c r="AC62" s="63"/>
    </row>
    <row r="63" spans="1:29">
      <c r="A63" s="29">
        <f t="shared" si="8"/>
        <v>2018</v>
      </c>
      <c r="B63" s="30">
        <f t="shared" si="14"/>
        <v>12</v>
      </c>
      <c r="C63" s="31">
        <v>15945921008</v>
      </c>
      <c r="D63" s="31">
        <v>2384838707</v>
      </c>
      <c r="E63" s="28">
        <f t="shared" si="7"/>
        <v>18330759715</v>
      </c>
      <c r="F63" s="31">
        <v>16134848313</v>
      </c>
      <c r="G63" s="31">
        <v>2432186113</v>
      </c>
      <c r="H63" s="28">
        <f>[61]F290122018!$AF$4713-SUM($H$52:$H62)</f>
        <v>18567034426</v>
      </c>
      <c r="I63" s="40">
        <f t="shared" si="12"/>
        <v>0.0118480020630489</v>
      </c>
      <c r="J63" s="42"/>
      <c r="K63" s="40">
        <f t="shared" si="13"/>
        <v>0.0198535044994974</v>
      </c>
      <c r="L63" s="42"/>
      <c r="M63" s="31">
        <v>3567350229</v>
      </c>
      <c r="N63" s="31">
        <v>12768472047</v>
      </c>
      <c r="O63" s="48">
        <f t="shared" si="5"/>
        <v>-0.720612598291417</v>
      </c>
      <c r="P63" s="41" t="s">
        <v>52</v>
      </c>
      <c r="Q63" s="54">
        <v>340884195395</v>
      </c>
      <c r="R63" s="31">
        <v>506539511579</v>
      </c>
      <c r="S63" s="31">
        <f>[1]Hoja1!$OG$14</f>
        <v>359083284033.692</v>
      </c>
      <c r="T63" s="49">
        <f>[61]F290122018!$AF$4692</f>
        <v>506539511579</v>
      </c>
      <c r="U63" s="60">
        <f t="shared" si="3"/>
        <v>-0.0506820825359969</v>
      </c>
      <c r="V63" s="59" t="s">
        <v>56</v>
      </c>
      <c r="W63" s="58">
        <f t="shared" si="11"/>
        <v>0</v>
      </c>
      <c r="X63" s="59"/>
      <c r="AB63" s="61"/>
      <c r="AC63" s="63"/>
    </row>
    <row r="64" spans="1:29">
      <c r="A64" s="29">
        <f t="shared" si="8"/>
        <v>2019</v>
      </c>
      <c r="B64" s="30">
        <f t="shared" si="14"/>
        <v>1</v>
      </c>
      <c r="C64" s="31">
        <v>12801731927</v>
      </c>
      <c r="D64" s="31">
        <v>3015831828</v>
      </c>
      <c r="E64" s="28">
        <f t="shared" si="7"/>
        <v>15817563755</v>
      </c>
      <c r="F64" s="31">
        <v>12793246220</v>
      </c>
      <c r="G64" s="31">
        <v>3001201011</v>
      </c>
      <c r="H64" s="28">
        <f>[62]F290012019!$AF$4713</f>
        <v>15794447231</v>
      </c>
      <c r="I64" s="40">
        <f t="shared" si="12"/>
        <v>-0.000662856170429826</v>
      </c>
      <c r="J64" s="42"/>
      <c r="K64" s="40">
        <f t="shared" si="13"/>
        <v>-0.00485133715486474</v>
      </c>
      <c r="L64" s="42"/>
      <c r="M64" s="31">
        <v>28461734689</v>
      </c>
      <c r="N64" s="31">
        <v>11175123650</v>
      </c>
      <c r="O64" s="48">
        <f t="shared" si="5"/>
        <v>1.54688320061676</v>
      </c>
      <c r="P64" s="41" t="s">
        <v>52</v>
      </c>
      <c r="Q64" s="53">
        <v>361853355991</v>
      </c>
      <c r="R64" s="31">
        <v>508760303743</v>
      </c>
      <c r="S64" s="31">
        <f>[1]Hoja1!$OJ$14</f>
        <v>367759834360.958</v>
      </c>
      <c r="T64" s="49">
        <f>[62]F290012019!$AF$4692</f>
        <v>508760303743</v>
      </c>
      <c r="U64" s="58">
        <f t="shared" si="3"/>
        <v>-0.0160606945568748</v>
      </c>
      <c r="V64" s="59"/>
      <c r="W64" s="58">
        <f t="shared" si="11"/>
        <v>0</v>
      </c>
      <c r="X64" s="59"/>
      <c r="AB64" s="61"/>
      <c r="AC64" s="63"/>
    </row>
    <row r="65" spans="1:29">
      <c r="A65" s="29">
        <f t="shared" si="8"/>
        <v>2019</v>
      </c>
      <c r="B65" s="30">
        <f t="shared" si="14"/>
        <v>2</v>
      </c>
      <c r="C65" s="31">
        <v>12146229694</v>
      </c>
      <c r="D65" s="31">
        <v>2466014177</v>
      </c>
      <c r="E65" s="28">
        <f t="shared" si="7"/>
        <v>14612243871</v>
      </c>
      <c r="F65" s="31">
        <v>12190892208</v>
      </c>
      <c r="G65" s="31">
        <v>2380949117</v>
      </c>
      <c r="H65" s="28">
        <f>[63]F290022019!$AF$4713-SUM($H$64:$H64)</f>
        <v>14571841325</v>
      </c>
      <c r="I65" s="40">
        <f t="shared" si="12"/>
        <v>0.0036770681211522</v>
      </c>
      <c r="J65" s="42"/>
      <c r="K65" s="40">
        <f t="shared" si="13"/>
        <v>-0.0344949598398031</v>
      </c>
      <c r="L65" s="42"/>
      <c r="M65" s="31">
        <v>22770496356</v>
      </c>
      <c r="N65" s="31">
        <v>-881679660</v>
      </c>
      <c r="O65" s="48">
        <f t="shared" si="5"/>
        <v>-26.8262693232597</v>
      </c>
      <c r="P65" s="41" t="s">
        <v>52</v>
      </c>
      <c r="Q65" s="53">
        <v>355463107349</v>
      </c>
      <c r="R65" s="31">
        <v>513698708663</v>
      </c>
      <c r="S65" s="31">
        <f>[1]Hoja1!$OM$14</f>
        <v>361089559009.198</v>
      </c>
      <c r="T65" s="49">
        <f>[63]F290022019!$AF$4692</f>
        <v>513698708663</v>
      </c>
      <c r="U65" s="58">
        <f t="shared" si="3"/>
        <v>-0.0155818730279452</v>
      </c>
      <c r="V65" s="59"/>
      <c r="W65" s="58">
        <f t="shared" si="11"/>
        <v>0</v>
      </c>
      <c r="X65" s="59"/>
      <c r="AB65" s="61"/>
      <c r="AC65" s="63"/>
    </row>
    <row r="66" spans="1:29">
      <c r="A66" s="29">
        <f t="shared" si="8"/>
        <v>2019</v>
      </c>
      <c r="B66" s="30">
        <f t="shared" si="14"/>
        <v>3</v>
      </c>
      <c r="C66" s="31">
        <v>10634718578</v>
      </c>
      <c r="D66" s="31">
        <v>2230340322</v>
      </c>
      <c r="E66" s="28">
        <f t="shared" si="7"/>
        <v>12865058900</v>
      </c>
      <c r="F66" s="31">
        <v>10627661990</v>
      </c>
      <c r="G66" s="31">
        <v>2148334677</v>
      </c>
      <c r="H66" s="28">
        <f>[64]F290022019!$AF$4713-SUM($H$64:$H65)</f>
        <v>12775996667</v>
      </c>
      <c r="I66" s="40">
        <f t="shared" si="12"/>
        <v>-0.000663542523315797</v>
      </c>
      <c r="J66" s="42"/>
      <c r="K66" s="40">
        <f t="shared" si="13"/>
        <v>-0.0367682206123878</v>
      </c>
      <c r="L66" s="42"/>
      <c r="M66" s="31">
        <v>24046773772</v>
      </c>
      <c r="N66" s="31">
        <v>7615046889</v>
      </c>
      <c r="O66" s="48">
        <f t="shared" si="5"/>
        <v>2.15779720368311</v>
      </c>
      <c r="P66" s="41" t="s">
        <v>52</v>
      </c>
      <c r="Q66" s="53">
        <v>358391783293</v>
      </c>
      <c r="R66" s="31">
        <v>516897942445</v>
      </c>
      <c r="S66" s="31">
        <f>[1]Hoja1!$OP$14</f>
        <v>364866370501.476</v>
      </c>
      <c r="T66" s="49">
        <f>[64]F290022019!$AF$4692</f>
        <v>516897942445</v>
      </c>
      <c r="U66" s="58">
        <f t="shared" si="3"/>
        <v>-0.0177450917155695</v>
      </c>
      <c r="V66" s="59"/>
      <c r="W66" s="58">
        <f t="shared" si="11"/>
        <v>0</v>
      </c>
      <c r="X66" s="59"/>
      <c r="AB66" s="61"/>
      <c r="AC66" s="63"/>
    </row>
    <row r="67" spans="1:29">
      <c r="A67" s="29">
        <f t="shared" si="8"/>
        <v>2019</v>
      </c>
      <c r="B67" s="30">
        <f t="shared" si="14"/>
        <v>4</v>
      </c>
      <c r="C67" s="31">
        <v>14436106764</v>
      </c>
      <c r="D67" s="31">
        <v>2619251998</v>
      </c>
      <c r="E67" s="28">
        <f t="shared" si="7"/>
        <v>17055358762</v>
      </c>
      <c r="F67" s="31">
        <v>14507987180</v>
      </c>
      <c r="G67" s="31">
        <v>2626668708</v>
      </c>
      <c r="H67" s="28">
        <f>[65]F290042019!$AF$4713-SUM($H$64:$H66)</f>
        <v>17134655888</v>
      </c>
      <c r="I67" s="40">
        <f t="shared" si="12"/>
        <v>0.00497921061232742</v>
      </c>
      <c r="J67" s="42"/>
      <c r="K67" s="40">
        <f t="shared" si="13"/>
        <v>0.00283161376059393</v>
      </c>
      <c r="L67" s="42"/>
      <c r="M67" s="31">
        <v>22259319026</v>
      </c>
      <c r="N67" s="31">
        <v>7293518471</v>
      </c>
      <c r="O67" s="48">
        <f t="shared" si="5"/>
        <v>2.05193153544562</v>
      </c>
      <c r="P67" s="41" t="s">
        <v>52</v>
      </c>
      <c r="Q67" s="53">
        <v>362901370748</v>
      </c>
      <c r="R67" s="31">
        <v>519393304674</v>
      </c>
      <c r="S67" s="31">
        <f>[1]Hoja1!$OS$14</f>
        <v>369296060146.346</v>
      </c>
      <c r="T67" s="49">
        <f>[65]F290042019!$AF$4692</f>
        <v>519393304674</v>
      </c>
      <c r="U67" s="58">
        <f t="shared" si="3"/>
        <v>-0.0173158884928579</v>
      </c>
      <c r="V67" s="59"/>
      <c r="W67" s="58">
        <f t="shared" si="11"/>
        <v>0</v>
      </c>
      <c r="X67" s="59"/>
      <c r="AB67" s="61"/>
      <c r="AC67" s="63"/>
    </row>
    <row r="68" spans="1:29">
      <c r="A68" s="29">
        <f t="shared" si="8"/>
        <v>2019</v>
      </c>
      <c r="B68" s="30">
        <f t="shared" si="14"/>
        <v>5</v>
      </c>
      <c r="C68" s="31">
        <v>13082076790</v>
      </c>
      <c r="D68" s="31">
        <v>2368775506</v>
      </c>
      <c r="E68" s="28">
        <f t="shared" si="7"/>
        <v>15450852296</v>
      </c>
      <c r="F68" s="31">
        <v>13193853070</v>
      </c>
      <c r="G68" s="31">
        <v>2447056008</v>
      </c>
      <c r="H68" s="28">
        <f>[66]F290052019!$AF$4713-SUM($H$64:$H67)</f>
        <v>15640909078</v>
      </c>
      <c r="I68" s="40">
        <f t="shared" ref="I68:I99" si="15">IFERROR(F68/C68-1,"")</f>
        <v>0.00854423053726783</v>
      </c>
      <c r="J68" s="42"/>
      <c r="K68" s="40">
        <f t="shared" ref="K68:K99" si="16">IFERROR(G68/D68-1,"")</f>
        <v>0.0330468217869186</v>
      </c>
      <c r="L68" s="42"/>
      <c r="M68" s="31">
        <v>23151334378</v>
      </c>
      <c r="N68" s="31">
        <v>-12607699126</v>
      </c>
      <c r="O68" s="48">
        <f t="shared" si="5"/>
        <v>-2.836285443254</v>
      </c>
      <c r="P68" s="41" t="s">
        <v>52</v>
      </c>
      <c r="Q68" s="53">
        <v>346396074059</v>
      </c>
      <c r="R68" s="31">
        <v>522373130871</v>
      </c>
      <c r="S68" s="31">
        <f>[1]Hoja1!$OV$14</f>
        <v>353342255400.922</v>
      </c>
      <c r="T68" s="49">
        <f>[66]F290052019!$AF$4692</f>
        <v>522373130872</v>
      </c>
      <c r="U68" s="58">
        <f t="shared" si="3"/>
        <v>-0.0196585073982736</v>
      </c>
      <c r="V68" s="59"/>
      <c r="W68" s="58">
        <f t="shared" si="11"/>
        <v>-1.91435756136116e-12</v>
      </c>
      <c r="X68" s="59"/>
      <c r="AB68" s="61"/>
      <c r="AC68" s="63"/>
    </row>
    <row r="69" spans="1:29">
      <c r="A69" s="29">
        <f t="shared" si="8"/>
        <v>2019</v>
      </c>
      <c r="B69" s="30">
        <f t="shared" si="14"/>
        <v>6</v>
      </c>
      <c r="C69" s="31">
        <v>11221511505</v>
      </c>
      <c r="D69" s="31">
        <v>3785336828</v>
      </c>
      <c r="E69" s="28">
        <f t="shared" si="7"/>
        <v>15006848333</v>
      </c>
      <c r="F69" s="31">
        <v>11298940950</v>
      </c>
      <c r="G69" s="31">
        <v>3711247876</v>
      </c>
      <c r="H69" s="28">
        <f>[67]F290062019!$AF$4713-SUM($H$64:$H68)</f>
        <v>15010188826</v>
      </c>
      <c r="I69" s="40">
        <f t="shared" si="15"/>
        <v>0.00690009050612295</v>
      </c>
      <c r="J69" s="42"/>
      <c r="K69" s="40">
        <f t="shared" si="16"/>
        <v>-0.019572618069802</v>
      </c>
      <c r="L69" s="42"/>
      <c r="M69" s="31">
        <v>28011564791</v>
      </c>
      <c r="N69" s="31">
        <v>10635369194</v>
      </c>
      <c r="O69" s="48">
        <f t="shared" si="5"/>
        <v>1.63381216768694</v>
      </c>
      <c r="P69" s="41" t="s">
        <v>52</v>
      </c>
      <c r="Q69" s="53">
        <v>353788329921</v>
      </c>
      <c r="R69" s="31">
        <v>525118194898</v>
      </c>
      <c r="S69" s="31">
        <f>[1]Hoja1!$OY$14</f>
        <v>361219731740.926</v>
      </c>
      <c r="T69" s="49">
        <f>[67]F290062019!$AF$4692</f>
        <v>525118194899</v>
      </c>
      <c r="U69" s="58">
        <f t="shared" ref="U69:U123" si="17">Q69/S69-1</f>
        <v>-0.0205730782870291</v>
      </c>
      <c r="V69" s="59"/>
      <c r="W69" s="58">
        <f t="shared" si="11"/>
        <v>-1.90436555413953e-12</v>
      </c>
      <c r="X69" s="59"/>
      <c r="AB69" s="61"/>
      <c r="AC69" s="63"/>
    </row>
    <row r="70" spans="1:29">
      <c r="A70" s="29">
        <f t="shared" si="8"/>
        <v>2019</v>
      </c>
      <c r="B70" s="30">
        <f t="shared" si="14"/>
        <v>7</v>
      </c>
      <c r="C70" s="31">
        <v>13931195167</v>
      </c>
      <c r="D70" s="31">
        <v>2418308195</v>
      </c>
      <c r="E70" s="28">
        <f t="shared" si="7"/>
        <v>16349503362</v>
      </c>
      <c r="F70" s="31">
        <v>14012876489</v>
      </c>
      <c r="G70" s="31">
        <v>2365742485</v>
      </c>
      <c r="H70" s="28">
        <f>[68]F290072019!$AF$4713-SUM($H$64:$H69)</f>
        <v>16378618974</v>
      </c>
      <c r="I70" s="40">
        <f t="shared" si="15"/>
        <v>0.00586319558522064</v>
      </c>
      <c r="J70" s="42"/>
      <c r="K70" s="40">
        <f t="shared" si="16"/>
        <v>-0.0217365636475462</v>
      </c>
      <c r="L70" s="42"/>
      <c r="M70" s="31">
        <v>28290675893</v>
      </c>
      <c r="N70" s="31">
        <v>11282502420</v>
      </c>
      <c r="O70" s="48">
        <f t="shared" si="5"/>
        <v>1.50748236870309</v>
      </c>
      <c r="P70" s="41" t="s">
        <v>52</v>
      </c>
      <c r="Q70" s="53">
        <v>350098812056</v>
      </c>
      <c r="R70" s="31">
        <v>538339246374</v>
      </c>
      <c r="S70" s="31">
        <f>[1]Hoja1!$PB$14</f>
        <v>358064957220.66</v>
      </c>
      <c r="T70" s="49">
        <f>[68]F290072019!$AF$4692</f>
        <v>538339246375</v>
      </c>
      <c r="U70" s="58">
        <f t="shared" si="17"/>
        <v>-0.0222477653956809</v>
      </c>
      <c r="V70" s="59"/>
      <c r="W70" s="58">
        <f t="shared" si="11"/>
        <v>-1.85751414250035e-12</v>
      </c>
      <c r="X70" s="59"/>
      <c r="AB70" s="61"/>
      <c r="AC70" s="63"/>
    </row>
    <row r="71" spans="1:29">
      <c r="A71" s="29">
        <f t="shared" si="8"/>
        <v>2019</v>
      </c>
      <c r="B71" s="30">
        <f t="shared" si="14"/>
        <v>8</v>
      </c>
      <c r="C71" s="31">
        <v>12399349988</v>
      </c>
      <c r="D71" s="31">
        <v>2856655020</v>
      </c>
      <c r="E71" s="28">
        <f t="shared" si="7"/>
        <v>15256005008</v>
      </c>
      <c r="F71" s="31">
        <v>12566341655</v>
      </c>
      <c r="G71" s="31">
        <v>3078476442</v>
      </c>
      <c r="H71" s="28">
        <f>[69]F290082019!$AF$4713-SUM($H$64:$H70)</f>
        <v>15644818097</v>
      </c>
      <c r="I71" s="40">
        <f t="shared" si="15"/>
        <v>0.0134677759045121</v>
      </c>
      <c r="J71" s="42"/>
      <c r="K71" s="43">
        <f t="shared" si="16"/>
        <v>0.0776507560230357</v>
      </c>
      <c r="L71" s="44" t="s">
        <v>53</v>
      </c>
      <c r="M71" s="31">
        <v>23566727526</v>
      </c>
      <c r="N71" s="31">
        <v>7204266419</v>
      </c>
      <c r="O71" s="48">
        <f t="shared" si="5"/>
        <v>2.271218213675</v>
      </c>
      <c r="P71" s="41" t="s">
        <v>52</v>
      </c>
      <c r="Q71" s="53">
        <v>349446995627</v>
      </c>
      <c r="R71" s="31">
        <v>546213424079</v>
      </c>
      <c r="S71" s="31">
        <f>[1]Hoja1!$PE$14</f>
        <v>357397725691.723</v>
      </c>
      <c r="T71" s="49">
        <f>[69]F290082019!$AF$4692</f>
        <v>546213424080</v>
      </c>
      <c r="U71" s="58">
        <f t="shared" si="17"/>
        <v>-0.0222461686048371</v>
      </c>
      <c r="V71" s="59"/>
      <c r="W71" s="58">
        <f t="shared" si="11"/>
        <v>-1.83075776760688e-12</v>
      </c>
      <c r="X71" s="59"/>
      <c r="AB71" s="61"/>
      <c r="AC71" s="63"/>
    </row>
    <row r="72" spans="1:29">
      <c r="A72" s="29">
        <f t="shared" si="8"/>
        <v>2019</v>
      </c>
      <c r="B72" s="30">
        <f t="shared" si="14"/>
        <v>9</v>
      </c>
      <c r="C72" s="31">
        <v>13949896326</v>
      </c>
      <c r="D72" s="31">
        <v>2652710425</v>
      </c>
      <c r="E72" s="28">
        <f t="shared" si="7"/>
        <v>16602606751</v>
      </c>
      <c r="F72" s="31">
        <v>13953897960</v>
      </c>
      <c r="G72" s="31">
        <v>2609552475</v>
      </c>
      <c r="H72" s="28">
        <f>[70]F290092019!$AF$4713-SUM($H$64:$H71)</f>
        <v>16563450435</v>
      </c>
      <c r="I72" s="40">
        <f t="shared" si="15"/>
        <v>0.000286857615747316</v>
      </c>
      <c r="J72" s="42"/>
      <c r="K72" s="40">
        <f t="shared" si="16"/>
        <v>-0.0162693785168805</v>
      </c>
      <c r="L72" s="42"/>
      <c r="M72" s="31">
        <v>26400040711</v>
      </c>
      <c r="N72" s="31">
        <v>6208200355</v>
      </c>
      <c r="O72" s="48">
        <f t="shared" si="5"/>
        <v>3.25244663531804</v>
      </c>
      <c r="P72" s="41" t="s">
        <v>52</v>
      </c>
      <c r="Q72" s="53">
        <v>346478569284</v>
      </c>
      <c r="R72" s="31">
        <v>551760645326</v>
      </c>
      <c r="S72" s="31">
        <f>[1]Hoja1!$PH$14</f>
        <v>354675723927.366</v>
      </c>
      <c r="T72" s="49">
        <f>[70]F290092019!$AF$4692</f>
        <v>551760645326</v>
      </c>
      <c r="U72" s="58">
        <f t="shared" si="17"/>
        <v>-0.0231116879176215</v>
      </c>
      <c r="V72" s="59"/>
      <c r="W72" s="58">
        <f t="shared" si="11"/>
        <v>0</v>
      </c>
      <c r="X72" s="59"/>
      <c r="AB72" s="61"/>
      <c r="AC72" s="63"/>
    </row>
    <row r="73" spans="1:29">
      <c r="A73" s="29">
        <f t="shared" si="8"/>
        <v>2019</v>
      </c>
      <c r="B73" s="30">
        <f t="shared" si="14"/>
        <v>10</v>
      </c>
      <c r="C73" s="31">
        <v>14451149860</v>
      </c>
      <c r="D73" s="31">
        <v>2506889583</v>
      </c>
      <c r="E73" s="28">
        <f t="shared" si="7"/>
        <v>16958039443</v>
      </c>
      <c r="F73" s="31">
        <v>14690113969</v>
      </c>
      <c r="G73" s="31">
        <v>2476780820</v>
      </c>
      <c r="H73" s="28">
        <f>[71]F290102019!$AF$4713-SUM($H$64:$H72)</f>
        <v>17166894789</v>
      </c>
      <c r="I73" s="40">
        <f t="shared" si="15"/>
        <v>0.0165359927282631</v>
      </c>
      <c r="J73" s="42"/>
      <c r="K73" s="40">
        <f t="shared" si="16"/>
        <v>-0.0120104065229585</v>
      </c>
      <c r="L73" s="42"/>
      <c r="M73" s="31">
        <v>23495409088</v>
      </c>
      <c r="N73" s="31">
        <v>5400259621</v>
      </c>
      <c r="O73" s="48">
        <f t="shared" ref="O73:O123" si="18">M73/N73-1</f>
        <v>3.35079250572201</v>
      </c>
      <c r="P73" s="41" t="s">
        <v>52</v>
      </c>
      <c r="Q73" s="53">
        <v>344300433382</v>
      </c>
      <c r="R73" s="31">
        <v>556457026408</v>
      </c>
      <c r="S73" s="31">
        <f>[1]Hoja1!$PK$14</f>
        <v>353188890137.431</v>
      </c>
      <c r="T73" s="49">
        <f>[71]F290102019!$AF$4692</f>
        <v>556457026387</v>
      </c>
      <c r="U73" s="58">
        <f t="shared" si="17"/>
        <v>-0.0251662977053791</v>
      </c>
      <c r="V73" s="59"/>
      <c r="W73" s="58">
        <f t="shared" si="11"/>
        <v>3.77387010530583e-11</v>
      </c>
      <c r="X73" s="59"/>
      <c r="AB73" s="61"/>
      <c r="AC73" s="63"/>
    </row>
    <row r="74" spans="1:29">
      <c r="A74" s="29">
        <f t="shared" si="8"/>
        <v>2019</v>
      </c>
      <c r="B74" s="30">
        <f t="shared" si="14"/>
        <v>11</v>
      </c>
      <c r="C74" s="31">
        <v>13427864542</v>
      </c>
      <c r="D74" s="31">
        <v>4811708611</v>
      </c>
      <c r="E74" s="28">
        <f t="shared" si="7"/>
        <v>18239573153</v>
      </c>
      <c r="F74" s="31">
        <v>13456858182</v>
      </c>
      <c r="G74" s="31">
        <v>4720812389</v>
      </c>
      <c r="H74" s="28">
        <f>[72]F290112019!$AF$4713-SUM($H$64:$H73)</f>
        <v>18177670571</v>
      </c>
      <c r="I74" s="40">
        <f t="shared" si="15"/>
        <v>0.00215921451317236</v>
      </c>
      <c r="J74" s="42"/>
      <c r="K74" s="40">
        <f t="shared" si="16"/>
        <v>-0.0188906331094537</v>
      </c>
      <c r="L74" s="42"/>
      <c r="M74" s="31">
        <v>24359610353</v>
      </c>
      <c r="N74" s="31">
        <v>3787825390</v>
      </c>
      <c r="O74" s="48">
        <f t="shared" si="18"/>
        <v>5.43102779164802</v>
      </c>
      <c r="P74" s="41" t="s">
        <v>52</v>
      </c>
      <c r="Q74" s="53">
        <v>346303959749</v>
      </c>
      <c r="R74" s="31">
        <v>558525650497</v>
      </c>
      <c r="S74" s="31">
        <f>[1]Hoja1!$PN$14</f>
        <v>354468648117.797</v>
      </c>
      <c r="T74" s="49">
        <f>[72]F290112019!$AF$4692</f>
        <v>558525650496</v>
      </c>
      <c r="U74" s="58">
        <f t="shared" si="17"/>
        <v>-0.0230335980689701</v>
      </c>
      <c r="V74" s="59"/>
      <c r="W74" s="58">
        <f t="shared" si="11"/>
        <v>1.79034564951053e-12</v>
      </c>
      <c r="X74" s="59"/>
      <c r="AB74" s="61"/>
      <c r="AC74" s="63"/>
    </row>
    <row r="75" spans="1:29">
      <c r="A75" s="29">
        <f t="shared" si="8"/>
        <v>2019</v>
      </c>
      <c r="B75" s="30">
        <f t="shared" si="14"/>
        <v>12</v>
      </c>
      <c r="C75" s="31">
        <v>14925474913</v>
      </c>
      <c r="D75" s="31">
        <v>2468193484</v>
      </c>
      <c r="E75" s="28">
        <f t="shared" si="7"/>
        <v>17393668397</v>
      </c>
      <c r="F75" s="31">
        <v>15147604780</v>
      </c>
      <c r="G75" s="31">
        <v>2725082919</v>
      </c>
      <c r="H75" s="28">
        <f>[73]F290122019!$AF$4713-SUM($H$64:$H74)</f>
        <v>17872687699</v>
      </c>
      <c r="I75" s="40">
        <f t="shared" si="15"/>
        <v>0.0148825996020083</v>
      </c>
      <c r="J75" s="42"/>
      <c r="K75" s="43">
        <f t="shared" si="16"/>
        <v>0.104079942137956</v>
      </c>
      <c r="L75" s="44" t="s">
        <v>53</v>
      </c>
      <c r="M75" s="31">
        <v>29911035229</v>
      </c>
      <c r="N75" s="31">
        <v>8696009517</v>
      </c>
      <c r="O75" s="48">
        <f t="shared" si="18"/>
        <v>2.4396277017092</v>
      </c>
      <c r="P75" s="41" t="s">
        <v>52</v>
      </c>
      <c r="Q75" s="53">
        <v>348479720332</v>
      </c>
      <c r="R75" s="31">
        <v>565415678720</v>
      </c>
      <c r="S75" s="31">
        <f>[1]Hoja1!$PQ$14</f>
        <v>355825008961.897</v>
      </c>
      <c r="T75" s="49">
        <f>[73]F290122019!$AF$4692</f>
        <v>565415678729</v>
      </c>
      <c r="U75" s="58">
        <f t="shared" si="17"/>
        <v>-0.0206429802428081</v>
      </c>
      <c r="V75" s="59"/>
      <c r="W75" s="58">
        <f t="shared" si="11"/>
        <v>-1.59174895486558e-11</v>
      </c>
      <c r="X75" s="59"/>
      <c r="Z75" s="62"/>
      <c r="AB75" s="61"/>
      <c r="AC75" s="63"/>
    </row>
    <row r="76" spans="1:29">
      <c r="A76" s="29">
        <f t="shared" si="8"/>
        <v>2020</v>
      </c>
      <c r="B76" s="30">
        <f t="shared" si="14"/>
        <v>1</v>
      </c>
      <c r="C76" s="31">
        <v>11185712637</v>
      </c>
      <c r="D76" s="31">
        <v>2539238472</v>
      </c>
      <c r="E76" s="28">
        <f t="shared" si="7"/>
        <v>13724951109</v>
      </c>
      <c r="F76" s="31">
        <v>11167562965</v>
      </c>
      <c r="G76" s="31">
        <v>2589007128</v>
      </c>
      <c r="H76" s="28">
        <f>[74]F290012020!$AF$4713</f>
        <v>13756570093</v>
      </c>
      <c r="I76" s="40">
        <f t="shared" si="15"/>
        <v>-0.00162257628002749</v>
      </c>
      <c r="J76" s="42"/>
      <c r="K76" s="40">
        <f t="shared" si="16"/>
        <v>0.0195998353635531</v>
      </c>
      <c r="L76" s="42"/>
      <c r="M76" s="31">
        <v>27802227764</v>
      </c>
      <c r="N76" s="31">
        <v>12002868205</v>
      </c>
      <c r="O76" s="48">
        <f t="shared" si="18"/>
        <v>1.31629867871235</v>
      </c>
      <c r="P76" s="41" t="s">
        <v>52</v>
      </c>
      <c r="Q76" s="53">
        <v>357188716985</v>
      </c>
      <c r="R76" s="31">
        <v>568585308859</v>
      </c>
      <c r="S76" s="31">
        <f>[1]Hoja1!$PT$14</f>
        <v>364833137142.972</v>
      </c>
      <c r="T76" s="49">
        <f>[74]F290012020!$AF$4692</f>
        <v>568585308848</v>
      </c>
      <c r="U76" s="58">
        <f t="shared" si="17"/>
        <v>-0.0209531958029786</v>
      </c>
      <c r="V76" s="59"/>
      <c r="W76" s="58">
        <f t="shared" si="11"/>
        <v>1.93463023379081e-11</v>
      </c>
      <c r="X76" s="59"/>
      <c r="Z76" s="62"/>
      <c r="AB76" s="61"/>
      <c r="AC76" s="63"/>
    </row>
    <row r="77" spans="1:29">
      <c r="A77" s="29">
        <f t="shared" si="8"/>
        <v>2020</v>
      </c>
      <c r="B77" s="30">
        <f t="shared" si="14"/>
        <v>2</v>
      </c>
      <c r="C77" s="31">
        <v>10656605295</v>
      </c>
      <c r="D77" s="31">
        <v>2674103173</v>
      </c>
      <c r="E77" s="28">
        <f t="shared" si="7"/>
        <v>13330708468</v>
      </c>
      <c r="F77" s="31">
        <v>10745277271</v>
      </c>
      <c r="G77" s="31">
        <v>2805481499</v>
      </c>
      <c r="H77" s="28">
        <f>[75]F290022020!$AE$4713-SUM($H$76:$H76)</f>
        <v>13550758770</v>
      </c>
      <c r="I77" s="40">
        <f t="shared" si="15"/>
        <v>0.00832084641828712</v>
      </c>
      <c r="J77" s="42"/>
      <c r="K77" s="40">
        <f t="shared" si="16"/>
        <v>0.0491298642948808</v>
      </c>
      <c r="L77" s="42"/>
      <c r="M77" s="31">
        <v>24484233042</v>
      </c>
      <c r="N77" s="31">
        <v>9429002434</v>
      </c>
      <c r="O77" s="48">
        <f t="shared" si="18"/>
        <v>1.59669389348256</v>
      </c>
      <c r="P77" s="41" t="s">
        <v>52</v>
      </c>
      <c r="Q77" s="53">
        <v>361389074816</v>
      </c>
      <c r="R77" s="31">
        <v>574101974136</v>
      </c>
      <c r="S77" s="31">
        <f>[1]Hoja1!$PW$14</f>
        <v>367532791815.321</v>
      </c>
      <c r="T77" s="49">
        <f>[75]F290022020!$AE$4692</f>
        <v>574101974142</v>
      </c>
      <c r="U77" s="58">
        <f t="shared" si="17"/>
        <v>-0.0167161057084885</v>
      </c>
      <c r="V77" s="59"/>
      <c r="W77" s="58">
        <f t="shared" si="11"/>
        <v>-1.04510844423089e-11</v>
      </c>
      <c r="X77" s="59"/>
      <c r="Z77" s="62"/>
      <c r="AB77" s="61"/>
      <c r="AC77" s="63"/>
    </row>
    <row r="78" spans="1:29">
      <c r="A78" s="29">
        <f t="shared" si="8"/>
        <v>2020</v>
      </c>
      <c r="B78" s="30">
        <f t="shared" si="14"/>
        <v>3</v>
      </c>
      <c r="C78" s="31">
        <v>11269351693</v>
      </c>
      <c r="D78" s="31">
        <v>2695149570</v>
      </c>
      <c r="E78" s="28">
        <f t="shared" si="7"/>
        <v>13964501263</v>
      </c>
      <c r="F78" s="31">
        <v>11277323759</v>
      </c>
      <c r="G78" s="31">
        <v>2630951659</v>
      </c>
      <c r="H78" s="28">
        <f>[76]F290032020!$AE$4713-SUM($H$76:$H77)</f>
        <v>13908275418</v>
      </c>
      <c r="I78" s="40">
        <f t="shared" si="15"/>
        <v>0.00070741123510687</v>
      </c>
      <c r="J78" s="42"/>
      <c r="K78" s="40">
        <f t="shared" si="16"/>
        <v>-0.0238197952776328</v>
      </c>
      <c r="L78" s="42"/>
      <c r="M78" s="31">
        <v>21692350116</v>
      </c>
      <c r="N78" s="31">
        <v>10429906340</v>
      </c>
      <c r="O78" s="48">
        <f t="shared" si="18"/>
        <v>1.07982213922738</v>
      </c>
      <c r="P78" s="41" t="s">
        <v>52</v>
      </c>
      <c r="Q78" s="53">
        <v>364173253540</v>
      </c>
      <c r="R78" s="31">
        <v>580411234855</v>
      </c>
      <c r="S78" s="31">
        <f>[1]Hoja1!$PZ$14</f>
        <v>370998266222.095</v>
      </c>
      <c r="T78" s="49">
        <f>[76]F290032020!$AE$4692</f>
        <v>580411234859</v>
      </c>
      <c r="U78" s="58">
        <f t="shared" si="17"/>
        <v>-0.0183963465694721</v>
      </c>
      <c r="V78" s="59"/>
      <c r="W78" s="58">
        <f t="shared" si="11"/>
        <v>-6.89170942536066e-12</v>
      </c>
      <c r="X78" s="59"/>
      <c r="Z78" s="62"/>
      <c r="AB78" s="61"/>
      <c r="AC78" s="63"/>
    </row>
    <row r="79" spans="1:29">
      <c r="A79" s="29">
        <f t="shared" si="8"/>
        <v>2020</v>
      </c>
      <c r="B79" s="30">
        <f t="shared" si="14"/>
        <v>4</v>
      </c>
      <c r="C79" s="31">
        <v>11612819910</v>
      </c>
      <c r="D79" s="31">
        <v>2709226822</v>
      </c>
      <c r="E79" s="28">
        <f t="shared" si="7"/>
        <v>14322046732</v>
      </c>
      <c r="F79" s="31">
        <v>11863443132</v>
      </c>
      <c r="G79" s="31">
        <v>2665291823</v>
      </c>
      <c r="H79" s="28">
        <f>[77]F290042020!$AE$4713-SUM($H$76:$H78)</f>
        <v>14528734955</v>
      </c>
      <c r="I79" s="40">
        <f t="shared" si="15"/>
        <v>0.0215815989520498</v>
      </c>
      <c r="J79" s="42"/>
      <c r="K79" s="40">
        <f t="shared" si="16"/>
        <v>-0.016216803496566</v>
      </c>
      <c r="L79" s="42"/>
      <c r="M79" s="31">
        <v>20311793239</v>
      </c>
      <c r="N79" s="31">
        <v>1727593494</v>
      </c>
      <c r="O79" s="48">
        <f t="shared" si="18"/>
        <v>10.7572758345894</v>
      </c>
      <c r="P79" s="41" t="s">
        <v>52</v>
      </c>
      <c r="Q79" s="53">
        <v>362037147104</v>
      </c>
      <c r="R79" s="31">
        <v>585675871713</v>
      </c>
      <c r="S79" s="31">
        <f>[1]Hoja1!$QC$14</f>
        <v>367874159598.98</v>
      </c>
      <c r="T79" s="49">
        <f>[77]F290042020!$AE$4692</f>
        <v>585675871712</v>
      </c>
      <c r="U79" s="58">
        <f t="shared" si="17"/>
        <v>-0.015866872795151</v>
      </c>
      <c r="V79" s="59"/>
      <c r="W79" s="58">
        <f t="shared" si="11"/>
        <v>1.70752301187349e-12</v>
      </c>
      <c r="X79" s="59"/>
      <c r="Z79" s="62"/>
      <c r="AB79" s="61"/>
      <c r="AC79" s="63"/>
    </row>
    <row r="80" spans="1:29">
      <c r="A80" s="29">
        <f t="shared" si="8"/>
        <v>2020</v>
      </c>
      <c r="B80" s="30">
        <f t="shared" ref="B80:B111" si="19">B68</f>
        <v>5</v>
      </c>
      <c r="C80" s="31">
        <v>8204656112</v>
      </c>
      <c r="D80" s="31">
        <v>3516317471</v>
      </c>
      <c r="E80" s="28">
        <f t="shared" ref="E80:E123" si="20">C80+D80</f>
        <v>11720973583</v>
      </c>
      <c r="F80" s="31">
        <v>8304440292</v>
      </c>
      <c r="G80" s="31">
        <v>3525892019</v>
      </c>
      <c r="H80" s="28">
        <f>'[78]REST-ESTAD'!$AE$4713-SUM($H$76:$H79)</f>
        <v>11830332311</v>
      </c>
      <c r="I80" s="40">
        <f t="shared" si="15"/>
        <v>0.0121618966886445</v>
      </c>
      <c r="J80" s="42"/>
      <c r="K80" s="40">
        <f t="shared" si="16"/>
        <v>0.00272289066017617</v>
      </c>
      <c r="L80" s="42"/>
      <c r="M80" s="31">
        <v>27417132948</v>
      </c>
      <c r="N80" s="31">
        <v>11578786755</v>
      </c>
      <c r="O80" s="48">
        <f t="shared" si="18"/>
        <v>1.36787614524126</v>
      </c>
      <c r="P80" s="41" t="s">
        <v>52</v>
      </c>
      <c r="Q80" s="53">
        <v>369010280207</v>
      </c>
      <c r="R80" s="31">
        <v>590189528226</v>
      </c>
      <c r="S80" s="31">
        <f>[1]Hoja1!$QF$14</f>
        <v>374832193263.924</v>
      </c>
      <c r="T80" s="49">
        <f>'[78]REST-ESTAD'!$AE$4692</f>
        <v>590189528225</v>
      </c>
      <c r="U80" s="58">
        <f t="shared" si="17"/>
        <v>-0.0155320518395951</v>
      </c>
      <c r="V80" s="59"/>
      <c r="W80" s="58">
        <f t="shared" si="11"/>
        <v>1.69442238018291e-12</v>
      </c>
      <c r="X80" s="59"/>
      <c r="Z80" s="62"/>
      <c r="AB80" s="61"/>
      <c r="AC80" s="63"/>
    </row>
    <row r="81" spans="1:29">
      <c r="A81" s="29">
        <f t="shared" ref="A81:A123" si="21">A69+1</f>
        <v>2020</v>
      </c>
      <c r="B81" s="30">
        <f t="shared" si="19"/>
        <v>6</v>
      </c>
      <c r="C81" s="31">
        <v>11305899298</v>
      </c>
      <c r="D81" s="31">
        <v>4068701780</v>
      </c>
      <c r="E81" s="28">
        <f t="shared" si="20"/>
        <v>15374601078</v>
      </c>
      <c r="F81" s="31">
        <v>11389338659</v>
      </c>
      <c r="G81" s="31">
        <v>3970218843</v>
      </c>
      <c r="H81" s="28">
        <f>'[79]REST-ESTAD'!$AE$4713-SUM($H$76:$H80)</f>
        <v>15359557502</v>
      </c>
      <c r="I81" s="40">
        <f t="shared" si="15"/>
        <v>0.00738016134769226</v>
      </c>
      <c r="J81" s="42"/>
      <c r="K81" s="40">
        <f t="shared" si="16"/>
        <v>-0.0242050025598092</v>
      </c>
      <c r="L81" s="42"/>
      <c r="M81" s="31">
        <v>25271316466</v>
      </c>
      <c r="N81" s="31">
        <v>2073044688</v>
      </c>
      <c r="O81" s="48">
        <f t="shared" si="18"/>
        <v>11.1904349733921</v>
      </c>
      <c r="P81" s="41" t="s">
        <v>52</v>
      </c>
      <c r="Q81" s="53">
        <v>367183767987</v>
      </c>
      <c r="R81" s="31">
        <v>594486383517</v>
      </c>
      <c r="S81" s="31">
        <f>[1]Hoja1!$QI$14</f>
        <v>373417810761.895</v>
      </c>
      <c r="T81" s="49">
        <f>'[79]REST-ESTAD'!$AE$4692</f>
        <v>594486383516</v>
      </c>
      <c r="U81" s="58">
        <f t="shared" si="17"/>
        <v>-0.0166945512378639</v>
      </c>
      <c r="V81" s="59"/>
      <c r="W81" s="58">
        <f t="shared" si="11"/>
        <v>1.68220992691204e-12</v>
      </c>
      <c r="X81" s="59"/>
      <c r="Z81" s="62"/>
      <c r="AB81" s="61"/>
      <c r="AC81" s="63"/>
    </row>
    <row r="82" spans="1:29">
      <c r="A82" s="29">
        <f t="shared" si="21"/>
        <v>2020</v>
      </c>
      <c r="B82" s="30">
        <f t="shared" si="19"/>
        <v>7</v>
      </c>
      <c r="C82" s="31">
        <v>9803374033</v>
      </c>
      <c r="D82" s="31">
        <v>2626741934</v>
      </c>
      <c r="E82" s="28">
        <f t="shared" si="20"/>
        <v>12430115967</v>
      </c>
      <c r="F82" s="31">
        <v>9950064023</v>
      </c>
      <c r="G82" s="31">
        <v>2488462372</v>
      </c>
      <c r="H82" s="28">
        <f>'[80]REST-ESTAD'!$AE$4713-SUM($H$76:$H81)</f>
        <v>12438526395</v>
      </c>
      <c r="I82" s="40">
        <f t="shared" si="15"/>
        <v>0.0149632146550986</v>
      </c>
      <c r="J82" s="42"/>
      <c r="K82" s="43">
        <f t="shared" si="16"/>
        <v>-0.0526429948104677</v>
      </c>
      <c r="L82" s="44" t="s">
        <v>54</v>
      </c>
      <c r="M82" s="31">
        <v>24073815074</v>
      </c>
      <c r="N82" s="31">
        <v>4529667840</v>
      </c>
      <c r="O82" s="48">
        <f t="shared" si="18"/>
        <v>4.31469766092165</v>
      </c>
      <c r="P82" s="41" t="s">
        <v>52</v>
      </c>
      <c r="Q82" s="53">
        <v>364400780841</v>
      </c>
      <c r="R82" s="31">
        <v>601277116133</v>
      </c>
      <c r="S82" s="31">
        <f>[1]Hoja1!$QL$14</f>
        <v>369146184450.905</v>
      </c>
      <c r="T82" s="49">
        <f>'[80]REST-ESTAD'!$AE$4692-Z82</f>
        <v>601277116105</v>
      </c>
      <c r="U82" s="58">
        <f t="shared" si="17"/>
        <v>-0.0128550796670522</v>
      </c>
      <c r="V82" s="59"/>
      <c r="W82" s="58">
        <f t="shared" si="11"/>
        <v>4.65676386340874e-11</v>
      </c>
      <c r="X82" s="59"/>
      <c r="Z82" s="62">
        <v>2206375676</v>
      </c>
      <c r="AB82" s="61"/>
      <c r="AC82" s="63"/>
    </row>
    <row r="83" spans="1:29">
      <c r="A83" s="29">
        <f t="shared" si="21"/>
        <v>2020</v>
      </c>
      <c r="B83" s="30">
        <f t="shared" si="19"/>
        <v>8</v>
      </c>
      <c r="C83" s="31">
        <v>8995161555</v>
      </c>
      <c r="D83" s="31">
        <v>2591528565</v>
      </c>
      <c r="E83" s="28">
        <f t="shared" si="20"/>
        <v>11586690120</v>
      </c>
      <c r="F83" s="31">
        <v>9028108921</v>
      </c>
      <c r="G83" s="31">
        <v>2584405780</v>
      </c>
      <c r="H83" s="28">
        <f>'[81]REST-ESTAD'!$AE$4713-SUM($H$76:$H82)</f>
        <v>11612514701</v>
      </c>
      <c r="I83" s="40">
        <f t="shared" si="15"/>
        <v>0.00366278757736005</v>
      </c>
      <c r="J83" s="42"/>
      <c r="K83" s="40">
        <f t="shared" si="16"/>
        <v>-0.00274848793727267</v>
      </c>
      <c r="L83" s="42"/>
      <c r="M83" s="31">
        <v>25400825514</v>
      </c>
      <c r="N83" s="31">
        <v>9583913551</v>
      </c>
      <c r="O83" s="48">
        <f t="shared" si="18"/>
        <v>1.65036045857797</v>
      </c>
      <c r="P83" s="41" t="s">
        <v>52</v>
      </c>
      <c r="Q83" s="53">
        <v>370776722879</v>
      </c>
      <c r="R83" s="31">
        <v>605453403531</v>
      </c>
      <c r="S83" s="31">
        <f>[1]Hoja1!$QO$14</f>
        <v>374845728120.531</v>
      </c>
      <c r="T83" s="49">
        <f>'[81]REST-ESTAD'!$AE$4692-Z83</f>
        <v>605453403508</v>
      </c>
      <c r="U83" s="58">
        <f t="shared" si="17"/>
        <v>-0.0108551463609659</v>
      </c>
      <c r="V83" s="59"/>
      <c r="W83" s="58">
        <f t="shared" si="11"/>
        <v>3.79880571443891e-11</v>
      </c>
      <c r="X83" s="59"/>
      <c r="Z83" s="62">
        <v>2259306801</v>
      </c>
      <c r="AB83" s="61"/>
      <c r="AC83" s="63"/>
    </row>
    <row r="84" spans="1:29">
      <c r="A84" s="29">
        <f t="shared" si="21"/>
        <v>2020</v>
      </c>
      <c r="B84" s="30">
        <f t="shared" si="19"/>
        <v>9</v>
      </c>
      <c r="C84" s="31">
        <v>8961443628</v>
      </c>
      <c r="D84" s="31">
        <v>2914985803</v>
      </c>
      <c r="E84" s="28">
        <f t="shared" si="20"/>
        <v>11876429431</v>
      </c>
      <c r="F84" s="31">
        <v>9053951146</v>
      </c>
      <c r="G84" s="31">
        <v>2877631392</v>
      </c>
      <c r="H84" s="28">
        <f>'[82]REST-ESTAD'!$AE$4713-SUM($H$76:$H83)</f>
        <v>11931582538</v>
      </c>
      <c r="I84" s="40">
        <f t="shared" si="15"/>
        <v>0.0103228365696528</v>
      </c>
      <c r="J84" s="42"/>
      <c r="K84" s="40">
        <f t="shared" si="16"/>
        <v>-0.0128146116394653</v>
      </c>
      <c r="L84" s="42"/>
      <c r="M84" s="31">
        <v>22036569423</v>
      </c>
      <c r="N84" s="31">
        <v>-1259177418</v>
      </c>
      <c r="O84" s="48">
        <f t="shared" si="18"/>
        <v>-18.5007660620229</v>
      </c>
      <c r="P84" s="41" t="s">
        <v>52</v>
      </c>
      <c r="Q84" s="53">
        <v>363642323263</v>
      </c>
      <c r="R84" s="31">
        <v>609988802805</v>
      </c>
      <c r="S84" s="31">
        <f>[1]Hoja1!$QR$14</f>
        <v>368293727633.413</v>
      </c>
      <c r="T84" s="49">
        <f>'[82]REST-ESTAD'!$AE$4692-Z84</f>
        <v>609988802800</v>
      </c>
      <c r="U84" s="58">
        <f t="shared" si="17"/>
        <v>-0.0126296051803596</v>
      </c>
      <c r="V84" s="59"/>
      <c r="W84" s="58">
        <f t="shared" si="11"/>
        <v>8.19677659080753e-12</v>
      </c>
      <c r="X84" s="59"/>
      <c r="Z84" s="62">
        <v>2313087997</v>
      </c>
      <c r="AB84" s="61"/>
      <c r="AC84" s="63"/>
    </row>
    <row r="85" spans="1:29">
      <c r="A85" s="29">
        <f t="shared" si="21"/>
        <v>2020</v>
      </c>
      <c r="B85" s="30">
        <f t="shared" si="19"/>
        <v>10</v>
      </c>
      <c r="C85" s="31">
        <v>8135855785</v>
      </c>
      <c r="D85" s="31">
        <v>2694327566</v>
      </c>
      <c r="E85" s="28">
        <f t="shared" si="20"/>
        <v>10830183351</v>
      </c>
      <c r="F85" s="31">
        <v>8218325828</v>
      </c>
      <c r="G85" s="31">
        <v>2530953777</v>
      </c>
      <c r="H85" s="28">
        <f>'[83]REST-ESTAD'!$AE$4713-SUM($H$76:$H84)</f>
        <v>10749279605</v>
      </c>
      <c r="I85" s="40">
        <f t="shared" si="15"/>
        <v>0.0101366156406126</v>
      </c>
      <c r="J85" s="42"/>
      <c r="K85" s="43">
        <f t="shared" si="16"/>
        <v>-0.0606362014261483</v>
      </c>
      <c r="L85" s="44" t="s">
        <v>54</v>
      </c>
      <c r="M85" s="31">
        <v>25786692940</v>
      </c>
      <c r="N85" s="31">
        <v>7449393058</v>
      </c>
      <c r="O85" s="48">
        <f t="shared" si="18"/>
        <v>2.46158307653096</v>
      </c>
      <c r="P85" s="41" t="s">
        <v>52</v>
      </c>
      <c r="Q85" s="53">
        <v>367700643473</v>
      </c>
      <c r="R85" s="31">
        <v>613935441847</v>
      </c>
      <c r="S85" s="31">
        <f>[1]Hoja1!$QU$14</f>
        <v>373356801482.378</v>
      </c>
      <c r="T85" s="49">
        <f>'[83]REST-ESTAD'!$AE$4692-Z85</f>
        <v>613935441837</v>
      </c>
      <c r="U85" s="58">
        <f t="shared" si="17"/>
        <v>-0.0151494709267926</v>
      </c>
      <c r="V85" s="59"/>
      <c r="W85" s="58">
        <f t="shared" si="11"/>
        <v>1.62883040388806e-11</v>
      </c>
      <c r="X85" s="59"/>
      <c r="Z85" s="62">
        <v>2437980634</v>
      </c>
      <c r="AB85" s="61"/>
      <c r="AC85" s="63"/>
    </row>
    <row r="86" spans="1:29">
      <c r="A86" s="29">
        <f t="shared" si="21"/>
        <v>2020</v>
      </c>
      <c r="B86" s="30">
        <f t="shared" si="19"/>
        <v>11</v>
      </c>
      <c r="C86" s="31">
        <v>11147302454</v>
      </c>
      <c r="D86" s="31">
        <v>5326702872</v>
      </c>
      <c r="E86" s="28">
        <f t="shared" si="20"/>
        <v>16474005326</v>
      </c>
      <c r="F86" s="31">
        <v>11775419192</v>
      </c>
      <c r="G86" s="31">
        <v>5083554838</v>
      </c>
      <c r="H86" s="28">
        <f>'[84]REST-ESTAD'!$AE$4713-SUM($H$76:$H85)</f>
        <v>16858974030</v>
      </c>
      <c r="I86" s="43">
        <f t="shared" si="15"/>
        <v>0.0563469718877694</v>
      </c>
      <c r="J86" s="42" t="s">
        <v>55</v>
      </c>
      <c r="K86" s="40">
        <f t="shared" si="16"/>
        <v>-0.0456470052568759</v>
      </c>
      <c r="L86" s="42"/>
      <c r="M86" s="31">
        <v>23438810420</v>
      </c>
      <c r="N86" s="31">
        <v>2629929541</v>
      </c>
      <c r="O86" s="48">
        <f t="shared" si="18"/>
        <v>7.91233398256277</v>
      </c>
      <c r="P86" s="41" t="s">
        <v>52</v>
      </c>
      <c r="Q86" s="53">
        <v>368626027004</v>
      </c>
      <c r="R86" s="31">
        <v>615342370573</v>
      </c>
      <c r="S86" s="31">
        <f>[1]Hoja1!$QX$14</f>
        <v>374189972666.282</v>
      </c>
      <c r="T86" s="49">
        <f>'[84]REST-ESTAD'!$AE$4692-Z86</f>
        <v>615342370617</v>
      </c>
      <c r="U86" s="58">
        <f t="shared" si="17"/>
        <v>-0.0148693072201712</v>
      </c>
      <c r="V86" s="59"/>
      <c r="W86" s="58">
        <f t="shared" si="11"/>
        <v>-7.15049131017054e-11</v>
      </c>
      <c r="X86" s="59"/>
      <c r="Z86" s="62">
        <v>3595915383</v>
      </c>
      <c r="AB86" s="61"/>
      <c r="AC86" s="63"/>
    </row>
    <row r="87" spans="1:29">
      <c r="A87" s="29">
        <f t="shared" si="21"/>
        <v>2020</v>
      </c>
      <c r="B87" s="30">
        <f t="shared" si="19"/>
        <v>12</v>
      </c>
      <c r="C87" s="31">
        <v>15073113951</v>
      </c>
      <c r="D87" s="31">
        <v>2811359318</v>
      </c>
      <c r="E87" s="28">
        <f t="shared" si="20"/>
        <v>17884473269</v>
      </c>
      <c r="F87" s="31">
        <v>15358723499</v>
      </c>
      <c r="G87" s="31">
        <v>2806735761</v>
      </c>
      <c r="H87" s="28">
        <f>'[85]REST-ESTAD'!$AE$4713-SUM($H$76:$H86)</f>
        <v>18165459260</v>
      </c>
      <c r="I87" s="40">
        <f t="shared" si="15"/>
        <v>0.0189482776371535</v>
      </c>
      <c r="J87" s="42"/>
      <c r="K87" s="40">
        <f t="shared" si="16"/>
        <v>-0.00164459838712083</v>
      </c>
      <c r="L87" s="42"/>
      <c r="M87" s="31">
        <v>27924284404</v>
      </c>
      <c r="N87" s="31">
        <v>3071242324</v>
      </c>
      <c r="O87" s="48">
        <f t="shared" si="18"/>
        <v>8.09217881825466</v>
      </c>
      <c r="P87" s="41" t="s">
        <v>52</v>
      </c>
      <c r="Q87" s="53">
        <v>365343728330</v>
      </c>
      <c r="R87" s="31">
        <v>622631477766</v>
      </c>
      <c r="S87" s="31">
        <f>[1]Hoja1!$RA$14</f>
        <v>370359432667.995</v>
      </c>
      <c r="T87" s="49">
        <f>'[85]REST-ESTAD'!$AE$4692-Z87</f>
        <v>622631477780</v>
      </c>
      <c r="U87" s="58">
        <f t="shared" si="17"/>
        <v>-0.0135428016558483</v>
      </c>
      <c r="V87" s="59"/>
      <c r="W87" s="58">
        <f t="shared" si="11"/>
        <v>-2.24852358954308e-11</v>
      </c>
      <c r="X87" s="59"/>
      <c r="Z87" s="62">
        <v>4064375013</v>
      </c>
      <c r="AB87" s="61"/>
      <c r="AC87" s="63"/>
    </row>
    <row r="88" spans="1:29">
      <c r="A88" s="29">
        <f t="shared" si="21"/>
        <v>2021</v>
      </c>
      <c r="B88" s="30">
        <f t="shared" si="19"/>
        <v>1</v>
      </c>
      <c r="C88" s="31">
        <v>6169615947</v>
      </c>
      <c r="D88" s="31">
        <v>3309144438</v>
      </c>
      <c r="E88" s="28">
        <f t="shared" si="20"/>
        <v>9478760385</v>
      </c>
      <c r="F88" s="31">
        <v>6441648021</v>
      </c>
      <c r="G88" s="31">
        <v>3353399068</v>
      </c>
      <c r="H88" s="28">
        <f>'[86]REST-ESTAD'!$AE$4713</f>
        <v>9795047089</v>
      </c>
      <c r="I88" s="40">
        <f t="shared" si="15"/>
        <v>0.0440922216774735</v>
      </c>
      <c r="J88" s="42"/>
      <c r="K88" s="40">
        <f t="shared" si="16"/>
        <v>0.0133734355901209</v>
      </c>
      <c r="L88" s="42"/>
      <c r="M88" s="31">
        <v>16681547354</v>
      </c>
      <c r="N88" s="31">
        <v>13959350871</v>
      </c>
      <c r="O88" s="48">
        <f t="shared" si="18"/>
        <v>0.195008815822178</v>
      </c>
      <c r="P88" s="41" t="s">
        <v>52</v>
      </c>
      <c r="Q88" s="53">
        <v>365797293082</v>
      </c>
      <c r="R88" s="31">
        <v>636198460949.05</v>
      </c>
      <c r="S88" s="31">
        <f>[1]Hoja1!$RD$14</f>
        <v>370888435789.109</v>
      </c>
      <c r="T88" s="49">
        <f>'[86]REST-ESTAD'!$AE$4692+$T$87-'[86]REST-ESTAD'!$AE$4684</f>
        <v>636198460979</v>
      </c>
      <c r="U88" s="58">
        <f t="shared" si="17"/>
        <v>-0.0137268844639944</v>
      </c>
      <c r="V88" s="59"/>
      <c r="W88" s="58">
        <f t="shared" si="11"/>
        <v>-4.70758987347608e-11</v>
      </c>
      <c r="X88" s="59"/>
      <c r="AB88" s="61"/>
      <c r="AC88" s="63"/>
    </row>
    <row r="89" spans="1:29">
      <c r="A89" s="29">
        <f t="shared" si="21"/>
        <v>2021</v>
      </c>
      <c r="B89" s="30">
        <f t="shared" si="19"/>
        <v>2</v>
      </c>
      <c r="C89" s="31">
        <v>12013645745</v>
      </c>
      <c r="D89" s="31">
        <v>3531946990</v>
      </c>
      <c r="E89" s="28">
        <f t="shared" si="20"/>
        <v>15545592735</v>
      </c>
      <c r="F89" s="31">
        <v>12193117419</v>
      </c>
      <c r="G89" s="31">
        <v>3407905791</v>
      </c>
      <c r="H89" s="28">
        <f>'[87]REST-ESTAD'!$AE$4747-SUM($H$88:$H88)</f>
        <v>15601023210</v>
      </c>
      <c r="I89" s="40">
        <f t="shared" si="15"/>
        <v>0.0149389850349713</v>
      </c>
      <c r="J89" s="42"/>
      <c r="K89" s="40">
        <f t="shared" si="16"/>
        <v>-0.0351197793599954</v>
      </c>
      <c r="L89" s="42"/>
      <c r="M89" s="31">
        <v>28741785171</v>
      </c>
      <c r="N89" s="31">
        <v>7395609636</v>
      </c>
      <c r="O89" s="48">
        <f t="shared" si="18"/>
        <v>2.88633075373423</v>
      </c>
      <c r="P89" s="41" t="s">
        <v>52</v>
      </c>
      <c r="Q89" s="53">
        <v>363350975786</v>
      </c>
      <c r="R89" s="31">
        <v>645449959269.626</v>
      </c>
      <c r="S89" s="31">
        <f>[1]Hoja1!$RG$14</f>
        <v>368005172806.168</v>
      </c>
      <c r="T89" s="49">
        <f>'[87]REST-ESTAD'!$AE$4726+$T$87-'[87]REST-ESTAD'!$AE$4718</f>
        <v>645449959340</v>
      </c>
      <c r="U89" s="58">
        <f t="shared" si="17"/>
        <v>-0.0126470967369244</v>
      </c>
      <c r="V89" s="59"/>
      <c r="W89" s="58">
        <f t="shared" si="11"/>
        <v>-1.09030784400943e-10</v>
      </c>
      <c r="X89" s="59"/>
      <c r="AB89" s="61"/>
      <c r="AC89" s="63"/>
    </row>
    <row r="90" spans="1:29">
      <c r="A90" s="29">
        <f t="shared" si="21"/>
        <v>2021</v>
      </c>
      <c r="B90" s="30">
        <f t="shared" si="19"/>
        <v>3</v>
      </c>
      <c r="C90" s="31">
        <v>9330161764</v>
      </c>
      <c r="D90" s="31">
        <v>2785386417</v>
      </c>
      <c r="E90" s="28">
        <f t="shared" si="20"/>
        <v>12115548181</v>
      </c>
      <c r="F90" s="31">
        <v>9415793655</v>
      </c>
      <c r="G90" s="31">
        <v>2700451449</v>
      </c>
      <c r="H90" s="28">
        <f>'[88]REST-ESTAD'!$AE$4747-SUM($H$88:$H89)</f>
        <v>12116245104</v>
      </c>
      <c r="I90" s="40">
        <f t="shared" si="15"/>
        <v>0.00917796423749118</v>
      </c>
      <c r="J90" s="42"/>
      <c r="K90" s="40">
        <f t="shared" si="16"/>
        <v>-0.0304930646181147</v>
      </c>
      <c r="L90" s="42"/>
      <c r="M90" s="31">
        <v>35152971215</v>
      </c>
      <c r="N90" s="31">
        <v>13319438718</v>
      </c>
      <c r="O90" s="48">
        <f t="shared" si="18"/>
        <v>1.63922316542468</v>
      </c>
      <c r="P90" s="41" t="s">
        <v>52</v>
      </c>
      <c r="Q90" s="53">
        <v>372388683372</v>
      </c>
      <c r="R90" s="31">
        <v>648382633236.925</v>
      </c>
      <c r="S90" s="31">
        <f>[1]Hoja1!$RJ$14</f>
        <v>377617036493.679</v>
      </c>
      <c r="T90" s="49">
        <f>'[88]REST-ESTAD'!$AE$4726+$T$87-'[88]REST-ESTAD'!$AE$4718</f>
        <v>648382633323</v>
      </c>
      <c r="U90" s="58">
        <f t="shared" si="17"/>
        <v>-0.0138456494712894</v>
      </c>
      <c r="V90" s="59"/>
      <c r="W90" s="58">
        <f t="shared" si="11"/>
        <v>-1.32754029991133e-10</v>
      </c>
      <c r="X90" s="59"/>
      <c r="AB90" s="61"/>
      <c r="AC90" s="63"/>
    </row>
    <row r="91" spans="1:29">
      <c r="A91" s="29">
        <f t="shared" si="21"/>
        <v>2021</v>
      </c>
      <c r="B91" s="30">
        <f t="shared" si="19"/>
        <v>4</v>
      </c>
      <c r="C91" s="31">
        <v>12150626143</v>
      </c>
      <c r="D91" s="31">
        <v>2733689458</v>
      </c>
      <c r="E91" s="28">
        <f t="shared" si="20"/>
        <v>14884315601</v>
      </c>
      <c r="F91" s="31">
        <v>12601753684</v>
      </c>
      <c r="G91" s="31">
        <v>2655085755</v>
      </c>
      <c r="H91" s="28">
        <f>'[89]REST-ESTAD'!$AE$4747-SUM($H$88:$H90)</f>
        <v>15256839439</v>
      </c>
      <c r="I91" s="40">
        <f t="shared" si="15"/>
        <v>0.0371279253999512</v>
      </c>
      <c r="J91" s="42"/>
      <c r="K91" s="40">
        <f t="shared" si="16"/>
        <v>-0.0287537060107432</v>
      </c>
      <c r="L91" s="42"/>
      <c r="M91" s="31">
        <v>26036222826</v>
      </c>
      <c r="N91" s="31">
        <v>9781155054</v>
      </c>
      <c r="O91" s="48">
        <f t="shared" si="18"/>
        <v>1.66187609564092</v>
      </c>
      <c r="P91" s="41" t="s">
        <v>52</v>
      </c>
      <c r="Q91" s="53">
        <v>378627240873</v>
      </c>
      <c r="R91" s="31">
        <v>652289541743.114</v>
      </c>
      <c r="S91" s="31">
        <f>[1]Hoja1!$RM$14</f>
        <v>383604569659.635</v>
      </c>
      <c r="T91" s="49">
        <f>'[89]REST-ESTAD'!$AE$4726+$T$87-'[89]REST-ESTAD'!$AE$4718</f>
        <v>652289541831</v>
      </c>
      <c r="U91" s="58">
        <f t="shared" si="17"/>
        <v>-0.0129751550953912</v>
      </c>
      <c r="V91" s="59"/>
      <c r="W91" s="58">
        <f t="shared" si="11"/>
        <v>-1.34734223777855e-10</v>
      </c>
      <c r="X91" s="59"/>
      <c r="AB91" s="61"/>
      <c r="AC91" s="63"/>
    </row>
    <row r="92" spans="1:29">
      <c r="A92" s="29">
        <f t="shared" si="21"/>
        <v>2021</v>
      </c>
      <c r="B92" s="30">
        <f t="shared" si="19"/>
        <v>5</v>
      </c>
      <c r="C92" s="31">
        <v>10294859705</v>
      </c>
      <c r="D92" s="31">
        <v>3089640012</v>
      </c>
      <c r="E92" s="28">
        <f t="shared" si="20"/>
        <v>13384499717</v>
      </c>
      <c r="F92" s="31">
        <v>10512594347</v>
      </c>
      <c r="G92" s="31">
        <v>3045974770</v>
      </c>
      <c r="H92" s="28">
        <f>'[90]REST-ESTAD'!$AE$4747-SUM($H$88:$H91)</f>
        <v>13558569117</v>
      </c>
      <c r="I92" s="40">
        <f t="shared" si="15"/>
        <v>0.0211498406233017</v>
      </c>
      <c r="J92" s="42"/>
      <c r="K92" s="40">
        <f t="shared" si="16"/>
        <v>-0.0141327927623951</v>
      </c>
      <c r="L92" s="42"/>
      <c r="M92" s="31">
        <v>33281908650</v>
      </c>
      <c r="N92" s="31">
        <v>20938982627</v>
      </c>
      <c r="O92" s="48">
        <f t="shared" si="18"/>
        <v>0.589471143028901</v>
      </c>
      <c r="P92" s="41" t="s">
        <v>52</v>
      </c>
      <c r="Q92" s="53">
        <v>392585133171</v>
      </c>
      <c r="R92" s="31">
        <v>658679967255.022</v>
      </c>
      <c r="S92" s="31">
        <f>[1]Hoja1!$RP$14</f>
        <v>397435191382.427</v>
      </c>
      <c r="T92" s="49">
        <f>'[90]REST-ESTAD'!$AE$4726+$T$87-'[90]REST-ESTAD'!$AE$4718</f>
        <v>658679967339</v>
      </c>
      <c r="U92" s="58">
        <f t="shared" si="17"/>
        <v>-0.0122033939535068</v>
      </c>
      <c r="V92" s="59"/>
      <c r="W92" s="58">
        <f t="shared" si="11"/>
        <v>-1.27494237389669e-10</v>
      </c>
      <c r="X92" s="59"/>
      <c r="AB92" s="61"/>
      <c r="AC92" s="63"/>
    </row>
    <row r="93" spans="1:29">
      <c r="A93" s="29">
        <f t="shared" si="21"/>
        <v>2021</v>
      </c>
      <c r="B93" s="30">
        <f t="shared" si="19"/>
        <v>6</v>
      </c>
      <c r="C93" s="31">
        <v>9536018072</v>
      </c>
      <c r="D93" s="31">
        <v>4262048470</v>
      </c>
      <c r="E93" s="28">
        <f t="shared" si="20"/>
        <v>13798066542</v>
      </c>
      <c r="F93" s="31">
        <v>9800480188</v>
      </c>
      <c r="G93" s="31">
        <v>4074052055</v>
      </c>
      <c r="H93" s="28">
        <f>'[91]REST-ESTAD'!$AE$4747-SUM($H$88:$H92)</f>
        <v>13874532243</v>
      </c>
      <c r="I93" s="40">
        <f t="shared" si="15"/>
        <v>0.0277329713516927</v>
      </c>
      <c r="J93" s="42"/>
      <c r="K93" s="40">
        <f t="shared" si="16"/>
        <v>-0.0441094033358096</v>
      </c>
      <c r="L93" s="42"/>
      <c r="M93" s="31">
        <v>30650575073</v>
      </c>
      <c r="N93" s="31">
        <v>16809058585</v>
      </c>
      <c r="O93" s="48">
        <f t="shared" si="18"/>
        <v>0.823455782369147</v>
      </c>
      <c r="P93" s="41" t="s">
        <v>52</v>
      </c>
      <c r="Q93" s="53">
        <v>386712040404</v>
      </c>
      <c r="R93" s="31">
        <v>682624111711.298</v>
      </c>
      <c r="S93" s="31">
        <f>[1]Hoja1!$RS$14</f>
        <v>391166495640.842</v>
      </c>
      <c r="T93" s="49">
        <f>'[91]REST-ESTAD'!$AE$4726+$T$87-'[91]REST-ESTAD'!$AE$4718</f>
        <v>682624111791</v>
      </c>
      <c r="U93" s="58">
        <f t="shared" si="17"/>
        <v>-0.0113876195596575</v>
      </c>
      <c r="V93" s="59"/>
      <c r="W93" s="58">
        <f t="shared" si="11"/>
        <v>-1.16758491763846e-10</v>
      </c>
      <c r="X93" s="59"/>
      <c r="AB93" s="61"/>
      <c r="AC93" s="63"/>
    </row>
    <row r="94" spans="1:29">
      <c r="A94" s="29">
        <f t="shared" si="21"/>
        <v>2021</v>
      </c>
      <c r="B94" s="30">
        <f t="shared" si="19"/>
        <v>7</v>
      </c>
      <c r="C94" s="31">
        <v>8823926852</v>
      </c>
      <c r="D94" s="31">
        <v>3375970157</v>
      </c>
      <c r="E94" s="28">
        <f t="shared" si="20"/>
        <v>12199897009</v>
      </c>
      <c r="F94" s="31">
        <v>9130562078</v>
      </c>
      <c r="G94" s="31">
        <v>3360441609</v>
      </c>
      <c r="H94" s="28">
        <f>'[92]REST-ESTAD'!$AE$4747-SUM($H$88:$H93)</f>
        <v>12491003687</v>
      </c>
      <c r="I94" s="40">
        <f t="shared" si="15"/>
        <v>0.0347504270086394</v>
      </c>
      <c r="J94" s="42"/>
      <c r="K94" s="40">
        <f t="shared" si="16"/>
        <v>-0.0045997290490859</v>
      </c>
      <c r="L94" s="42"/>
      <c r="M94" s="31">
        <v>29103204077</v>
      </c>
      <c r="N94" s="31">
        <v>13437143802</v>
      </c>
      <c r="O94" s="48">
        <f t="shared" si="18"/>
        <v>1.1658772508387</v>
      </c>
      <c r="P94" s="41" t="s">
        <v>52</v>
      </c>
      <c r="Q94" s="53">
        <v>394314912882</v>
      </c>
      <c r="R94" s="31">
        <v>688749104093.762</v>
      </c>
      <c r="S94" s="31">
        <f>[1]Hoja1!$RV$14</f>
        <v>398683329770.989</v>
      </c>
      <c r="T94" s="49">
        <f>'[92]REST-ESTAD'!$AE$4726+$T$87-'[92]REST-ESTAD'!$AE$4718</f>
        <v>688749104174</v>
      </c>
      <c r="U94" s="58">
        <f t="shared" si="17"/>
        <v>-0.0109571094720678</v>
      </c>
      <c r="V94" s="59"/>
      <c r="W94" s="58">
        <f t="shared" si="11"/>
        <v>-1.16498366509177e-10</v>
      </c>
      <c r="X94" s="59"/>
      <c r="AB94" s="61"/>
      <c r="AC94" s="63"/>
    </row>
    <row r="95" spans="1:29">
      <c r="A95" s="29">
        <f t="shared" si="21"/>
        <v>2021</v>
      </c>
      <c r="B95" s="30">
        <f t="shared" si="19"/>
        <v>8</v>
      </c>
      <c r="C95" s="31">
        <v>12162761868</v>
      </c>
      <c r="D95" s="31">
        <v>2840999879</v>
      </c>
      <c r="E95" s="28">
        <f t="shared" si="20"/>
        <v>15003761747</v>
      </c>
      <c r="F95" s="31">
        <v>12521954633</v>
      </c>
      <c r="G95" s="31">
        <v>2881820242</v>
      </c>
      <c r="H95" s="28">
        <f>'[93]REST-ESTAD'!$AE$4747-SUM($H$88:$H94)</f>
        <v>15403774875</v>
      </c>
      <c r="I95" s="40">
        <f t="shared" si="15"/>
        <v>0.0295321711382863</v>
      </c>
      <c r="J95" s="42"/>
      <c r="K95" s="40">
        <f t="shared" si="16"/>
        <v>0.0143683086020998</v>
      </c>
      <c r="L95" s="42"/>
      <c r="M95" s="31">
        <v>30597047358</v>
      </c>
      <c r="N95" s="31">
        <v>15061313264</v>
      </c>
      <c r="O95" s="48">
        <f t="shared" si="18"/>
        <v>1.03149930033883</v>
      </c>
      <c r="P95" s="41" t="s">
        <v>52</v>
      </c>
      <c r="Q95" s="53">
        <v>401054815500</v>
      </c>
      <c r="R95" s="31">
        <v>697041642000.937</v>
      </c>
      <c r="S95" s="31">
        <f>[1]Hoja1!$RY$14</f>
        <v>405331228344.516</v>
      </c>
      <c r="T95" s="49">
        <f>'[93]REST-ESTAD'!$AE$4726+$T$87-'[93]REST-ESTAD'!$AE$4718</f>
        <v>697041642081</v>
      </c>
      <c r="U95" s="58">
        <f t="shared" si="17"/>
        <v>-0.0105504154268649</v>
      </c>
      <c r="V95" s="59"/>
      <c r="W95" s="58">
        <f t="shared" ref="W95:W123" si="22">R95/T95-1</f>
        <v>-1.14861453681669e-10</v>
      </c>
      <c r="X95" s="59"/>
      <c r="AB95" s="61"/>
      <c r="AC95" s="63"/>
    </row>
    <row r="96" spans="1:29">
      <c r="A96" s="29">
        <f t="shared" si="21"/>
        <v>2021</v>
      </c>
      <c r="B96" s="30">
        <f t="shared" si="19"/>
        <v>9</v>
      </c>
      <c r="C96" s="31">
        <v>11139106892</v>
      </c>
      <c r="D96" s="31">
        <v>3596478175</v>
      </c>
      <c r="E96" s="28">
        <f t="shared" si="20"/>
        <v>14735585067</v>
      </c>
      <c r="F96" s="31">
        <v>11414635579</v>
      </c>
      <c r="G96" s="31">
        <v>3504293475</v>
      </c>
      <c r="H96" s="28">
        <f>'[94]REST-ESTAD'!$AE$4747-SUM($H$88:$H95)</f>
        <v>14918929054</v>
      </c>
      <c r="I96" s="40">
        <f t="shared" si="15"/>
        <v>0.0247352583713765</v>
      </c>
      <c r="J96" s="42"/>
      <c r="K96" s="40">
        <f t="shared" si="16"/>
        <v>-0.0256319364429342</v>
      </c>
      <c r="L96" s="42"/>
      <c r="M96" s="31">
        <v>25016354081</v>
      </c>
      <c r="N96" s="31">
        <v>11317854318</v>
      </c>
      <c r="O96" s="48">
        <f t="shared" si="18"/>
        <v>1.21034423823726</v>
      </c>
      <c r="P96" s="41" t="s">
        <v>52</v>
      </c>
      <c r="Q96" s="53">
        <v>400005518992</v>
      </c>
      <c r="R96" s="31">
        <v>708718302287.737</v>
      </c>
      <c r="S96" s="31">
        <f>[1]Hoja1!$SB$14</f>
        <v>405824580064.838</v>
      </c>
      <c r="T96" s="49">
        <f>'[94]REST-ESTAD'!$AE$4726+$T$87-'[94]REST-ESTAD'!$AE$4718</f>
        <v>708718302370</v>
      </c>
      <c r="U96" s="58">
        <f t="shared" si="17"/>
        <v>-0.0143388581142828</v>
      </c>
      <c r="V96" s="59"/>
      <c r="W96" s="58">
        <f t="shared" si="22"/>
        <v>-1.16073484157653e-10</v>
      </c>
      <c r="X96" s="59"/>
      <c r="AB96" s="61"/>
      <c r="AC96" s="63"/>
    </row>
    <row r="97" spans="1:29">
      <c r="A97" s="29">
        <f t="shared" si="21"/>
        <v>2021</v>
      </c>
      <c r="B97" s="30">
        <f t="shared" si="19"/>
        <v>10</v>
      </c>
      <c r="C97" s="31">
        <v>11550857973</v>
      </c>
      <c r="D97" s="31">
        <v>2933319670</v>
      </c>
      <c r="E97" s="28">
        <f t="shared" si="20"/>
        <v>14484177643</v>
      </c>
      <c r="F97" s="31">
        <v>11642428530</v>
      </c>
      <c r="G97" s="31">
        <v>2842412797</v>
      </c>
      <c r="H97" s="28">
        <f>'[95]REST-ESTAD'!$AE$4747-SUM($H$88:$H96)</f>
        <v>14484841327</v>
      </c>
      <c r="I97" s="40">
        <f t="shared" si="15"/>
        <v>0.00792759786450881</v>
      </c>
      <c r="J97" s="42"/>
      <c r="K97" s="40">
        <f t="shared" si="16"/>
        <v>-0.0309911237870641</v>
      </c>
      <c r="L97" s="42"/>
      <c r="M97" s="31">
        <v>27804939888</v>
      </c>
      <c r="N97" s="31">
        <v>22405284725</v>
      </c>
      <c r="O97" s="48">
        <f t="shared" si="18"/>
        <v>0.240999176278042</v>
      </c>
      <c r="P97" s="41" t="s">
        <v>52</v>
      </c>
      <c r="Q97" s="53">
        <v>405009693056</v>
      </c>
      <c r="R97" s="31">
        <v>725903317418.891</v>
      </c>
      <c r="S97" s="31">
        <f>[1]Hoja1!$SE$14</f>
        <v>410742257543.863</v>
      </c>
      <c r="T97" s="49">
        <f>'[95]REST-ESTAD'!$AE$4726+$T$87-'[95]REST-ESTAD'!$AE$4718</f>
        <v>725903317495</v>
      </c>
      <c r="U97" s="58">
        <f t="shared" si="17"/>
        <v>-0.0139565977996581</v>
      </c>
      <c r="V97" s="59"/>
      <c r="W97" s="58">
        <f t="shared" si="22"/>
        <v>-1.04847464044155e-10</v>
      </c>
      <c r="X97" s="59"/>
      <c r="AB97" s="61"/>
      <c r="AC97" s="63"/>
    </row>
    <row r="98" spans="1:29">
      <c r="A98" s="29">
        <f t="shared" si="21"/>
        <v>2021</v>
      </c>
      <c r="B98" s="30">
        <f t="shared" si="19"/>
        <v>11</v>
      </c>
      <c r="C98" s="31">
        <v>11710686686</v>
      </c>
      <c r="D98" s="31">
        <v>5686804460</v>
      </c>
      <c r="E98" s="28">
        <f t="shared" si="20"/>
        <v>17397491146</v>
      </c>
      <c r="F98" s="31">
        <v>12125019020</v>
      </c>
      <c r="G98" s="31">
        <v>5549490411</v>
      </c>
      <c r="H98" s="28">
        <f>'[96]REST-ESTAD'!$AE$4747-SUM($H$88:$H97)</f>
        <v>17674509431</v>
      </c>
      <c r="I98" s="40">
        <f t="shared" si="15"/>
        <v>0.035380703549633</v>
      </c>
      <c r="J98" s="42"/>
      <c r="K98" s="40">
        <f t="shared" si="16"/>
        <v>-0.0241460823852557</v>
      </c>
      <c r="L98" s="42"/>
      <c r="M98" s="31">
        <v>24628885640</v>
      </c>
      <c r="N98" s="31">
        <v>12596286930</v>
      </c>
      <c r="O98" s="48">
        <f t="shared" si="18"/>
        <v>0.955249652287811</v>
      </c>
      <c r="P98" s="41" t="s">
        <v>52</v>
      </c>
      <c r="Q98" s="53">
        <v>404655364548</v>
      </c>
      <c r="R98" s="31">
        <v>739067567307.24</v>
      </c>
      <c r="S98" s="31">
        <f>[1]Hoja1!$SH$14</f>
        <v>410727680565.955</v>
      </c>
      <c r="T98" s="49">
        <f>'[96]REST-ESTAD'!$AE$4726+$T$87-'[96]REST-ESTAD'!$AE$4718</f>
        <v>739067567386</v>
      </c>
      <c r="U98" s="58">
        <f t="shared" si="17"/>
        <v>-0.0147842872669017</v>
      </c>
      <c r="V98" s="59"/>
      <c r="W98" s="58">
        <f t="shared" si="22"/>
        <v>-1.06566866442392e-10</v>
      </c>
      <c r="X98" s="59"/>
      <c r="AB98" s="61"/>
      <c r="AC98" s="63"/>
    </row>
    <row r="99" spans="1:29">
      <c r="A99" s="29">
        <f t="shared" si="21"/>
        <v>2021</v>
      </c>
      <c r="B99" s="30">
        <f t="shared" si="19"/>
        <v>12</v>
      </c>
      <c r="C99" s="31">
        <v>14382747935</v>
      </c>
      <c r="D99" s="31">
        <v>2896494131</v>
      </c>
      <c r="E99" s="28">
        <f t="shared" si="20"/>
        <v>17279242066</v>
      </c>
      <c r="F99" s="31">
        <v>14759843565</v>
      </c>
      <c r="G99" s="31">
        <v>2841966915</v>
      </c>
      <c r="H99" s="28">
        <f>'[97]REST-ESTAD'!$AE$4747-SUM($H$88:$H98)</f>
        <v>17601810480</v>
      </c>
      <c r="I99" s="40">
        <f t="shared" si="15"/>
        <v>0.026218607995093</v>
      </c>
      <c r="J99" s="42"/>
      <c r="K99" s="40">
        <f t="shared" si="16"/>
        <v>-0.0188252464993516</v>
      </c>
      <c r="L99" s="42"/>
      <c r="M99" s="31">
        <v>29326027597</v>
      </c>
      <c r="N99" s="31">
        <v>21991821835</v>
      </c>
      <c r="O99" s="48">
        <f t="shared" si="18"/>
        <v>0.333496961599044</v>
      </c>
      <c r="P99" s="41" t="s">
        <v>52</v>
      </c>
      <c r="Q99" s="53">
        <v>403139186780</v>
      </c>
      <c r="R99" s="31">
        <v>762958030657.82</v>
      </c>
      <c r="S99" s="31">
        <f>[1]Hoja1!$SK$14</f>
        <v>408809496735.84</v>
      </c>
      <c r="T99" s="49">
        <f>'[97]REST-ESTAD'!$AE$4726+$T$87-'[97]REST-ESTAD'!$AE$4718</f>
        <v>762958030735</v>
      </c>
      <c r="U99" s="58">
        <f t="shared" si="17"/>
        <v>-0.0138702990050753</v>
      </c>
      <c r="V99" s="59"/>
      <c r="W99" s="58">
        <f t="shared" si="22"/>
        <v>-1.01158970089443e-10</v>
      </c>
      <c r="X99" s="59"/>
      <c r="AB99" s="61"/>
      <c r="AC99" s="63"/>
    </row>
    <row r="100" spans="1:29">
      <c r="A100" s="29">
        <f t="shared" si="21"/>
        <v>2022</v>
      </c>
      <c r="B100" s="30">
        <f t="shared" si="19"/>
        <v>1</v>
      </c>
      <c r="C100" s="31">
        <v>8590538754</v>
      </c>
      <c r="D100" s="31">
        <v>3880970047.33411</v>
      </c>
      <c r="E100" s="28">
        <f t="shared" si="20"/>
        <v>12471508801.3341</v>
      </c>
      <c r="F100" s="31">
        <v>8647709090</v>
      </c>
      <c r="G100" s="31">
        <v>3771208446</v>
      </c>
      <c r="H100" s="28">
        <f>'[98]REST-ESTAD'!$AE$4747</f>
        <v>12418917536</v>
      </c>
      <c r="I100" s="40">
        <f t="shared" ref="I100:I123" si="23">IFERROR(F100/C100-1,"")</f>
        <v>0.00665503499106856</v>
      </c>
      <c r="J100" s="42"/>
      <c r="K100" s="40">
        <f t="shared" ref="K100:K123" si="24">IFERROR(G100/D100-1,"")</f>
        <v>-0.0282820016633486</v>
      </c>
      <c r="L100" s="42"/>
      <c r="M100" s="31">
        <v>29039076981</v>
      </c>
      <c r="N100" s="31">
        <v>17693845334</v>
      </c>
      <c r="O100" s="48">
        <f t="shared" si="18"/>
        <v>0.641196497021443</v>
      </c>
      <c r="P100" s="41" t="s">
        <v>52</v>
      </c>
      <c r="Q100" s="53">
        <v>412015565137</v>
      </c>
      <c r="R100" s="31">
        <v>771841595797</v>
      </c>
      <c r="S100" s="31">
        <f>[1]Hoja1!$SN$14</f>
        <v>418443413942.118</v>
      </c>
      <c r="T100" s="49">
        <f>$T$99+'[98]REST-ESTAD'!$AE$4726-'[98]REST-ESTAD'!$AE$4718</f>
        <v>771535306019</v>
      </c>
      <c r="U100" s="58">
        <f t="shared" si="17"/>
        <v>-0.0153613334346973</v>
      </c>
      <c r="V100" s="59"/>
      <c r="W100" s="58">
        <f t="shared" si="22"/>
        <v>0.00039698737777849</v>
      </c>
      <c r="X100" s="59"/>
      <c r="AB100" s="61"/>
      <c r="AC100" s="63"/>
    </row>
    <row r="101" spans="1:29">
      <c r="A101" s="29">
        <f t="shared" si="21"/>
        <v>2022</v>
      </c>
      <c r="B101" s="30">
        <f t="shared" si="19"/>
        <v>2</v>
      </c>
      <c r="C101" s="31">
        <v>12627003057</v>
      </c>
      <c r="D101" s="31">
        <v>3127537331.33411</v>
      </c>
      <c r="E101" s="28">
        <f t="shared" si="20"/>
        <v>15754540388.3341</v>
      </c>
      <c r="F101" s="31">
        <v>12954090396</v>
      </c>
      <c r="G101" s="31">
        <v>3064140149</v>
      </c>
      <c r="H101" s="28">
        <f>'[99]REST-ESTAD'!$AE$4747-SUM($H$100:$H100)</f>
        <v>16018230545</v>
      </c>
      <c r="I101" s="40">
        <f t="shared" si="23"/>
        <v>0.0259037981953028</v>
      </c>
      <c r="J101" s="42"/>
      <c r="K101" s="40">
        <f t="shared" si="24"/>
        <v>-0.0202706396815625</v>
      </c>
      <c r="L101" s="42"/>
      <c r="M101" s="31">
        <v>27092752960</v>
      </c>
      <c r="N101" s="31">
        <v>9555676652</v>
      </c>
      <c r="O101" s="48">
        <f t="shared" si="18"/>
        <v>1.83525216964405</v>
      </c>
      <c r="P101" s="41" t="s">
        <v>52</v>
      </c>
      <c r="Q101" s="53">
        <v>416082958720</v>
      </c>
      <c r="R101" s="31">
        <v>777803239508</v>
      </c>
      <c r="S101" s="31">
        <f>[1]Hoja1!$SQ$14</f>
        <v>421682256518.627</v>
      </c>
      <c r="T101" s="49">
        <f>$T$99+'[99]REST-ESTAD'!$AE$4726-'[99]REST-ESTAD'!$AE$4718</f>
        <v>777803239605</v>
      </c>
      <c r="U101" s="58">
        <f t="shared" si="17"/>
        <v>-0.0132784761798008</v>
      </c>
      <c r="V101" s="59"/>
      <c r="W101" s="58">
        <f t="shared" si="22"/>
        <v>-1.24710242133119e-10</v>
      </c>
      <c r="X101" s="59"/>
      <c r="AB101" s="61"/>
      <c r="AC101" s="63"/>
    </row>
    <row r="102" spans="1:29">
      <c r="A102" s="29">
        <f t="shared" si="21"/>
        <v>2022</v>
      </c>
      <c r="B102" s="30">
        <f t="shared" si="19"/>
        <v>3</v>
      </c>
      <c r="C102" s="31">
        <v>11599362869</v>
      </c>
      <c r="D102" s="31">
        <v>3247014450.33411</v>
      </c>
      <c r="E102" s="28">
        <f t="shared" si="20"/>
        <v>14846377319.3341</v>
      </c>
      <c r="F102" s="31">
        <v>13613480626</v>
      </c>
      <c r="G102" s="31">
        <v>3111159185</v>
      </c>
      <c r="H102" s="28">
        <f>'[100]REST-ESTAD'!$AE$4747-SUM($H$100:$H101)</f>
        <v>16724639811</v>
      </c>
      <c r="I102" s="43">
        <f t="shared" si="23"/>
        <v>0.173640378333439</v>
      </c>
      <c r="J102" s="42" t="s">
        <v>55</v>
      </c>
      <c r="K102" s="40">
        <f t="shared" si="24"/>
        <v>-0.0418400556610181</v>
      </c>
      <c r="L102" s="42"/>
      <c r="M102" s="31">
        <v>32638492019</v>
      </c>
      <c r="N102" s="31">
        <v>11971063145</v>
      </c>
      <c r="O102" s="48">
        <f t="shared" si="18"/>
        <v>1.72644890630556</v>
      </c>
      <c r="P102" s="41" t="s">
        <v>52</v>
      </c>
      <c r="Q102" s="53">
        <v>418508509090</v>
      </c>
      <c r="R102" s="31">
        <v>786768422867</v>
      </c>
      <c r="S102" s="31">
        <f>[1]Hoja1!$ST$14</f>
        <v>424711890675.333</v>
      </c>
      <c r="T102" s="49">
        <f>$T$99+'[100]REST-ESTAD'!$AE$4726-'[100]REST-ESTAD'!$AE$4718</f>
        <v>786768422945</v>
      </c>
      <c r="U102" s="58">
        <f t="shared" si="17"/>
        <v>-0.0146060934989813</v>
      </c>
      <c r="V102" s="59"/>
      <c r="W102" s="58">
        <f t="shared" si="22"/>
        <v>-9.91396964522551e-11</v>
      </c>
      <c r="X102" s="59"/>
      <c r="AB102" s="61"/>
      <c r="AC102" s="63"/>
    </row>
    <row r="103" spans="1:29">
      <c r="A103" s="29">
        <f t="shared" si="21"/>
        <v>2022</v>
      </c>
      <c r="B103" s="30">
        <f t="shared" si="19"/>
        <v>4</v>
      </c>
      <c r="C103" s="31">
        <v>13200861120</v>
      </c>
      <c r="D103" s="31">
        <v>3580027835.33411</v>
      </c>
      <c r="E103" s="28">
        <f t="shared" si="20"/>
        <v>16780888955.3341</v>
      </c>
      <c r="F103" s="31">
        <v>13539025254</v>
      </c>
      <c r="G103" s="31">
        <v>3493578643</v>
      </c>
      <c r="H103" s="28">
        <f>'[101]REST-ESTAD'!$AE$4747-SUM($H$100:$H102)</f>
        <v>17032603897</v>
      </c>
      <c r="I103" s="40">
        <f t="shared" si="23"/>
        <v>0.0256168238515639</v>
      </c>
      <c r="J103" s="42"/>
      <c r="K103" s="40">
        <f t="shared" si="24"/>
        <v>-0.0241476313342802</v>
      </c>
      <c r="L103" s="42"/>
      <c r="M103" s="31">
        <v>7044015149</v>
      </c>
      <c r="N103" s="31">
        <v>16421324796</v>
      </c>
      <c r="O103" s="48">
        <f t="shared" si="18"/>
        <v>-0.571044648558695</v>
      </c>
      <c r="P103" s="41" t="s">
        <v>52</v>
      </c>
      <c r="Q103" s="53">
        <v>425552524239</v>
      </c>
      <c r="R103" s="31">
        <v>795515247619</v>
      </c>
      <c r="S103" s="31">
        <f>[1]Hoja1!$SW$14</f>
        <v>431861837718.023</v>
      </c>
      <c r="T103" s="49">
        <f>$T$99+'[101]REST-ESTAD'!$AE$4726-'[101]REST-ESTAD'!$AE$4718</f>
        <v>795515247716</v>
      </c>
      <c r="U103" s="58">
        <f t="shared" si="17"/>
        <v>-0.0146095647449693</v>
      </c>
      <c r="V103" s="59"/>
      <c r="W103" s="58">
        <f t="shared" si="22"/>
        <v>-1.21933574348532e-10</v>
      </c>
      <c r="X103" s="59"/>
      <c r="AB103" s="61"/>
      <c r="AC103" s="63"/>
    </row>
    <row r="104" spans="1:29">
      <c r="A104" s="29">
        <f t="shared" si="21"/>
        <v>2022</v>
      </c>
      <c r="B104" s="30">
        <f t="shared" si="19"/>
        <v>5</v>
      </c>
      <c r="C104" s="31">
        <v>12987120305</v>
      </c>
      <c r="D104" s="31">
        <v>3127382992.33411</v>
      </c>
      <c r="E104" s="28">
        <f t="shared" si="20"/>
        <v>16114503297.3341</v>
      </c>
      <c r="F104" s="31">
        <v>13414825078</v>
      </c>
      <c r="G104" s="31">
        <v>3091373755</v>
      </c>
      <c r="H104" s="28">
        <f>'[102]REST-ESTAD'!$AE$4747-SUM($H$100:$H103)</f>
        <v>16506198833</v>
      </c>
      <c r="I104" s="40">
        <f t="shared" si="23"/>
        <v>0.0329329953796866</v>
      </c>
      <c r="J104" s="42"/>
      <c r="K104" s="40">
        <f t="shared" si="24"/>
        <v>-0.0115141757253191</v>
      </c>
      <c r="L104" s="42"/>
      <c r="M104" s="31">
        <v>32902883835</v>
      </c>
      <c r="N104" s="31">
        <v>14229718987</v>
      </c>
      <c r="O104" s="48">
        <f t="shared" si="18"/>
        <v>1.31226518703985</v>
      </c>
      <c r="P104" s="41" t="s">
        <v>52</v>
      </c>
      <c r="Q104" s="53">
        <v>435607393914</v>
      </c>
      <c r="R104" s="31">
        <v>799567178711</v>
      </c>
      <c r="S104" s="31">
        <f>[1]Hoja1!$SZ$14</f>
        <v>441873065405.404</v>
      </c>
      <c r="T104" s="49">
        <f>$T$99+'[102]REST-ESTAD'!$AE$4726-'[102]REST-ESTAD'!$AE$4718</f>
        <v>799570178754</v>
      </c>
      <c r="U104" s="58">
        <f t="shared" si="17"/>
        <v>-0.0141797995441418</v>
      </c>
      <c r="V104" s="59"/>
      <c r="W104" s="58">
        <f t="shared" si="22"/>
        <v>-3.75206964908781e-6</v>
      </c>
      <c r="X104" s="59"/>
      <c r="AB104" s="61"/>
      <c r="AC104" s="63"/>
    </row>
    <row r="105" spans="1:29">
      <c r="A105" s="29">
        <f t="shared" si="21"/>
        <v>2022</v>
      </c>
      <c r="B105" s="30">
        <f t="shared" si="19"/>
        <v>6</v>
      </c>
      <c r="C105" s="31">
        <v>13402577129</v>
      </c>
      <c r="D105" s="31">
        <v>4926100014.99298</v>
      </c>
      <c r="E105" s="28">
        <f t="shared" si="20"/>
        <v>18328677143.993</v>
      </c>
      <c r="F105" s="31">
        <v>13721208575</v>
      </c>
      <c r="G105" s="31">
        <v>4730040047</v>
      </c>
      <c r="H105" s="28">
        <f>'[103]REST-ESTAD'!$AE$4747-SUM($H$100:$H104)</f>
        <v>18451248622</v>
      </c>
      <c r="I105" s="40">
        <f t="shared" si="23"/>
        <v>0.0237738938513965</v>
      </c>
      <c r="J105" s="42"/>
      <c r="K105" s="40">
        <f t="shared" si="24"/>
        <v>-0.0398002410418502</v>
      </c>
      <c r="L105" s="42"/>
      <c r="M105" s="31">
        <v>36587501030</v>
      </c>
      <c r="N105" s="31">
        <v>24048634232</v>
      </c>
      <c r="O105" s="48">
        <f t="shared" si="18"/>
        <v>0.521396212235426</v>
      </c>
      <c r="P105" s="41" t="s">
        <v>52</v>
      </c>
      <c r="Q105" s="53">
        <v>434580085822</v>
      </c>
      <c r="R105" s="31">
        <v>825322278543</v>
      </c>
      <c r="S105" s="31">
        <f>[1]Hoja1!$TC$14</f>
        <v>440828331635.419</v>
      </c>
      <c r="T105" s="49">
        <f>$T$99+'[103]REST-ESTAD'!$AE$4726-'[103]REST-ESTAD'!$AE$4718</f>
        <v>825322278657</v>
      </c>
      <c r="U105" s="58">
        <f t="shared" si="17"/>
        <v>-0.0141738753274747</v>
      </c>
      <c r="V105" s="59"/>
      <c r="W105" s="58">
        <f t="shared" si="22"/>
        <v>-1.38127842497227e-10</v>
      </c>
      <c r="X105" s="59"/>
      <c r="AB105" s="61"/>
      <c r="AC105" s="63"/>
    </row>
    <row r="106" spans="1:29">
      <c r="A106" s="29">
        <f t="shared" si="21"/>
        <v>2022</v>
      </c>
      <c r="B106" s="30">
        <f t="shared" si="19"/>
        <v>7</v>
      </c>
      <c r="C106" s="31">
        <v>11736779255</v>
      </c>
      <c r="D106" s="31">
        <v>3482797988.33411</v>
      </c>
      <c r="E106" s="28">
        <f t="shared" si="20"/>
        <v>15219577243.3341</v>
      </c>
      <c r="F106" s="31">
        <v>12108594421</v>
      </c>
      <c r="G106" s="31">
        <v>3414905357</v>
      </c>
      <c r="H106" s="28">
        <f>'[104]REST-ESTAD'!$AE$5226-SUM($H$100:$H105)</f>
        <v>15523499778</v>
      </c>
      <c r="I106" s="40">
        <f t="shared" si="23"/>
        <v>0.0316794887184746</v>
      </c>
      <c r="J106" s="42"/>
      <c r="K106" s="40">
        <f t="shared" si="24"/>
        <v>-0.0194937034997495</v>
      </c>
      <c r="L106" s="42"/>
      <c r="M106" s="31">
        <v>27891058312</v>
      </c>
      <c r="N106" s="31">
        <v>25612690893</v>
      </c>
      <c r="O106" s="48">
        <f t="shared" si="18"/>
        <v>0.0889546291140648</v>
      </c>
      <c r="P106" s="41" t="s">
        <v>52</v>
      </c>
      <c r="Q106" s="53">
        <v>443187331444</v>
      </c>
      <c r="R106" s="31">
        <v>842093673904</v>
      </c>
      <c r="S106" s="31">
        <f>[1]Hoja1!$TF$14</f>
        <v>449609022225.953</v>
      </c>
      <c r="T106" s="49">
        <f>$T$99+'[104]REST-ESTAD'!$AE$5205-'[104]REST-ESTAD'!$AE$5197</f>
        <v>842093673951</v>
      </c>
      <c r="U106" s="58">
        <f t="shared" si="17"/>
        <v>-0.0142828334497387</v>
      </c>
      <c r="V106" s="59"/>
      <c r="W106" s="58">
        <f t="shared" si="22"/>
        <v>-5.58132429162583e-11</v>
      </c>
      <c r="X106" s="59"/>
      <c r="AB106" s="61"/>
      <c r="AC106" s="63"/>
    </row>
    <row r="107" spans="1:29">
      <c r="A107" s="29">
        <f t="shared" si="21"/>
        <v>2022</v>
      </c>
      <c r="B107" s="30">
        <f t="shared" si="19"/>
        <v>8</v>
      </c>
      <c r="C107" s="31">
        <v>12783798490</v>
      </c>
      <c r="D107" s="31">
        <v>3167420667.33411</v>
      </c>
      <c r="E107" s="28">
        <f t="shared" si="20"/>
        <v>15951219157.3341</v>
      </c>
      <c r="F107" s="31">
        <v>13083920694</v>
      </c>
      <c r="G107" s="31">
        <v>3134017390</v>
      </c>
      <c r="H107" s="28">
        <f>'[105]REST-ESTAD'!$AE$5226-SUM($H$100:$H106)</f>
        <v>16217938084</v>
      </c>
      <c r="I107" s="40">
        <f t="shared" si="23"/>
        <v>0.0234767627348607</v>
      </c>
      <c r="J107" s="42"/>
      <c r="K107" s="40">
        <f t="shared" si="24"/>
        <v>-0.010545892333974</v>
      </c>
      <c r="L107" s="42"/>
      <c r="M107" s="31">
        <v>28842307425</v>
      </c>
      <c r="N107" s="31">
        <v>25639497586</v>
      </c>
      <c r="O107" s="48">
        <f t="shared" si="18"/>
        <v>0.124917028044607</v>
      </c>
      <c r="P107" s="41" t="s">
        <v>52</v>
      </c>
      <c r="Q107" s="53">
        <v>450705762646</v>
      </c>
      <c r="R107" s="31">
        <v>860547007564</v>
      </c>
      <c r="S107" s="31">
        <f>[1]Hoja1!$TI$14</f>
        <v>457181342464.846</v>
      </c>
      <c r="T107" s="49">
        <f>$T$99+'[105]REST-ESTAD'!$AE$5205-'[105]REST-ESTAD'!$AE$5197</f>
        <v>860547007692</v>
      </c>
      <c r="U107" s="58">
        <f t="shared" si="17"/>
        <v>-0.0141641384224768</v>
      </c>
      <c r="V107" s="59"/>
      <c r="W107" s="58">
        <f t="shared" si="22"/>
        <v>-1.48742573813365e-10</v>
      </c>
      <c r="X107" s="59"/>
      <c r="AB107" s="61"/>
      <c r="AC107" s="63"/>
    </row>
    <row r="108" spans="1:29">
      <c r="A108" s="29">
        <f t="shared" si="21"/>
        <v>2022</v>
      </c>
      <c r="B108" s="30">
        <f t="shared" si="19"/>
        <v>9</v>
      </c>
      <c r="C108" s="31">
        <v>12483813660</v>
      </c>
      <c r="D108" s="31">
        <v>3219684316.33411</v>
      </c>
      <c r="E108" s="28">
        <f t="shared" si="20"/>
        <v>15703497976.3341</v>
      </c>
      <c r="F108" s="31">
        <v>13148539727</v>
      </c>
      <c r="G108" s="31">
        <v>3067275642</v>
      </c>
      <c r="H108" s="28">
        <f>'[106]REST-ESTAD'!$AE$5226-SUM($H$100:$H107)</f>
        <v>16215815369</v>
      </c>
      <c r="I108" s="43">
        <f t="shared" si="23"/>
        <v>0.0532470353294268</v>
      </c>
      <c r="J108" s="42" t="s">
        <v>55</v>
      </c>
      <c r="K108" s="40">
        <f t="shared" si="24"/>
        <v>-0.0473365272368192</v>
      </c>
      <c r="L108" s="42"/>
      <c r="M108" s="31">
        <v>29673288181</v>
      </c>
      <c r="N108" s="31">
        <v>41510309701</v>
      </c>
      <c r="O108" s="48">
        <f t="shared" si="18"/>
        <v>-0.285158593257011</v>
      </c>
      <c r="P108" s="41" t="s">
        <v>52</v>
      </c>
      <c r="Q108" s="53">
        <v>460797387485</v>
      </c>
      <c r="R108" s="31">
        <v>892167141145</v>
      </c>
      <c r="S108" s="31">
        <f>[1]Hoja1!$TL$14</f>
        <v>467425424124.905</v>
      </c>
      <c r="T108" s="49">
        <f>$T$99+'[106]REST-ESTAD'!$AE$5205-'[106]REST-ESTAD'!$AE$5197</f>
        <v>892167141263</v>
      </c>
      <c r="U108" s="58">
        <f t="shared" si="17"/>
        <v>-0.0141798804639548</v>
      </c>
      <c r="V108" s="59"/>
      <c r="W108" s="58">
        <f t="shared" si="22"/>
        <v>-1.32262201191224e-10</v>
      </c>
      <c r="X108" s="59"/>
      <c r="AB108" s="61"/>
      <c r="AC108" s="63"/>
    </row>
    <row r="109" spans="1:29">
      <c r="A109" s="29">
        <f t="shared" si="21"/>
        <v>2022</v>
      </c>
      <c r="B109" s="30">
        <f t="shared" si="19"/>
        <v>10</v>
      </c>
      <c r="C109" s="31">
        <v>13249417692</v>
      </c>
      <c r="D109" s="31">
        <v>3187767062.334</v>
      </c>
      <c r="E109" s="28">
        <f t="shared" si="20"/>
        <v>16437184754.334</v>
      </c>
      <c r="F109" s="31">
        <v>13614347615</v>
      </c>
      <c r="G109" s="31">
        <v>3009258161</v>
      </c>
      <c r="H109" s="28">
        <f>'[107]REST-ESTAD'!$AE$5226-SUM($H$100:$H108)</f>
        <v>16623605776</v>
      </c>
      <c r="I109" s="40">
        <f t="shared" si="23"/>
        <v>0.0275430914386785</v>
      </c>
      <c r="J109" s="42"/>
      <c r="K109" s="43">
        <f t="shared" si="24"/>
        <v>-0.0559981008158428</v>
      </c>
      <c r="L109" s="44" t="s">
        <v>54</v>
      </c>
      <c r="M109" s="31">
        <v>33652238641</v>
      </c>
      <c r="N109" s="31">
        <v>37942637989</v>
      </c>
      <c r="O109" s="48">
        <f t="shared" si="18"/>
        <v>-0.113075937135521</v>
      </c>
      <c r="P109" s="41" t="s">
        <v>52</v>
      </c>
      <c r="Q109" s="53">
        <v>470851724842</v>
      </c>
      <c r="R109" s="31">
        <v>919748596956</v>
      </c>
      <c r="S109" s="31">
        <f>[1]Hoja1!$TO$14</f>
        <v>477656955650.809</v>
      </c>
      <c r="T109" s="49">
        <f>$T$99+'[107]REST-ESTAD'!$AE$5205-'[107]REST-ESTAD'!$AE$5197</f>
        <v>919748597020</v>
      </c>
      <c r="U109" s="58">
        <f t="shared" si="17"/>
        <v>-0.0142471092031656</v>
      </c>
      <c r="V109" s="59"/>
      <c r="W109" s="58">
        <f t="shared" si="22"/>
        <v>-6.95842272691038e-11</v>
      </c>
      <c r="X109" s="59"/>
      <c r="AB109" s="61"/>
      <c r="AC109" s="63"/>
    </row>
    <row r="110" spans="1:29">
      <c r="A110" s="29">
        <f t="shared" si="21"/>
        <v>2022</v>
      </c>
      <c r="B110" s="30">
        <f t="shared" si="19"/>
        <v>11</v>
      </c>
      <c r="C110" s="31">
        <v>13459016972</v>
      </c>
      <c r="D110" s="31">
        <v>7143837180.66822</v>
      </c>
      <c r="E110" s="28">
        <f t="shared" si="20"/>
        <v>20602854152.6682</v>
      </c>
      <c r="F110" s="31">
        <v>14076961747</v>
      </c>
      <c r="G110" s="31">
        <v>6876832683</v>
      </c>
      <c r="H110" s="28">
        <f>'[108]REST-ESTAD'!$AE$5226-SUM($H$100:$H109)</f>
        <v>20953794430</v>
      </c>
      <c r="I110" s="40">
        <f t="shared" si="23"/>
        <v>0.0459130690068648</v>
      </c>
      <c r="J110" s="42"/>
      <c r="K110" s="40">
        <f t="shared" si="24"/>
        <v>-0.0373755015568881</v>
      </c>
      <c r="L110" s="42"/>
      <c r="M110" s="31">
        <v>50121600593</v>
      </c>
      <c r="N110" s="31">
        <v>39773565402</v>
      </c>
      <c r="O110" s="48">
        <f t="shared" si="18"/>
        <v>0.260173687885664</v>
      </c>
      <c r="P110" s="41" t="s">
        <v>52</v>
      </c>
      <c r="Q110" s="53">
        <v>480875339241</v>
      </c>
      <c r="R110" s="31">
        <v>949897260384</v>
      </c>
      <c r="S110" s="31">
        <f>[1]Hoja1!$TR$14</f>
        <v>487233122753.483</v>
      </c>
      <c r="T110" s="49">
        <f>$T$99+'[108]REST-ESTAD'!$AE$5205-'[108]REST-ESTAD'!$AE$5197</f>
        <v>949897260431</v>
      </c>
      <c r="U110" s="58">
        <f t="shared" si="17"/>
        <v>-0.013048750619732</v>
      </c>
      <c r="V110" s="59"/>
      <c r="W110" s="58">
        <f t="shared" si="22"/>
        <v>-4.94790874938644e-11</v>
      </c>
      <c r="X110" s="59"/>
      <c r="AB110" s="61"/>
      <c r="AC110" s="63"/>
    </row>
    <row r="111" spans="1:29">
      <c r="A111" s="29">
        <f t="shared" si="21"/>
        <v>2022</v>
      </c>
      <c r="B111" s="30">
        <f t="shared" si="19"/>
        <v>12</v>
      </c>
      <c r="C111" s="31">
        <v>18005685791</v>
      </c>
      <c r="D111" s="31">
        <v>3253651617.33411</v>
      </c>
      <c r="E111" s="28">
        <f t="shared" si="20"/>
        <v>21259337408.3341</v>
      </c>
      <c r="F111" s="31">
        <v>18376136286</v>
      </c>
      <c r="G111" s="31">
        <v>3253906484</v>
      </c>
      <c r="H111" s="28">
        <f>'[109]REST-ESTAD'!$AE$5226-SUM($H$100:$H110)</f>
        <v>21630042770</v>
      </c>
      <c r="I111" s="40">
        <f t="shared" si="23"/>
        <v>0.0205740841698552</v>
      </c>
      <c r="J111" s="42"/>
      <c r="K111" s="40">
        <f t="shared" si="24"/>
        <v>7.83325001767476e-5</v>
      </c>
      <c r="L111" s="42"/>
      <c r="M111" s="31">
        <v>30436145887</v>
      </c>
      <c r="N111" s="31">
        <v>10131655197</v>
      </c>
      <c r="O111" s="48">
        <f t="shared" si="18"/>
        <v>2.00406451810679</v>
      </c>
      <c r="P111" s="41" t="s">
        <v>52</v>
      </c>
      <c r="Q111" s="53">
        <v>473364623642</v>
      </c>
      <c r="R111" s="31">
        <v>962451180390</v>
      </c>
      <c r="S111" s="31">
        <f>[1]Hoja1!$TU$14</f>
        <v>479799339787.121</v>
      </c>
      <c r="T111" s="49">
        <f>$T$99+'[109]REST-ESTAD'!$AE$5205-'[109]REST-ESTAD'!$AE$5197</f>
        <v>962451180508</v>
      </c>
      <c r="U111" s="58">
        <f t="shared" si="17"/>
        <v>-0.0134112651092358</v>
      </c>
      <c r="V111" s="59"/>
      <c r="W111" s="58">
        <f t="shared" si="22"/>
        <v>-1.22603593943893e-10</v>
      </c>
      <c r="X111" s="59"/>
      <c r="AB111" s="61"/>
      <c r="AC111" s="63"/>
    </row>
    <row r="112" spans="1:29">
      <c r="A112" s="29">
        <f t="shared" si="21"/>
        <v>2023</v>
      </c>
      <c r="B112" s="30">
        <f t="shared" ref="B112:B123" si="25">B100</f>
        <v>1</v>
      </c>
      <c r="C112" s="31">
        <v>11248089276</v>
      </c>
      <c r="D112" s="31">
        <v>4093500343</v>
      </c>
      <c r="E112" s="28">
        <f t="shared" si="20"/>
        <v>15341589619</v>
      </c>
      <c r="F112" s="31">
        <v>11788148064</v>
      </c>
      <c r="G112" s="31">
        <v>3910131221</v>
      </c>
      <c r="H112" s="28">
        <f>'[110]REST-ESTAD'!$AF$5226</f>
        <v>15698279285</v>
      </c>
      <c r="I112" s="40">
        <f t="shared" si="23"/>
        <v>0.0480133802949378</v>
      </c>
      <c r="J112" s="42"/>
      <c r="K112" s="40">
        <f t="shared" si="24"/>
        <v>-0.0447951891132894</v>
      </c>
      <c r="L112" s="42"/>
      <c r="M112" s="31">
        <v>24342762739</v>
      </c>
      <c r="N112" s="31">
        <v>23404039428</v>
      </c>
      <c r="O112" s="48">
        <f t="shared" si="18"/>
        <v>0.0401094569118241</v>
      </c>
      <c r="P112" s="65"/>
      <c r="Q112" s="53">
        <v>489566429633</v>
      </c>
      <c r="R112" s="31">
        <v>970727453459.318</v>
      </c>
      <c r="S112" s="31">
        <f>[1]Hoja1!$TX$14</f>
        <v>495926935808.008</v>
      </c>
      <c r="T112" s="49">
        <f>$T$111+'[110]REST-ESTAD'!$AF$5205-'[110]REST-ESTAD'!$AF$5197</f>
        <v>970727453538</v>
      </c>
      <c r="U112" s="58">
        <f t="shared" si="17"/>
        <v>-0.0128254904417424</v>
      </c>
      <c r="V112" s="59"/>
      <c r="W112" s="58">
        <f t="shared" si="22"/>
        <v>-8.1054829514926e-11</v>
      </c>
      <c r="X112" s="59"/>
      <c r="AB112" s="61"/>
      <c r="AC112" s="63"/>
    </row>
    <row r="113" spans="1:29">
      <c r="A113" s="29">
        <f t="shared" si="21"/>
        <v>2023</v>
      </c>
      <c r="B113" s="30">
        <f t="shared" si="25"/>
        <v>2</v>
      </c>
      <c r="C113" s="31">
        <v>16151110935</v>
      </c>
      <c r="D113" s="31">
        <v>3851242568</v>
      </c>
      <c r="E113" s="28">
        <f t="shared" si="20"/>
        <v>20002353503</v>
      </c>
      <c r="F113" s="31">
        <v>16604503226</v>
      </c>
      <c r="G113" s="31">
        <v>3665792303</v>
      </c>
      <c r="H113" s="28">
        <f>'[111]REST-ESTAD'!$AF$5226-SUM($H$112:$H112)</f>
        <v>20270295529</v>
      </c>
      <c r="I113" s="40">
        <f t="shared" si="23"/>
        <v>0.028071895043299</v>
      </c>
      <c r="J113" s="42"/>
      <c r="K113" s="40">
        <f t="shared" si="24"/>
        <v>-0.0481533587473579</v>
      </c>
      <c r="L113" s="42"/>
      <c r="M113" s="31">
        <v>120919103246</v>
      </c>
      <c r="N113" s="31">
        <v>15921442457</v>
      </c>
      <c r="O113" s="48">
        <f t="shared" si="18"/>
        <v>6.59473292527191</v>
      </c>
      <c r="P113" s="41" t="s">
        <v>52</v>
      </c>
      <c r="Q113" s="53">
        <v>497403029072</v>
      </c>
      <c r="R113" s="31">
        <v>978875822296.339</v>
      </c>
      <c r="S113" s="31">
        <f>[1]Hoja1!$UA$14</f>
        <v>503563580968.703</v>
      </c>
      <c r="T113" s="49">
        <f>$T$111+'[111]REST-ESTAD'!$AF$5205-'[111]REST-ESTAD'!$AF$5197</f>
        <v>978875822369</v>
      </c>
      <c r="U113" s="58">
        <f t="shared" si="17"/>
        <v>-0.0122339107305018</v>
      </c>
      <c r="V113" s="59"/>
      <c r="W113" s="58">
        <f t="shared" si="22"/>
        <v>-7.42286232480183e-11</v>
      </c>
      <c r="X113" s="59"/>
      <c r="AB113" s="61"/>
      <c r="AC113" s="63"/>
    </row>
    <row r="114" spans="1:29">
      <c r="A114" s="29">
        <f t="shared" si="21"/>
        <v>2023</v>
      </c>
      <c r="B114" s="30">
        <f t="shared" si="25"/>
        <v>3</v>
      </c>
      <c r="C114" s="31">
        <v>14423371728</v>
      </c>
      <c r="D114" s="31">
        <v>3858214859</v>
      </c>
      <c r="E114" s="28">
        <f t="shared" si="20"/>
        <v>18281586587</v>
      </c>
      <c r="F114" s="31">
        <v>14986121734</v>
      </c>
      <c r="G114" s="31">
        <v>3644616145</v>
      </c>
      <c r="H114" s="28">
        <f>'[112]REST-ESTAD'!$AF$5226-SUM($H$112:$H113)</f>
        <v>18630737879</v>
      </c>
      <c r="I114" s="40">
        <f t="shared" si="23"/>
        <v>0.0390165362588233</v>
      </c>
      <c r="J114" s="42"/>
      <c r="K114" s="43">
        <f t="shared" si="24"/>
        <v>-0.0553620577925414</v>
      </c>
      <c r="L114" s="44" t="s">
        <v>54</v>
      </c>
      <c r="M114" s="31">
        <v>141127027808</v>
      </c>
      <c r="N114" s="31">
        <v>12811976670</v>
      </c>
      <c r="O114" s="48">
        <f t="shared" si="18"/>
        <v>10.0152423348114</v>
      </c>
      <c r="P114" s="41" t="s">
        <v>52</v>
      </c>
      <c r="Q114" s="53">
        <v>503194881978</v>
      </c>
      <c r="R114" s="31">
        <v>988988161461.887</v>
      </c>
      <c r="S114" s="31">
        <f>[1]Hoja1!$UD$14</f>
        <v>508955735035.017</v>
      </c>
      <c r="T114" s="49">
        <f>$T$111+'[112]REST-ESTAD'!$AF$5205-'[112]REST-ESTAD'!$AF$5197</f>
        <v>988988161542</v>
      </c>
      <c r="U114" s="58">
        <f t="shared" si="17"/>
        <v>-0.0113189667793413</v>
      </c>
      <c r="V114" s="59"/>
      <c r="W114" s="58">
        <f t="shared" si="22"/>
        <v>-8.10045364119105e-11</v>
      </c>
      <c r="X114" s="59"/>
      <c r="AB114" s="61"/>
      <c r="AC114" s="63"/>
    </row>
    <row r="115" spans="1:29">
      <c r="A115" s="29">
        <f t="shared" si="21"/>
        <v>2023</v>
      </c>
      <c r="B115" s="30">
        <f t="shared" si="25"/>
        <v>4</v>
      </c>
      <c r="C115" s="31">
        <v>20449426885</v>
      </c>
      <c r="D115" s="31">
        <v>4016076966</v>
      </c>
      <c r="E115" s="28">
        <f t="shared" si="20"/>
        <v>24465503851</v>
      </c>
      <c r="F115" s="31">
        <v>21157662920</v>
      </c>
      <c r="G115" s="31">
        <v>3896586845</v>
      </c>
      <c r="H115" s="28">
        <f>'[113]REST-ESTAD'!$AF$5226-SUM($H$112:$H114)</f>
        <v>25054249765</v>
      </c>
      <c r="I115" s="40">
        <f t="shared" si="23"/>
        <v>0.0346335395599524</v>
      </c>
      <c r="J115" s="42"/>
      <c r="K115" s="40">
        <f t="shared" si="24"/>
        <v>-0.0297529459747908</v>
      </c>
      <c r="L115" s="42"/>
      <c r="M115" s="31">
        <v>29001177118</v>
      </c>
      <c r="N115" s="31">
        <v>13250812858</v>
      </c>
      <c r="O115" s="48">
        <f t="shared" si="18"/>
        <v>1.18863381656552</v>
      </c>
      <c r="P115" s="41" t="s">
        <v>52</v>
      </c>
      <c r="Q115" s="53">
        <v>508402042485</v>
      </c>
      <c r="R115" s="31">
        <v>996660628480.873</v>
      </c>
      <c r="S115" s="31">
        <f>[1]Hoja1!$UG$14</f>
        <v>513941396109.421</v>
      </c>
      <c r="T115" s="49">
        <f>$T$111+'[113]REST-ESTAD'!$AF$5205-'[113]REST-ESTAD'!$AF$5197</f>
        <v>996660628557</v>
      </c>
      <c r="U115" s="58">
        <f t="shared" si="17"/>
        <v>-0.0107781814548396</v>
      </c>
      <c r="V115" s="59"/>
      <c r="W115" s="58">
        <f t="shared" si="22"/>
        <v>-7.63822338711861e-11</v>
      </c>
      <c r="X115" s="59"/>
      <c r="AB115" s="61"/>
      <c r="AC115" s="63"/>
    </row>
    <row r="116" spans="1:29">
      <c r="A116" s="29">
        <f t="shared" si="21"/>
        <v>2023</v>
      </c>
      <c r="B116" s="30">
        <f t="shared" si="25"/>
        <v>5</v>
      </c>
      <c r="C116" s="31">
        <v>13869459003</v>
      </c>
      <c r="D116" s="31">
        <v>4128011194</v>
      </c>
      <c r="E116" s="28">
        <f t="shared" si="20"/>
        <v>17997470197</v>
      </c>
      <c r="F116" s="31">
        <v>14362872503</v>
      </c>
      <c r="G116" s="31">
        <v>3976433921</v>
      </c>
      <c r="H116" s="28">
        <f>'[114]REST-ESTAD'!$AF$5226-SUM($H$112:$H115)</f>
        <v>18339306424</v>
      </c>
      <c r="I116" s="40">
        <f t="shared" si="23"/>
        <v>0.0355755404658014</v>
      </c>
      <c r="J116" s="42"/>
      <c r="K116" s="40">
        <f t="shared" si="24"/>
        <v>-0.0367192010574766</v>
      </c>
      <c r="L116" s="42"/>
      <c r="M116" s="31">
        <v>36079338386</v>
      </c>
      <c r="N116" s="31">
        <v>17871554339</v>
      </c>
      <c r="O116" s="48">
        <f t="shared" si="18"/>
        <v>1.01881368019939</v>
      </c>
      <c r="P116" s="41" t="s">
        <v>52</v>
      </c>
      <c r="Q116" s="53">
        <v>511395450374</v>
      </c>
      <c r="R116" s="31">
        <v>1014019843091.02</v>
      </c>
      <c r="S116" s="31">
        <f>[1]Hoja1!$UJ$14</f>
        <v>516773775139.493</v>
      </c>
      <c r="T116" s="49">
        <f>$T$111+'[114]REST-ESTAD'!$AF$5205-'[114]REST-ESTAD'!$AF$5197</f>
        <v>1014019843169</v>
      </c>
      <c r="U116" s="58">
        <f t="shared" si="17"/>
        <v>-0.0104075032910516</v>
      </c>
      <c r="V116" s="59"/>
      <c r="W116" s="58">
        <f t="shared" si="22"/>
        <v>-7.69045938042723e-11</v>
      </c>
      <c r="X116" s="59"/>
      <c r="AB116" s="61"/>
      <c r="AC116" s="63"/>
    </row>
    <row r="117" spans="1:29">
      <c r="A117" s="29">
        <f t="shared" si="21"/>
        <v>2023</v>
      </c>
      <c r="B117" s="30">
        <f t="shared" si="25"/>
        <v>6</v>
      </c>
      <c r="C117" s="31">
        <v>14871295553</v>
      </c>
      <c r="D117" s="31">
        <v>5685779105</v>
      </c>
      <c r="E117" s="28">
        <f t="shared" si="20"/>
        <v>20557074658</v>
      </c>
      <c r="F117" s="31">
        <v>15464449521</v>
      </c>
      <c r="G117" s="31">
        <v>5579191129</v>
      </c>
      <c r="H117" s="28">
        <f>'[115]REST-ESTAD'!$AF$5226-SUM($H$112:$H116)</f>
        <v>21043640650</v>
      </c>
      <c r="I117" s="40">
        <f t="shared" si="23"/>
        <v>0.0398858301138627</v>
      </c>
      <c r="J117" s="42"/>
      <c r="K117" s="40">
        <f t="shared" si="24"/>
        <v>-0.0187464152285248</v>
      </c>
      <c r="L117" s="42"/>
      <c r="M117" s="31">
        <v>36427016016</v>
      </c>
      <c r="N117" s="31">
        <v>14302154505</v>
      </c>
      <c r="O117" s="48">
        <f t="shared" si="18"/>
        <v>1.54696004040966</v>
      </c>
      <c r="P117" s="41" t="s">
        <v>52</v>
      </c>
      <c r="Q117" s="53">
        <v>515304959952</v>
      </c>
      <c r="R117" s="31">
        <v>1023656744504.4</v>
      </c>
      <c r="S117" s="31">
        <f>[1]Hoja1!$UM$14</f>
        <v>520790530296.239</v>
      </c>
      <c r="T117" s="49">
        <f>$T$111+'[115]REST-ESTAD'!$AF$5205-'[115]REST-ESTAD'!$AF$5197</f>
        <v>1023656744581</v>
      </c>
      <c r="U117" s="58">
        <f t="shared" si="17"/>
        <v>-0.0105331606953725</v>
      </c>
      <c r="V117" s="59"/>
      <c r="W117" s="58">
        <f t="shared" si="22"/>
        <v>-7.48257011906617e-11</v>
      </c>
      <c r="X117" s="59"/>
      <c r="AB117" s="61"/>
      <c r="AC117" s="63"/>
    </row>
    <row r="118" spans="1:29">
      <c r="A118" s="29">
        <f t="shared" si="21"/>
        <v>2023</v>
      </c>
      <c r="B118" s="30">
        <f t="shared" si="25"/>
        <v>7</v>
      </c>
      <c r="C118" s="31">
        <v>19661502087</v>
      </c>
      <c r="D118" s="31">
        <v>4056304339</v>
      </c>
      <c r="E118" s="28">
        <f t="shared" si="20"/>
        <v>23717806426</v>
      </c>
      <c r="F118" s="31">
        <v>20476924354</v>
      </c>
      <c r="G118" s="31">
        <v>3897623888</v>
      </c>
      <c r="H118" s="28">
        <f>'[116]REST-ESTAD'!$AF$5226-SUM($H$112:$H117)</f>
        <v>24374548242</v>
      </c>
      <c r="I118" s="40">
        <f t="shared" si="23"/>
        <v>0.0414730402281498</v>
      </c>
      <c r="J118" s="42"/>
      <c r="K118" s="40">
        <f t="shared" si="24"/>
        <v>-0.0391194638613136</v>
      </c>
      <c r="L118" s="42"/>
      <c r="M118" s="31">
        <v>31804348782</v>
      </c>
      <c r="N118" s="31">
        <v>17505179281</v>
      </c>
      <c r="O118" s="48">
        <f t="shared" si="18"/>
        <v>0.816853644939256</v>
      </c>
      <c r="P118" s="41" t="s">
        <v>52</v>
      </c>
      <c r="Q118" s="53">
        <v>517259942776</v>
      </c>
      <c r="R118" s="31">
        <v>1038416602992.44</v>
      </c>
      <c r="S118" s="31">
        <f>[1]Hoja1!$UP$14</f>
        <v>522969042658.731</v>
      </c>
      <c r="T118" s="49">
        <f>$T$111+'[116]REST-ESTAD'!$AF$5205-'[116]REST-ESTAD'!$AF$5197</f>
        <v>1038416603071</v>
      </c>
      <c r="U118" s="58">
        <f t="shared" si="17"/>
        <v>-0.0109167071414147</v>
      </c>
      <c r="V118" s="59"/>
      <c r="W118" s="58">
        <f t="shared" si="22"/>
        <v>-7.56493756526311e-11</v>
      </c>
      <c r="X118" s="59"/>
      <c r="AB118" s="61"/>
      <c r="AC118" s="63"/>
    </row>
    <row r="119" spans="1:29">
      <c r="A119" s="29">
        <f t="shared" si="21"/>
        <v>2023</v>
      </c>
      <c r="B119" s="30">
        <f t="shared" si="25"/>
        <v>8</v>
      </c>
      <c r="C119" s="31">
        <v>17728722432</v>
      </c>
      <c r="D119" s="31">
        <v>4346763395</v>
      </c>
      <c r="E119" s="28">
        <f t="shared" si="20"/>
        <v>22075485827</v>
      </c>
      <c r="F119" s="31">
        <v>18989020091</v>
      </c>
      <c r="G119" s="31">
        <v>4227909549</v>
      </c>
      <c r="H119" s="28">
        <f>'[117]REST-ESTAD'!$AF$5226-SUM($H$112:$H118)</f>
        <v>23216929640</v>
      </c>
      <c r="I119" s="43">
        <f t="shared" si="23"/>
        <v>0.0710879006557847</v>
      </c>
      <c r="J119" s="42" t="s">
        <v>55</v>
      </c>
      <c r="K119" s="40">
        <f t="shared" si="24"/>
        <v>-0.0273430677493777</v>
      </c>
      <c r="L119" s="42"/>
      <c r="M119" s="31">
        <v>39806816748</v>
      </c>
      <c r="N119" s="31">
        <v>27975595500</v>
      </c>
      <c r="O119" s="48">
        <f t="shared" si="18"/>
        <v>0.422912221761285</v>
      </c>
      <c r="P119" s="41" t="s">
        <v>52</v>
      </c>
      <c r="Q119" s="53">
        <v>528405246365</v>
      </c>
      <c r="R119" s="31">
        <v>1053972014266.47</v>
      </c>
      <c r="S119" s="31">
        <f>[1]Hoja1!$US$14</f>
        <v>533893380954.267</v>
      </c>
      <c r="T119" s="49">
        <f>$T$111+'[117]REST-ESTAD'!$AF$5205-'[117]REST-ESTAD'!$AF$5197</f>
        <v>1053972014342</v>
      </c>
      <c r="U119" s="58">
        <f t="shared" si="17"/>
        <v>-0.0102794580061245</v>
      </c>
      <c r="V119" s="59"/>
      <c r="W119" s="58">
        <f t="shared" si="22"/>
        <v>-7.16641190834366e-11</v>
      </c>
      <c r="X119" s="59"/>
      <c r="AB119" s="61"/>
      <c r="AC119" s="63"/>
    </row>
    <row r="120" spans="1:29">
      <c r="A120" s="29">
        <f t="shared" si="21"/>
        <v>2023</v>
      </c>
      <c r="B120" s="30">
        <f t="shared" si="25"/>
        <v>9</v>
      </c>
      <c r="C120" s="31">
        <v>19143051701</v>
      </c>
      <c r="D120" s="31">
        <v>4087186218</v>
      </c>
      <c r="E120" s="28">
        <f t="shared" si="20"/>
        <v>23230237919</v>
      </c>
      <c r="F120" s="31">
        <v>19778183085</v>
      </c>
      <c r="G120" s="31">
        <v>3988527592</v>
      </c>
      <c r="H120" s="28">
        <f>'[118]REST-ESTAD'!$AF$5226-SUM($H$112:$H119)</f>
        <v>23766710677</v>
      </c>
      <c r="I120" s="40">
        <f t="shared" si="23"/>
        <v>0.0331781679285139</v>
      </c>
      <c r="J120" s="42"/>
      <c r="K120" s="40">
        <f t="shared" si="24"/>
        <v>-0.0241385199346941</v>
      </c>
      <c r="L120" s="42"/>
      <c r="M120" s="31">
        <v>39499766415</v>
      </c>
      <c r="N120" s="31">
        <v>20240344847</v>
      </c>
      <c r="O120" s="48">
        <f t="shared" si="18"/>
        <v>0.951536236837121</v>
      </c>
      <c r="P120" s="41" t="s">
        <v>52</v>
      </c>
      <c r="Q120" s="53">
        <v>536817520300</v>
      </c>
      <c r="R120" s="31">
        <v>1065482122013.32</v>
      </c>
      <c r="S120" s="31">
        <f>[1]Hoja1!$UV$14</f>
        <v>542420910091.775</v>
      </c>
      <c r="T120" s="49">
        <f>$T$111+'[118]REST-ESTAD'!$AF$5205-'[118]REST-ESTAD'!$AF$5197</f>
        <v>1065482122091</v>
      </c>
      <c r="U120" s="58">
        <f t="shared" si="17"/>
        <v>-0.0103303351466064</v>
      </c>
      <c r="V120" s="59"/>
      <c r="W120" s="58">
        <f t="shared" si="22"/>
        <v>-7.29027949120109e-11</v>
      </c>
      <c r="X120" s="59"/>
      <c r="AB120" s="61"/>
      <c r="AC120" s="63"/>
    </row>
    <row r="121" spans="1:29">
      <c r="A121" s="29">
        <f t="shared" si="21"/>
        <v>2023</v>
      </c>
      <c r="B121" s="30">
        <f t="shared" si="25"/>
        <v>10</v>
      </c>
      <c r="C121" s="31">
        <v>16896255524</v>
      </c>
      <c r="D121" s="31">
        <v>4072704736</v>
      </c>
      <c r="E121" s="28">
        <f t="shared" si="20"/>
        <v>20968960260</v>
      </c>
      <c r="F121" s="31">
        <v>17562798146</v>
      </c>
      <c r="G121" s="31">
        <v>3983244721</v>
      </c>
      <c r="H121" s="28">
        <f>'[119]REST-ESTAD'!$AF$5226-SUM($H$112:$H120)</f>
        <v>21546042867</v>
      </c>
      <c r="I121" s="40">
        <f t="shared" si="23"/>
        <v>0.0394491324455422</v>
      </c>
      <c r="J121" s="42"/>
      <c r="K121" s="40">
        <f t="shared" si="24"/>
        <v>-0.0219657502320836</v>
      </c>
      <c r="L121" s="42"/>
      <c r="M121" s="31">
        <v>36535744396</v>
      </c>
      <c r="N121" s="31">
        <v>26227711270</v>
      </c>
      <c r="O121" s="48">
        <f t="shared" si="18"/>
        <v>0.393020687923716</v>
      </c>
      <c r="P121" s="41" t="s">
        <v>52</v>
      </c>
      <c r="Q121" s="53">
        <v>542648587615</v>
      </c>
      <c r="R121" s="31">
        <v>1084923986859.22</v>
      </c>
      <c r="S121" s="31">
        <f>[1]Hoja1!$UY$14</f>
        <v>548511571986.98</v>
      </c>
      <c r="T121" s="49">
        <f>$T$111+'[119]REST-ESTAD'!$AF$5205-'[119]REST-ESTAD'!$AF$5197</f>
        <v>1084923986943</v>
      </c>
      <c r="U121" s="58">
        <f t="shared" si="17"/>
        <v>-0.0106888982318853</v>
      </c>
      <c r="V121" s="59"/>
      <c r="W121" s="58">
        <f t="shared" si="22"/>
        <v>-7.72220065670126e-11</v>
      </c>
      <c r="X121" s="59"/>
      <c r="AB121" s="61"/>
      <c r="AC121" s="63"/>
    </row>
    <row r="122" spans="1:29">
      <c r="A122" s="29">
        <f t="shared" si="21"/>
        <v>2023</v>
      </c>
      <c r="B122" s="30">
        <f t="shared" si="25"/>
        <v>11</v>
      </c>
      <c r="C122" s="31">
        <v>16133502882</v>
      </c>
      <c r="D122" s="31">
        <v>7812691860</v>
      </c>
      <c r="E122" s="28">
        <f t="shared" si="20"/>
        <v>23946194742</v>
      </c>
      <c r="F122" s="31">
        <v>16861333790</v>
      </c>
      <c r="G122" s="31">
        <v>7498268394</v>
      </c>
      <c r="H122" s="28">
        <v>24359602184</v>
      </c>
      <c r="I122" s="40">
        <f t="shared" si="23"/>
        <v>0.0451130119307217</v>
      </c>
      <c r="J122" s="42"/>
      <c r="K122" s="40">
        <f t="shared" si="24"/>
        <v>-0.040245215302783</v>
      </c>
      <c r="L122" s="42"/>
      <c r="M122" s="31">
        <v>38624325575</v>
      </c>
      <c r="N122" s="31">
        <v>39080065985.6036</v>
      </c>
      <c r="O122" s="48">
        <f t="shared" si="18"/>
        <v>-0.0116617103658797</v>
      </c>
      <c r="P122" s="65"/>
      <c r="Q122" s="53">
        <v>556289753965</v>
      </c>
      <c r="R122" s="31">
        <v>1110257133541.55</v>
      </c>
      <c r="S122" s="31">
        <f>[1]Hoja1!$VB$14</f>
        <v>562258491284.584</v>
      </c>
      <c r="T122" s="49">
        <f>$T$111+[120]FOR_290!$AM$37-[120]FOR_290!$AM$30</f>
        <v>1110257133631</v>
      </c>
      <c r="U122" s="58">
        <f t="shared" si="17"/>
        <v>-0.010615646383476</v>
      </c>
      <c r="V122" s="59"/>
      <c r="W122" s="58">
        <f t="shared" si="22"/>
        <v>-8.05704392092821e-11</v>
      </c>
      <c r="X122" s="59"/>
      <c r="AB122" s="61"/>
      <c r="AC122" s="63"/>
    </row>
    <row r="123" spans="1:29">
      <c r="A123" s="29">
        <f t="shared" si="21"/>
        <v>2023</v>
      </c>
      <c r="B123" s="30">
        <f t="shared" si="25"/>
        <v>12</v>
      </c>
      <c r="C123" s="31">
        <v>24545112173</v>
      </c>
      <c r="D123" s="31">
        <v>4107517655</v>
      </c>
      <c r="E123" s="28">
        <f t="shared" si="20"/>
        <v>28652629828</v>
      </c>
      <c r="F123" s="31">
        <v>25283152914</v>
      </c>
      <c r="G123" s="31">
        <v>4018498266</v>
      </c>
      <c r="H123" s="28">
        <v>29301651180</v>
      </c>
      <c r="I123" s="40">
        <f t="shared" si="23"/>
        <v>0.0300687458993101</v>
      </c>
      <c r="J123" s="42"/>
      <c r="K123" s="40">
        <f t="shared" si="24"/>
        <v>-0.0216723083080699</v>
      </c>
      <c r="L123" s="42"/>
      <c r="M123" s="31">
        <v>53367442483</v>
      </c>
      <c r="N123" s="31">
        <v>40670435053.1382</v>
      </c>
      <c r="O123" s="48">
        <f t="shared" si="18"/>
        <v>0.312192564777644</v>
      </c>
      <c r="P123" s="41" t="s">
        <v>52</v>
      </c>
      <c r="Q123" s="53">
        <v>572305052395</v>
      </c>
      <c r="R123" s="31">
        <v>1135358426617.4</v>
      </c>
      <c r="S123" s="31">
        <f>[1]Hoja1!$VE$14</f>
        <v>577827633256.722</v>
      </c>
      <c r="T123" s="49">
        <f>$T$111+[121]FOR_290!$AM$37-[121]FOR_290!$AM$30</f>
        <v>1135358426712</v>
      </c>
      <c r="U123" s="58">
        <f t="shared" si="17"/>
        <v>-0.00955748833020664</v>
      </c>
      <c r="V123" s="59"/>
      <c r="W123" s="58">
        <f t="shared" si="22"/>
        <v>-8.33256796894943e-11</v>
      </c>
      <c r="X123" s="59"/>
      <c r="AB123" s="61"/>
      <c r="AC123" s="63"/>
    </row>
    <row r="124" spans="2:17">
      <c r="B124" s="64"/>
      <c r="N124" s="62"/>
      <c r="O124" s="66"/>
      <c r="Q124" s="67"/>
    </row>
    <row r="125" spans="2:19">
      <c r="B125" s="64"/>
      <c r="M125" s="62"/>
      <c r="N125" s="62"/>
      <c r="O125" s="66"/>
      <c r="Q125" s="67"/>
      <c r="S125" s="62"/>
    </row>
    <row r="126" spans="2:2">
      <c r="B126" s="64"/>
    </row>
    <row r="127" spans="2:2">
      <c r="B127" s="64"/>
    </row>
    <row r="128" spans="2:2">
      <c r="B128" s="64"/>
    </row>
    <row r="129" spans="2:2">
      <c r="B129" s="64"/>
    </row>
    <row r="130" spans="2:2">
      <c r="B130" s="64"/>
    </row>
    <row r="131" spans="2:2">
      <c r="B131" s="64"/>
    </row>
    <row r="132" spans="2:2">
      <c r="B132" s="64"/>
    </row>
    <row r="133" spans="2:2">
      <c r="B133" s="64"/>
    </row>
    <row r="134" spans="2:2">
      <c r="B134" s="64"/>
    </row>
    <row r="135" spans="2:2">
      <c r="B135" s="64"/>
    </row>
    <row r="136" spans="2:2">
      <c r="B136" s="64"/>
    </row>
    <row r="137" spans="2:2">
      <c r="B137" s="64"/>
    </row>
    <row r="138" spans="2:2">
      <c r="B138" s="64"/>
    </row>
    <row r="139" spans="2:2">
      <c r="B139" s="64"/>
    </row>
    <row r="140" spans="2:2">
      <c r="B140" s="64"/>
    </row>
    <row r="141" spans="2:2">
      <c r="B141" s="64"/>
    </row>
    <row r="142" spans="2:2">
      <c r="B142" s="64"/>
    </row>
    <row r="143" spans="2:2">
      <c r="B143" s="64"/>
    </row>
    <row r="144" spans="2:2">
      <c r="B144" s="64"/>
    </row>
    <row r="145" spans="2:2">
      <c r="B145" s="64"/>
    </row>
    <row r="146" spans="2:2">
      <c r="B146" s="64"/>
    </row>
    <row r="147" spans="2:2">
      <c r="B147" s="64"/>
    </row>
    <row r="148" spans="2:2">
      <c r="B148" s="64"/>
    </row>
    <row r="149" spans="2:2">
      <c r="B149" s="64"/>
    </row>
    <row r="150" spans="2:2">
      <c r="B150" s="64"/>
    </row>
    <row r="151" spans="2:2">
      <c r="B151" s="64"/>
    </row>
    <row r="152" spans="2:2">
      <c r="B152" s="64"/>
    </row>
    <row r="153" spans="2:2">
      <c r="B153" s="64"/>
    </row>
    <row r="154" spans="2:2">
      <c r="B154" s="64"/>
    </row>
    <row r="155" spans="2:2">
      <c r="B155" s="64"/>
    </row>
    <row r="156" spans="2:2">
      <c r="B156" s="64"/>
    </row>
    <row r="157" spans="2:2">
      <c r="B157" s="64"/>
    </row>
    <row r="158" spans="2:2">
      <c r="B158" s="64"/>
    </row>
    <row r="159" spans="2:2">
      <c r="B159" s="64"/>
    </row>
    <row r="160" spans="2:2">
      <c r="B160" s="64"/>
    </row>
    <row r="161" spans="2:2">
      <c r="B161" s="64"/>
    </row>
    <row r="162" spans="2:2">
      <c r="B162" s="64"/>
    </row>
    <row r="163" spans="2:2">
      <c r="B163" s="64"/>
    </row>
    <row r="164" spans="2:2">
      <c r="B164" s="64"/>
    </row>
    <row r="165" spans="2:2">
      <c r="B165" s="64"/>
    </row>
    <row r="166" spans="2:2">
      <c r="B166" s="64"/>
    </row>
    <row r="167" spans="2:2">
      <c r="B167" s="64"/>
    </row>
    <row r="168" spans="2:2">
      <c r="B168" s="64"/>
    </row>
    <row r="169" spans="2:2">
      <c r="B169" s="64"/>
    </row>
    <row r="170" spans="2:2">
      <c r="B170" s="64"/>
    </row>
    <row r="171" spans="2:2">
      <c r="B171" s="64"/>
    </row>
    <row r="172" spans="2:2">
      <c r="B172" s="64"/>
    </row>
    <row r="173" spans="2:2">
      <c r="B173" s="64"/>
    </row>
    <row r="174" spans="2:2">
      <c r="B174" s="64"/>
    </row>
    <row r="175" spans="2:2">
      <c r="B175" s="64"/>
    </row>
    <row r="176" spans="2:2">
      <c r="B176" s="64"/>
    </row>
    <row r="177" spans="2:2">
      <c r="B177" s="64"/>
    </row>
    <row r="178" spans="2:2">
      <c r="B178" s="64"/>
    </row>
    <row r="179" spans="2:2">
      <c r="B179" s="64"/>
    </row>
    <row r="180" spans="2:2">
      <c r="B180" s="64"/>
    </row>
    <row r="181" spans="2:2">
      <c r="B181" s="64"/>
    </row>
    <row r="182" spans="2:2">
      <c r="B182" s="64"/>
    </row>
    <row r="183" spans="2:2">
      <c r="B183" s="64"/>
    </row>
    <row r="184" spans="2:2">
      <c r="B184" s="64"/>
    </row>
    <row r="185" spans="2:2">
      <c r="B185" s="64"/>
    </row>
    <row r="186" spans="2:2">
      <c r="B186" s="64"/>
    </row>
    <row r="187" spans="2:2">
      <c r="B187" s="64"/>
    </row>
    <row r="188" spans="2:2">
      <c r="B188" s="64"/>
    </row>
    <row r="189" spans="2:2">
      <c r="B189" s="64"/>
    </row>
    <row r="190" spans="2:2">
      <c r="B190" s="64"/>
    </row>
    <row r="191" spans="2:2">
      <c r="B191" s="64"/>
    </row>
    <row r="192" spans="2:2">
      <c r="B192" s="64"/>
    </row>
    <row r="193" spans="2:2">
      <c r="B193" s="64"/>
    </row>
    <row r="194" spans="2:2">
      <c r="B194" s="64"/>
    </row>
    <row r="195" spans="2:2">
      <c r="B195" s="64"/>
    </row>
    <row r="196" spans="2:2">
      <c r="B196" s="64"/>
    </row>
  </sheetData>
  <mergeCells count="1">
    <mergeCell ref="F2:H2"/>
  </mergeCell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4">
    <tabColor rgb="FFFFFF00"/>
  </sheetPr>
  <dimension ref="B2:D26"/>
  <sheetViews>
    <sheetView zoomScale="130" zoomScaleNormal="130" topLeftCell="A14" workbookViewId="0">
      <selection activeCell="B3" sqref="B3:D26"/>
    </sheetView>
  </sheetViews>
  <sheetFormatPr defaultColWidth="11" defaultRowHeight="14.25" outlineLevelCol="3"/>
  <cols>
    <col min="1" max="1" width="4" style="1" customWidth="1"/>
    <col min="2" max="2" width="9.28333333333333" style="2" customWidth="1"/>
    <col min="3" max="3" width="20.7083333333333" style="1" customWidth="1"/>
    <col min="4" max="4" width="161.425" style="1" customWidth="1"/>
    <col min="5" max="16384" width="11.425" style="1"/>
  </cols>
  <sheetData>
    <row r="2" spans="2:2">
      <c r="B2" s="2" t="s">
        <v>57</v>
      </c>
    </row>
    <row r="3" ht="21.75" customHeight="1" spans="2:4">
      <c r="B3" s="3" t="s">
        <v>0</v>
      </c>
      <c r="C3" s="4" t="s">
        <v>24</v>
      </c>
      <c r="D3" s="5" t="s">
        <v>32</v>
      </c>
    </row>
    <row r="4" ht="21.75" customHeight="1" spans="2:4">
      <c r="B4" s="3" t="s">
        <v>1</v>
      </c>
      <c r="C4" s="4" t="s">
        <v>25</v>
      </c>
      <c r="D4" s="5" t="s">
        <v>33</v>
      </c>
    </row>
    <row r="5" ht="29.25" customHeight="1" spans="2:4">
      <c r="B5" s="3" t="s">
        <v>2</v>
      </c>
      <c r="C5" s="4"/>
      <c r="D5" s="6" t="s">
        <v>34</v>
      </c>
    </row>
    <row r="6" ht="29.25" customHeight="1" spans="2:4">
      <c r="B6" s="3" t="s">
        <v>3</v>
      </c>
      <c r="C6" s="4"/>
      <c r="D6" s="6" t="s">
        <v>35</v>
      </c>
    </row>
    <row r="7" ht="29.25" customHeight="1" spans="2:4">
      <c r="B7" s="3" t="s">
        <v>4</v>
      </c>
      <c r="C7" s="4"/>
      <c r="D7" s="7" t="s">
        <v>36</v>
      </c>
    </row>
    <row r="8" ht="29.25" customHeight="1" spans="2:4">
      <c r="B8" s="3" t="s">
        <v>5</v>
      </c>
      <c r="C8" s="8" t="s">
        <v>26</v>
      </c>
      <c r="D8" s="9" t="s">
        <v>37</v>
      </c>
    </row>
    <row r="9" ht="29.25" customHeight="1" spans="2:4">
      <c r="B9" s="3" t="s">
        <v>6</v>
      </c>
      <c r="C9" s="8"/>
      <c r="D9" s="9" t="s">
        <v>58</v>
      </c>
    </row>
    <row r="10" ht="29.25" customHeight="1" spans="2:4">
      <c r="B10" s="3" t="s">
        <v>7</v>
      </c>
      <c r="C10" s="8"/>
      <c r="D10" s="10" t="s">
        <v>39</v>
      </c>
    </row>
    <row r="11" ht="29.25" customHeight="1" spans="2:4">
      <c r="B11" s="3" t="s">
        <v>8</v>
      </c>
      <c r="C11" s="11" t="s">
        <v>27</v>
      </c>
      <c r="D11" s="12" t="s">
        <v>40</v>
      </c>
    </row>
    <row r="12" ht="29.25" customHeight="1" spans="2:4">
      <c r="B12" s="3" t="s">
        <v>9</v>
      </c>
      <c r="C12" s="11"/>
      <c r="D12" s="12" t="s">
        <v>41</v>
      </c>
    </row>
    <row r="13" ht="29.25" customHeight="1" spans="2:4">
      <c r="B13" s="3" t="s">
        <v>10</v>
      </c>
      <c r="C13" s="11" t="s">
        <v>28</v>
      </c>
      <c r="D13" s="12" t="s">
        <v>42</v>
      </c>
    </row>
    <row r="14" ht="29.25" customHeight="1" spans="2:4">
      <c r="B14" s="3" t="s">
        <v>11</v>
      </c>
      <c r="C14" s="4"/>
      <c r="D14" s="12" t="s">
        <v>41</v>
      </c>
    </row>
    <row r="15" ht="29.25" customHeight="1" spans="2:4">
      <c r="B15" s="3" t="s">
        <v>12</v>
      </c>
      <c r="C15" s="4"/>
      <c r="D15" s="7" t="s">
        <v>43</v>
      </c>
    </row>
    <row r="16" ht="29.25" customHeight="1" spans="2:4">
      <c r="B16" s="3" t="s">
        <v>13</v>
      </c>
      <c r="C16" s="4"/>
      <c r="D16" s="10" t="s">
        <v>44</v>
      </c>
    </row>
    <row r="17" ht="29.25" customHeight="1" spans="2:4">
      <c r="B17" s="3" t="s">
        <v>14</v>
      </c>
      <c r="C17" s="11" t="s">
        <v>29</v>
      </c>
      <c r="D17" s="13" t="s">
        <v>45</v>
      </c>
    </row>
    <row r="18" ht="29.25" customHeight="1" spans="2:4">
      <c r="B18" s="3" t="s">
        <v>15</v>
      </c>
      <c r="C18" s="4"/>
      <c r="D18" s="13" t="s">
        <v>41</v>
      </c>
    </row>
    <row r="19" ht="29.25" customHeight="1" spans="2:4">
      <c r="B19" s="3" t="s">
        <v>16</v>
      </c>
      <c r="C19" s="4"/>
      <c r="D19" s="14" t="s">
        <v>46</v>
      </c>
    </row>
    <row r="20" ht="29.25" customHeight="1" spans="2:4">
      <c r="B20" s="3" t="s">
        <v>17</v>
      </c>
      <c r="C20" s="4"/>
      <c r="D20" s="14" t="s">
        <v>47</v>
      </c>
    </row>
    <row r="21" ht="29.25" customHeight="1" spans="2:4">
      <c r="B21" s="3" t="s">
        <v>18</v>
      </c>
      <c r="C21" s="4"/>
      <c r="D21" s="10" t="s">
        <v>48</v>
      </c>
    </row>
    <row r="22" ht="29.25" customHeight="1" spans="2:4">
      <c r="B22" s="3" t="s">
        <v>19</v>
      </c>
      <c r="C22" s="4"/>
      <c r="D22" s="10" t="s">
        <v>49</v>
      </c>
    </row>
    <row r="23" ht="29.25" customHeight="1" spans="2:4">
      <c r="B23" s="3" t="s">
        <v>20</v>
      </c>
      <c r="C23" s="11" t="s">
        <v>30</v>
      </c>
      <c r="D23" s="12" t="s">
        <v>50</v>
      </c>
    </row>
    <row r="24" ht="29.25" customHeight="1" spans="2:4">
      <c r="B24" s="3" t="s">
        <v>21</v>
      </c>
      <c r="C24" s="4"/>
      <c r="D24" s="12" t="s">
        <v>41</v>
      </c>
    </row>
    <row r="25" ht="29.25" customHeight="1" spans="2:4">
      <c r="B25" s="3" t="s">
        <v>22</v>
      </c>
      <c r="C25" s="11" t="s">
        <v>31</v>
      </c>
      <c r="D25" s="12" t="s">
        <v>51</v>
      </c>
    </row>
    <row r="26" ht="29.25" customHeight="1" spans="2:4">
      <c r="B26" s="3" t="s">
        <v>23</v>
      </c>
      <c r="C26" s="4"/>
      <c r="D26" s="12" t="s">
        <v>41</v>
      </c>
    </row>
  </sheetData>
  <mergeCells count="1">
    <mergeCell ref="C8:C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Plantilla</vt:lpstr>
      <vt:lpstr>DICCIONARIO 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Sánchez</dc:creator>
  <cp:lastModifiedBy>nicolas</cp:lastModifiedBy>
  <dcterms:created xsi:type="dcterms:W3CDTF">2023-12-19T12:38:00Z</dcterms:created>
  <dcterms:modified xsi:type="dcterms:W3CDTF">2024-03-01T21:02:25Z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