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028"/>
  <workbookPr showInkAnnotation="0"/>
  <mc:AlternateContent xmlns:mc="http://schemas.openxmlformats.org/markup-compatibility/2006">
    <mc:Choice Requires="x15">
      <x15ac:absPath xmlns:x15ac="http://schemas.microsoft.com/office/spreadsheetml/2010/11/ac" url="C:\Users\Jose Cuevas\DEV\CRS\back\service\src\infra\imports\"/>
    </mc:Choice>
  </mc:AlternateContent>
  <xr:revisionPtr revIDLastSave="0" documentId="13_ncr:1_{38AFEEBE-D3CA-4173-B014-86F0B98B2E15}" xr6:coauthVersionLast="47" xr6:coauthVersionMax="47" xr10:uidLastSave="{00000000-0000-0000-0000-000000000000}"/>
  <bookViews>
    <workbookView xWindow="28680" yWindow="-120" windowWidth="38640" windowHeight="15720" tabRatio="1000" xr2:uid="{00000000-000D-0000-FFFF-FFFF00000000}"/>
  </bookViews>
  <sheets>
    <sheet name="CRUISE" sheetId="4" r:id="rId1"/>
    <sheet name="CRUISE_DETAIL" sheetId="2" r:id="rId2"/>
    <sheet name="ITINERARY" sheetId="3" r:id="rId3"/>
  </sheets>
  <calcPr calcId="191029" concurrentCalc="0"/>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 xmlns:mx="http://schemas.microsoft.com/office/mac/excel/2008/main" uri="{7523E5D3-25F3-A5E0-1632-64F254C22452}">
      <mx:ArchID Flags="2"/>
    </ext>
  </extLst>
</workbook>
</file>

<file path=xl/calcChain.xml><?xml version="1.0" encoding="utf-8"?>
<calcChain xmlns="http://schemas.openxmlformats.org/spreadsheetml/2006/main">
  <c r="B3" i="3" l="1"/>
  <c r="Y3" i="4"/>
  <c r="B4" i="3"/>
  <c r="Y4" i="4"/>
  <c r="B5" i="3"/>
  <c r="Y5" i="4"/>
  <c r="B6" i="3"/>
  <c r="Y6" i="4"/>
  <c r="B7" i="3"/>
  <c r="Y7" i="4"/>
  <c r="B8" i="3"/>
  <c r="Y8" i="4"/>
  <c r="B9" i="3"/>
  <c r="Y9" i="4"/>
  <c r="B10" i="3"/>
  <c r="Y10" i="4"/>
  <c r="B11" i="3"/>
  <c r="Y11" i="4"/>
  <c r="B12" i="3"/>
  <c r="Y12" i="4"/>
  <c r="B13" i="3"/>
  <c r="Y13" i="4"/>
  <c r="B14" i="3"/>
  <c r="Y14" i="4"/>
  <c r="B15" i="3"/>
  <c r="Y15" i="4"/>
  <c r="B16" i="3"/>
  <c r="Y16" i="4"/>
  <c r="B17" i="3"/>
  <c r="Y17" i="4"/>
  <c r="B18" i="3"/>
  <c r="Y18" i="4"/>
  <c r="B19" i="3"/>
  <c r="Y19" i="4"/>
  <c r="B20" i="3"/>
  <c r="Y20" i="4"/>
  <c r="B21" i="3"/>
  <c r="Y21" i="4"/>
  <c r="B22" i="3"/>
  <c r="Y22" i="4"/>
  <c r="B23" i="3"/>
  <c r="Y23" i="4"/>
  <c r="B24" i="3"/>
  <c r="Y24" i="4"/>
  <c r="B25" i="3"/>
  <c r="Y25" i="4"/>
  <c r="B26" i="3"/>
  <c r="Y26" i="4"/>
  <c r="B27" i="3"/>
  <c r="Y27" i="4"/>
  <c r="B28" i="3"/>
  <c r="Y28" i="4"/>
  <c r="B29" i="3"/>
  <c r="Y29" i="4"/>
  <c r="B30" i="3"/>
  <c r="Y30" i="4"/>
  <c r="B31" i="3"/>
  <c r="Y31" i="4"/>
  <c r="B32" i="3"/>
  <c r="Y32" i="4"/>
  <c r="B2" i="3"/>
  <c r="Y2" i="4"/>
  <c r="B3" i="2"/>
  <c r="B4" i="2"/>
  <c r="B5" i="2"/>
  <c r="B6" i="2"/>
  <c r="B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2" i="2"/>
  <c r="F77" i="2"/>
  <c r="F76" i="2"/>
  <c r="F75" i="2"/>
  <c r="F74" i="2"/>
  <c r="F73" i="2"/>
  <c r="F72" i="2"/>
  <c r="F71" i="2"/>
  <c r="F70" i="2"/>
  <c r="F69" i="2"/>
  <c r="F68" i="2"/>
  <c r="F67" i="2"/>
  <c r="F66" i="2"/>
  <c r="F60" i="2"/>
  <c r="F59" i="2"/>
  <c r="F58" i="2"/>
  <c r="F57" i="2"/>
  <c r="F56" i="2"/>
  <c r="F55" i="2"/>
  <c r="F54" i="2"/>
  <c r="F53" i="2"/>
  <c r="F52" i="2"/>
  <c r="F51" i="2"/>
  <c r="F49" i="2"/>
  <c r="F48" i="2"/>
  <c r="F47" i="2"/>
  <c r="F46" i="2"/>
  <c r="F45" i="2"/>
  <c r="F44" i="2"/>
  <c r="F43" i="2"/>
  <c r="F42" i="2"/>
  <c r="F41" i="2"/>
  <c r="F39" i="2"/>
  <c r="F38" i="2"/>
  <c r="F37" i="2"/>
  <c r="F36" i="2"/>
  <c r="F35" i="2"/>
  <c r="F34" i="2"/>
  <c r="F33" i="2"/>
  <c r="F32" i="2"/>
  <c r="F31" i="2"/>
  <c r="F30" i="2"/>
  <c r="F29" i="2"/>
  <c r="F28" i="2"/>
  <c r="F27" i="2"/>
  <c r="F17" i="2"/>
  <c r="F16" i="2"/>
  <c r="F15" i="2"/>
  <c r="F14" i="2"/>
  <c r="F13" i="2"/>
  <c r="F12" i="2"/>
  <c r="F11" i="2"/>
  <c r="F10" i="2"/>
  <c r="F9" i="2"/>
</calcChain>
</file>

<file path=xl/sharedStrings.xml><?xml version="1.0" encoding="utf-8"?>
<sst xmlns="http://schemas.openxmlformats.org/spreadsheetml/2006/main" count="1006" uniqueCount="629">
  <si>
    <t>LUNES</t>
  </si>
  <si>
    <t>MARTES</t>
  </si>
  <si>
    <t>MIERCOLES</t>
  </si>
  <si>
    <t>JUEVES</t>
  </si>
  <si>
    <t>VIERNES</t>
  </si>
  <si>
    <t>SABADO</t>
  </si>
  <si>
    <t>DOMINGO</t>
  </si>
  <si>
    <t>SI</t>
  </si>
  <si>
    <t>NO</t>
  </si>
  <si>
    <t>NATURALISTA</t>
  </si>
  <si>
    <t>BUCEO</t>
  </si>
  <si>
    <t>PUERTO BAQUERIZO MORENO</t>
  </si>
  <si>
    <t>PUERTO AYORA</t>
  </si>
  <si>
    <t>YATE MONOCASCO</t>
  </si>
  <si>
    <t>CATAMARÁN</t>
  </si>
  <si>
    <t>TRIMARÁN</t>
  </si>
  <si>
    <t>VELERO MONOCASCO</t>
  </si>
  <si>
    <t>INTEGRITY</t>
  </si>
  <si>
    <t>PARMARENT</t>
  </si>
  <si>
    <t>International Nature &amp; Cultural Adventures, INCA</t>
  </si>
  <si>
    <t>1 Suite + 2 Single  + 6 Standard</t>
  </si>
  <si>
    <t>ESPAÑOLA - ESTE</t>
  </si>
  <si>
    <t>SAN CRISTÓBAL - ESTE</t>
  </si>
  <si>
    <t>SANTA FE,  PLAZAS - ESTE</t>
  </si>
  <si>
    <t>GENOVESA - ESTE</t>
  </si>
  <si>
    <t>SANTIAGO, BARTOLOMÉ - ESTE</t>
  </si>
  <si>
    <t>RÁBIDA, SOMBRERO CHINO - ESTE</t>
  </si>
  <si>
    <t xml:space="preserve">BALTRA - ESTE / PUERTO AYORA - OESTE </t>
  </si>
  <si>
    <t>FLOREANA - OESTE</t>
  </si>
  <si>
    <t>ISABELA - OESTE</t>
  </si>
  <si>
    <t>ISABELA, FERNANDINA - OESTE</t>
  </si>
  <si>
    <t>SANTIAGO - OESTE</t>
  </si>
  <si>
    <t>SEYMOUR NORTE, SANTA CRUZ - OESTE</t>
  </si>
  <si>
    <t>BALTRA - OESTE / PUERTO AYORA - ESTE</t>
  </si>
  <si>
    <t>https://www.integritygalapagos.com/</t>
  </si>
  <si>
    <t>LUJO</t>
  </si>
  <si>
    <t>PRIMERA</t>
  </si>
  <si>
    <t>TURISTA SUPERIOR</t>
  </si>
  <si>
    <t>Christian Siebers</t>
  </si>
  <si>
    <t>Endemic</t>
  </si>
  <si>
    <t>Domingo - Domingo</t>
  </si>
  <si>
    <t>Genovesa</t>
  </si>
  <si>
    <t xml:space="preserve">Isabela (Elizabeth y Urbina Bay) </t>
  </si>
  <si>
    <t>Los Gemelos - Santiago (Sullivan)</t>
  </si>
  <si>
    <t>Isabela (Tagus Cove) Fernandina Pta Espinoza)</t>
  </si>
  <si>
    <t>Santiago (Caleta Bucanero y Playa Espumilla)</t>
  </si>
  <si>
    <t>Islote Mosquera - Santa Cruz (Dragon Hill)</t>
  </si>
  <si>
    <t>Isabela (Humedales, Sierra Negra, Centro Interpretación)</t>
  </si>
  <si>
    <t>San Cristóbal (Kicker Rock, Witch Hill, Isla Lobos)</t>
  </si>
  <si>
    <t>Española (Gardner Bay) - Orborn y Gardner Islets - Española Suarez Point</t>
  </si>
  <si>
    <t>Santa Fe - Santa Cruz (Charles Darwin Station)</t>
  </si>
  <si>
    <t>South Plaza - Bartolomé</t>
  </si>
  <si>
    <t xml:space="preserve"> Floreana (Devil's Crowm- Cormorant Point The  Varoness Overlook, Post Office)</t>
  </si>
  <si>
    <t>Santiago (Chiness Hut) - North Seymour</t>
  </si>
  <si>
    <t>Santa Cruz (Black Turtle Cove - Las Bachas)</t>
  </si>
  <si>
    <t>https://www.goldengalapagoscruises.com/endemic-luxury-yacht/</t>
  </si>
  <si>
    <t>US$ 1027</t>
  </si>
  <si>
    <t>Elite</t>
  </si>
  <si>
    <t>4 Suites Upper + 4 Suites Main + 1 Single Cabin</t>
  </si>
  <si>
    <t xml:space="preserve">Sábado - Sábado </t>
  </si>
  <si>
    <t>Isabela (Tintorera - Sierra Negra) / Breeding Center</t>
  </si>
  <si>
    <t>Isabela (Moreno Point - Urbina Bay)</t>
  </si>
  <si>
    <t>Fernandina  (Espinoza Point) Isabela (Vicente Roca Point)</t>
  </si>
  <si>
    <t>Rabida / Bartolomé</t>
  </si>
  <si>
    <t>San Cristobal (Kicker Rock / Witch Hill / Giant Tortoise Reserve</t>
  </si>
  <si>
    <t>San Cristobal Interpretation Center / Breeding Center</t>
  </si>
  <si>
    <t>Española (Suarez Point - Gardner Bay - Gardner y Osborn Islets)</t>
  </si>
  <si>
    <t>Floreana (Cormorant Point / Post Office Bay, Baroness Lockout)</t>
  </si>
  <si>
    <t>Mosquera / Santa Cruz (Charles Darwin Station)</t>
  </si>
  <si>
    <t>Santiago (Buccaneer Cove y Espumilla Beach / Egas Port)</t>
  </si>
  <si>
    <t>Santa Cruz (Bachas / Twins and Highlands)</t>
  </si>
  <si>
    <t>San Cristobal (Isla Lobos /  El Junco Lagoon)</t>
  </si>
  <si>
    <t>North Seymour /  Santa Cruz (Dragon Hill)</t>
  </si>
  <si>
    <t>https://www.goldengalapagoscruises.com/elite-luxury-yacht/</t>
  </si>
  <si>
    <t>Grand Majestic</t>
  </si>
  <si>
    <t>https://www.royalgalapagos.com/product/grand-majestic/</t>
  </si>
  <si>
    <t>CATAMARAN</t>
  </si>
  <si>
    <t>Lunes - Lunes</t>
  </si>
  <si>
    <t>Isabela (Tagus Cove / Urbina Bay)</t>
  </si>
  <si>
    <t>Infinity</t>
  </si>
  <si>
    <t>Floreana</t>
  </si>
  <si>
    <t>Española</t>
  </si>
  <si>
    <t>Isabela (Urbina Bay / Tagus Cove)</t>
  </si>
  <si>
    <t>Sábado - Sábado</t>
  </si>
  <si>
    <t>South Plaza / Santa Fe</t>
  </si>
  <si>
    <t>Fernandina (Espinoza Point) / Isabela (Vicente Roca Point)</t>
  </si>
  <si>
    <t>Calipso</t>
  </si>
  <si>
    <t>Jueves - Jueves</t>
  </si>
  <si>
    <t>Passion</t>
  </si>
  <si>
    <t>5 Cabin Decks - 1 Master Suite</t>
  </si>
  <si>
    <t>Floreana (Black Beach / Asilo de la  Paz )</t>
  </si>
  <si>
    <t>Isabela (Tagus Cove) / Fernandina (Espinosa Point)</t>
  </si>
  <si>
    <t>Santiago (Egas Port / Espumilla Beach/ Buccaneer Cove)</t>
  </si>
  <si>
    <t>Santiago (Sullivan Bay) / North Seymour</t>
  </si>
  <si>
    <t>Mosquera Islet / Santa Cruz (Black Turttle Cove)</t>
  </si>
  <si>
    <t>Bartolome / Chinesse Hat</t>
  </si>
  <si>
    <t>Rabida / Santa Cruz (Dragon Hill)</t>
  </si>
  <si>
    <t>Santa Cruz (Highlands / Charles Darwin Station)</t>
  </si>
  <si>
    <t>South Plaza  / Santa Fe</t>
  </si>
  <si>
    <t>Santa Cruz (Twin Craters / Highlands Breeding Center</t>
  </si>
  <si>
    <t>https://www.passiongalapagoscruise.com/#/shome</t>
  </si>
  <si>
    <t>US$ 650</t>
  </si>
  <si>
    <t>http://www.galapagosstellamaris.com/en/</t>
  </si>
  <si>
    <t>Stella Maris</t>
  </si>
  <si>
    <t>3 Lower deck cabin , 2 main deck cabin, 1 upper deck suite</t>
  </si>
  <si>
    <t>San Cristobal ( Interpretation Center / Lobos island)</t>
  </si>
  <si>
    <t>San Cristobal (Pitt Point, Witch Hill, Kicker Rock)</t>
  </si>
  <si>
    <t>North Seymour / Bartolomé</t>
  </si>
  <si>
    <t>Santa Cruz (The Twins / El Chato / Highlands Breeding Center)</t>
  </si>
  <si>
    <t>Chinesse Hat / Rábida</t>
  </si>
  <si>
    <t>Santiago (Espumilla Beach/ Buccaneer Cove / Egas Port)</t>
  </si>
  <si>
    <t>Fernandina (Espinoza Point) / Isabela (Tagus Cove)</t>
  </si>
  <si>
    <t>Isabela (Elizabeth Bay / Moreno Point)</t>
  </si>
  <si>
    <t>Isabela (Tintoreras / Volcano Chico / Wall of Tears / Breeding Center)</t>
  </si>
  <si>
    <t>Santa Cruz (Highlands / Tortuga Bay)</t>
  </si>
  <si>
    <t>La Pinta</t>
  </si>
  <si>
    <t>https://www.lapintagalapagoscruise.com/</t>
  </si>
  <si>
    <t>North Seymour</t>
  </si>
  <si>
    <t>Isabela (Vicente Roca Point) / Fernandina (Espinoza Point)</t>
  </si>
  <si>
    <t>Santa Cruz (Charles Darwin Station / Highlands)</t>
  </si>
  <si>
    <t>San Cristobal (Pitt Point / Witch Hill)</t>
  </si>
  <si>
    <t>Santa Cruz II</t>
  </si>
  <si>
    <t>50 Cabins</t>
  </si>
  <si>
    <t>US$ 788 y US$ 823</t>
  </si>
  <si>
    <t>Santa Cruz (Bachas)</t>
  </si>
  <si>
    <t>Santiago (Buccaneer Cove / Egas Port)</t>
  </si>
  <si>
    <t>Rábida / Bartolomé</t>
  </si>
  <si>
    <t>Santa Cruz ( Giant Tortoise Reserve) / Mosquera Islet</t>
  </si>
  <si>
    <t>San Cristobal (Cerro Colorado Breeding Center / Punta Pitt)</t>
  </si>
  <si>
    <t>Santa Fe / South Plaza</t>
  </si>
  <si>
    <t>Eden Islet / North Seymour</t>
  </si>
  <si>
    <t>Santa Cruz (Dragon Hill)</t>
  </si>
  <si>
    <t>https://santacruzgalapagoscruise.com/</t>
  </si>
  <si>
    <t>Isabella II</t>
  </si>
  <si>
    <t>https://www.yachtisabela.com/</t>
  </si>
  <si>
    <t>Santa Cruz (Charles Darwin Station)</t>
  </si>
  <si>
    <t>Isabela (Vicente Roca Point / Fernandina (Espinoza Point)</t>
  </si>
  <si>
    <t>Camila</t>
  </si>
  <si>
    <t>US$ 852 y US$ 903</t>
  </si>
  <si>
    <t>4 main deck cabins, 4 upper deck cabins</t>
  </si>
  <si>
    <t>Santa Cruz (Bachas) / Bartolomé</t>
  </si>
  <si>
    <t>Rábida / Santiago (Egas Port)</t>
  </si>
  <si>
    <t>Mosquera Islet / Santa Cruz (Highlands)</t>
  </si>
  <si>
    <t>North Seymour / Santiago (Sullivan Bay)</t>
  </si>
  <si>
    <t>San Cristobal (Interpretation Center / Lobos Island / Kicker Rock)</t>
  </si>
  <si>
    <t>https://www.haugancruises.com/destinations/galapagos-islands</t>
  </si>
  <si>
    <t>Alya</t>
  </si>
  <si>
    <t>https://alyaonboard.com/#experiencesalya</t>
  </si>
  <si>
    <t>9 cabins</t>
  </si>
  <si>
    <t>Isabela (Moreno Point - Elizabeth Bay)</t>
  </si>
  <si>
    <t>Isabela (Urbina Bay) / Fernandina (Espinoza Point)</t>
  </si>
  <si>
    <t>Isabela ( Tagus Cove / Vicente Roca Point)</t>
  </si>
  <si>
    <t>Santiago (Espumilla Beach / Egas Port)</t>
  </si>
  <si>
    <t>Santa Cruz (Bachas / North Seymour</t>
  </si>
  <si>
    <t>San Cristobal (Interpretation Center / Lobos Island)</t>
  </si>
  <si>
    <t>Santa Cruz (Highlands / Black Turttle Cove)</t>
  </si>
  <si>
    <t>Santiago (Sullivan Bay) / Bartolomé</t>
  </si>
  <si>
    <t>Chinese Hat / Mosquera Islet</t>
  </si>
  <si>
    <t>Evolution</t>
  </si>
  <si>
    <t>16 Cabins</t>
  </si>
  <si>
    <t>Bartolomé - Santiago (Sullivan Bay)</t>
  </si>
  <si>
    <t>Santa Cruz (Bachas) / Rábida</t>
  </si>
  <si>
    <t>Santa Cruz ( Highlands / Charles Darwin Station)</t>
  </si>
  <si>
    <t>San Cristobal (interpretation Center / Witch Hill</t>
  </si>
  <si>
    <t>South Plaza / Punta Carrión Island / Mosquera Islet</t>
  </si>
  <si>
    <t>Chinese Hat / Santiago (Egas Port)</t>
  </si>
  <si>
    <t>North Seymour / Santa Fe</t>
  </si>
  <si>
    <t>Santa Cruz (Highlands / Charles Darin Station)</t>
  </si>
  <si>
    <t>Santa Cruz (Black Turttle Cove) / Daphne Island</t>
  </si>
  <si>
    <t>https://www.quasarex.com/galapagos/mv-evolution</t>
  </si>
  <si>
    <t>US$ 870</t>
  </si>
  <si>
    <t>Legend</t>
  </si>
  <si>
    <t>https://galapagoslegend.com/</t>
  </si>
  <si>
    <t>56 Cabins</t>
  </si>
  <si>
    <t>Eden Islet / Santa Cruz (Highlands)</t>
  </si>
  <si>
    <t>Santa Cruz (Dragon Hill) / Santa Fe</t>
  </si>
  <si>
    <t>Santa Cruz (Bachas / Mosquera Islet)</t>
  </si>
  <si>
    <t>Santiago (Egas Port) / Rábida</t>
  </si>
  <si>
    <t>Santa Cruz (Highlands) / Bartolomé</t>
  </si>
  <si>
    <t>South Plaza / North Seymour</t>
  </si>
  <si>
    <t>San Cristobal (Cerro Colorado Breeding Center / Interpretation Center)</t>
  </si>
  <si>
    <t>US$ 438</t>
  </si>
  <si>
    <t>Petrel</t>
  </si>
  <si>
    <t>https://www.celebritycruises.com/int/cruise-ships/celebrity-flora</t>
  </si>
  <si>
    <t>Flora</t>
  </si>
  <si>
    <t>47 Cabins</t>
  </si>
  <si>
    <t>Isabela (Elizabeth Bay / Tagus Cove)</t>
  </si>
  <si>
    <t>Santa Cruz (Bachas) / North Seymour</t>
  </si>
  <si>
    <t>San Cristobal (Interpretation Center / Pitt Point)</t>
  </si>
  <si>
    <t>San Cristobal (Pitt Point / Interpretation Center)</t>
  </si>
  <si>
    <t>Santa Cruz (Charles Darwin Station )</t>
  </si>
  <si>
    <t xml:space="preserve">Daphne </t>
  </si>
  <si>
    <t>US$ 1035</t>
  </si>
  <si>
    <t>Reina Silvia</t>
  </si>
  <si>
    <t>Grace</t>
  </si>
  <si>
    <t>Grand Daphne</t>
  </si>
  <si>
    <t>Eco Galaxy</t>
  </si>
  <si>
    <t>Ocean Spray</t>
  </si>
  <si>
    <t>Aggressor III</t>
  </si>
  <si>
    <t>Blue Spirit</t>
  </si>
  <si>
    <t>Humboldt Explorer</t>
  </si>
  <si>
    <t>Galapagos Master</t>
  </si>
  <si>
    <t>Galapagos Sky Diving</t>
  </si>
  <si>
    <t>Tiburón Explorer</t>
  </si>
  <si>
    <t>Origin</t>
  </si>
  <si>
    <t>Royal Galápagos</t>
  </si>
  <si>
    <t>2 Double cabin (2 Twin or convertible 1 King) + 4  Triple cabin (2 Twin or convertible 1 King)+ 1 bunk bed)</t>
  </si>
  <si>
    <t>Celebrity Cruises</t>
  </si>
  <si>
    <t>Sábado - Sábado Rutas Este &amp; Oeste</t>
  </si>
  <si>
    <t>Isabela - Oeste</t>
  </si>
  <si>
    <t>Isabela (Punta Moreno am / Elizabethe Bay pm) - Oeste</t>
  </si>
  <si>
    <t>Isabela (Urbina Bay am) / Fernandina (Punta Espinoza pm) - Oeste</t>
  </si>
  <si>
    <t>Isabela (Tagus Cove am / Vicente Roca Point pm) - Oeste</t>
  </si>
  <si>
    <t>Santiago (Espumilla Beach or Bucaneer Cove am / Puerto Egas pm) - Oeste</t>
  </si>
  <si>
    <t>Santa Cruz (Bachas am) / North Seymour pm - Oeste</t>
  </si>
  <si>
    <t>Transfer Baltra - Oeste / Santa Cruz (Breeding Center pm) - Este</t>
  </si>
  <si>
    <t>Española (Garner Bay / Gardner Islet / Osborn Islet am / Suarez Point pm) - Este</t>
  </si>
  <si>
    <t>San Cristobal (Lobos Island / Kicker Rock am / Pitt Point pm) - Este</t>
  </si>
  <si>
    <t>Santa Fe am / South Plazas pm - Este</t>
  </si>
  <si>
    <t>Genovesa (Darwin Bay am / El Barranco pm) - Este</t>
  </si>
  <si>
    <t>Santiago (Sullivan Bay am) / Bartholomew Island pm - Este</t>
  </si>
  <si>
    <t>Rabida Island am / Chinese Hat Islet pm</t>
  </si>
  <si>
    <t>Transfer to Baltra - Este /  Transfer to boat / Twin Craters pm - Oeste</t>
  </si>
  <si>
    <t>Floreana (Cormorant Point / Champion Islet am / Post Office Bay pm) - Oeste</t>
  </si>
  <si>
    <t>https://reinasilvia-cruise.com/</t>
  </si>
  <si>
    <t>US$ 7306,25 CHARTER</t>
  </si>
  <si>
    <t>Jaime Asencio</t>
  </si>
  <si>
    <t>Federico Angermeyer</t>
  </si>
  <si>
    <t>Andando Tours</t>
  </si>
  <si>
    <t xml:space="preserve">4 Double cabins (1 double lower berth + 1 single upper berth) +  2 Double cabins (2 lower berths) + 6 single cabins </t>
  </si>
  <si>
    <t>Bartholomew am / Chinese Hat islet pm - Este</t>
  </si>
  <si>
    <t>Rabida am / Santa Cruz (Drangon Hill pm) - Este</t>
  </si>
  <si>
    <t>Santa Cruz (Highlands am /  Fausto Llerena Breeding Center pm) - Este</t>
  </si>
  <si>
    <t>South Plaza am  / Santa Fe pm</t>
  </si>
  <si>
    <t>Española (Suarez Point am / Gardner Bay &amp; Osborn islet pm) - Este</t>
  </si>
  <si>
    <t>Genovesa (Darwin Bay am / Barranco pm) - Este</t>
  </si>
  <si>
    <t>Santa Cruz (Pitt Craters am) / Transfer to airport - Este /  Baltra arrival &amp; Transfer to boat am / Santa Cruz Highlands &amp; Fausto Llerena Breeding center pm - Oeste</t>
  </si>
  <si>
    <t>Floreana (Cormorant Point &amp; Devil´s Crown am / Post Office Bay pm) - Oeste</t>
  </si>
  <si>
    <t>Floreana (Black beach am / Asilo de la Paz pm) - Oeste</t>
  </si>
  <si>
    <t>Isabela (Moreno Point am / Urbina Bay pm) - Oeste</t>
  </si>
  <si>
    <t>Isabela (Tagus Cove am) / Fernandina (Espinoza Point pm) - Oeste</t>
  </si>
  <si>
    <t>Santiago (Egas Port am / Bucaneer Cove &amp; Espumilla Beach pm) - Oeste</t>
  </si>
  <si>
    <t>Santiago (Sullivan Bay am) / North Seymour pm - Oeste</t>
  </si>
  <si>
    <t>Mosquera islet am / Transfer to Baltra - Oeste / Baltra arrival &amp; Transfer to boat am  / Santa Cruz (Black Turtle Cove pm) - Este</t>
  </si>
  <si>
    <t>https://www.visitgalapagos.travel/sailing-cruises/mary-anne/</t>
  </si>
  <si>
    <t>US$ 525</t>
  </si>
  <si>
    <t>Quasar Expeditions</t>
  </si>
  <si>
    <t>1 Grace Kelly Suite + 2 Master Suites + 2 Twin Suites + 4 Staterooms</t>
  </si>
  <si>
    <t>Martes - Martes Rutas Este &amp; Oeste</t>
  </si>
  <si>
    <t>Floreana (Asilo de la Paz am / Punta Cormorant &amp; Corona del Diablo pm) - Este</t>
  </si>
  <si>
    <t>Española (Punta Suáez am / Gardner Bay &amp; Islote Gardner pm) - Este</t>
  </si>
  <si>
    <t>San Cristóbal (Punta Pitt am / Isla Lobos &amp; Kicker Rock pm) - Este</t>
  </si>
  <si>
    <t>Santa Fé am / Plazas Sur pm - Este</t>
  </si>
  <si>
    <t>Seymour Norte am / Bartolomé pm - Este</t>
  </si>
  <si>
    <t>Islote Sombrero Chino am / Santa Cruz (Cerro Dragón pm) - Este</t>
  </si>
  <si>
    <t>Santa Cruz (Caleta Tortuga Negra) / Transfer Baltra am - Este / Baltra transfer barco - Santa Cruz (Bachas pm) - Oeste</t>
  </si>
  <si>
    <t>Genovesa (Prince Phillip´s Setps am / Bahía Darwin pm) - Oeste</t>
  </si>
  <si>
    <t>Santiago (Bahía James am / Espumilla Beach &amp; Bucaneer Cove pm) - Oeste</t>
  </si>
  <si>
    <t>Isabela (Punta Vicente Roca am / Tagus Cove pm) - Oeste</t>
  </si>
  <si>
    <t>Fernandina (Espinosa Point am) / Isabela (Urbina Bay pm) - Oeste</t>
  </si>
  <si>
    <t>Isabela (Elizabeth Bay am / Punta Moreno pm) - Oeste</t>
  </si>
  <si>
    <t>Isabela (Tintoreras Islet / Cuevas de Sucre / Centro de Crianza Arnaldo Turpiza am ) /Santa Cruz navegación pm</t>
  </si>
  <si>
    <t>Santa Cruz (Gemelos am) / Transfer Baltra aeropuerto - Oeste / Baltra transfer barco am / Santa Cruz (Highlands &amp; ECCD pm) - Este</t>
  </si>
  <si>
    <t>https://www.quasarex.com/galapagos/my-grace</t>
  </si>
  <si>
    <t>US$ 900 STATEROOM</t>
  </si>
  <si>
    <t>Carlos Malo</t>
  </si>
  <si>
    <t>Daphne Cruises</t>
  </si>
  <si>
    <t>GTC</t>
  </si>
  <si>
    <t>4 Standard Cabins (2 twin or 1 king bed) + 1 Standard Cabin (1 queen bed) + 2 Superior Cabins (2 twin or 1 king bed) + 1 Suite (1 king size bed)</t>
  </si>
  <si>
    <t>Miércoles - Miércoles Rutas Este &amp; Oeste +  Sábado - Miércoles  (Este) + Miércoles - Sábado (Este)</t>
  </si>
  <si>
    <t>Floreana (Post Office Bay am / Punta Cormorant &amp; Corona del Diablo pm) - Este</t>
  </si>
  <si>
    <t>Española (Suarez Point am / Gardner Bay pm) - Este</t>
  </si>
  <si>
    <t>San Cristóbal (Kicker Rock am / Centro de Interpretación Gianny Arismendi pm) - Este</t>
  </si>
  <si>
    <t>Santa Fe am / Plazas Sur pm - Este</t>
  </si>
  <si>
    <t>Genovesa (Prince Phillip´s Steps am / Darwin Bay pm) -Este</t>
  </si>
  <si>
    <t>Santiago (Sullivan Bay am) / Rábida pm - Este</t>
  </si>
  <si>
    <t>Santa Cruz (Caleta Tortuga Negra am) / Transfer aeropueto - Este / Transfer barco am / Santa Cruz (Bachas pm) - Oeste</t>
  </si>
  <si>
    <t>Seymour Norte am / Bartolomé pm - Oeste</t>
  </si>
  <si>
    <t>Santiago (Puerto Egas am / Espumilla Beach &amp; Bucaneer Cove pm) - Oeste</t>
  </si>
  <si>
    <t>Isabela (Tagus Cove am) / Fernandina (Punta Espinoza pm) - Oeste</t>
  </si>
  <si>
    <t>Isabela (Punta Moreno am / Elizabeth Bay pm) - Oeste</t>
  </si>
  <si>
    <t>Isabela (Tintoreras islet am / Humedales pm) - Oeste</t>
  </si>
  <si>
    <t>Santa Cruz (Cerro Dragón am / Punta Carrión pm) - Oeste</t>
  </si>
  <si>
    <t>Santa Cruz (Highlands am) / Transfer aeropuerto - Oeste / Baltra transfer barco am / Santa Cruz (Parte alta pm) - Este</t>
  </si>
  <si>
    <t>https://granddaphnegalapagos.com/</t>
  </si>
  <si>
    <t>US$ 616,25 STANDARD CABIN</t>
  </si>
  <si>
    <t>Alexis Gordillo Granda</t>
  </si>
  <si>
    <t>Galagents</t>
  </si>
  <si>
    <t>Martes - Sábado (A) + Sábado - Jueves (B) + Jueves - Martes (C )</t>
  </si>
  <si>
    <t>Santa Fe AM / Plazas Sur PM (A)</t>
  </si>
  <si>
    <t>Seymour Norte AM / Islote Mosquera PM (A)</t>
  </si>
  <si>
    <t>Genovesa Darwin Bay AM / Barranco PM (A)</t>
  </si>
  <si>
    <t>Santa Cruz Highlands AM / Transfer Baltra (A)  -  Baltra transfer barco / Estación Charles Darwin PM (B)</t>
  </si>
  <si>
    <t>Isabela Punta Moreno AM / Elizabeht Bay PM (B)</t>
  </si>
  <si>
    <t>Isabela Urbina Bay AM / Tagus Cove PM (B)</t>
  </si>
  <si>
    <t>Fernandina Punta Espinosa AM / Isabela Punta Vicente Roca PM (B)</t>
  </si>
  <si>
    <t>Santiago Puerto Egas AM / Rábida  PM (B)</t>
  </si>
  <si>
    <t>Santa Cruz Black Turtle Cove AM / Transfer aeropuerto (B) - Baltra traslado barco / Santa Cruz Bachas Beach PM (C )</t>
  </si>
  <si>
    <t>Santiago Sullivan Bay AM / Bartolomé PM (C )</t>
  </si>
  <si>
    <t>Santa Cruz Highlands AM / Estación Charles Darwin PM (C )</t>
  </si>
  <si>
    <t>Floreana Cormorant Point + Devil's Crown AM / Post Office Bay PM (C )</t>
  </si>
  <si>
    <t>Española Punta Suárez AM / Española Gardner Bay + Gardner Islet + Osborn Islet PM (C )</t>
  </si>
  <si>
    <t>San Cristóbal Centro de Interpretación / Traslado aeropuerto AM (C ) - San Cristóbal Transfer barco / Isla Lobos PM (A)</t>
  </si>
  <si>
    <t>https://www.galagents.com/ecogalaxy-catamaran/</t>
  </si>
  <si>
    <t>US$ 545</t>
  </si>
  <si>
    <t>Eduardo Johjones Puente</t>
  </si>
  <si>
    <t>Eduardo Diez Cordovez</t>
  </si>
  <si>
    <t>Iguana Tours Cruceros Marítimos S.A.</t>
  </si>
  <si>
    <t>8 Standard Cabins (2 Twin or 1 King) + Additional sofa bed at no extra cost</t>
  </si>
  <si>
    <t>https://galapagospetrel.com/</t>
  </si>
  <si>
    <t>Galapagos Renaissance</t>
  </si>
  <si>
    <t>Rita Freire Vinueza</t>
  </si>
  <si>
    <t>Octavio Chauca Ballesteros</t>
  </si>
  <si>
    <t>Galapagos Golden Cruises</t>
  </si>
  <si>
    <t>8 Suites (2 twin or 1 king) Interconected suites available</t>
  </si>
  <si>
    <t>Sábado - Sábado (A &amp; B) +  Martes - Sábado + Sábado - Martes +  Jueves - Martes (A&amp;B)</t>
  </si>
  <si>
    <t>Genovesa Darwin Bay AM / El Barranco PM (8dB &amp; 5d)</t>
  </si>
  <si>
    <t>Santiago Espumilla Beach &amp; Bucaneer Cove AM / Puerto Egas PM (8dB &amp; 5d)</t>
  </si>
  <si>
    <t>Seymour Norte AM / Santa Cruz Highlands PM (8dB &amp; 5d)</t>
  </si>
  <si>
    <t>Española Suarez Point AM / Gardner Bay &amp; Osborn Islet PM (8dA &amp; 6dB)</t>
  </si>
  <si>
    <t>San Cristóbal Centro de Interpretación / Transfer to airport AM (8dA) - San Cristóbal transfer to boat / Isla Lobos &amp; Kicker Rock PM (8dB &amp; 4d) (6dB itinerario completo)</t>
  </si>
  <si>
    <t>San Cristobal Pitt Point AM / Witch Hill PM (8dB &amp; 4d &amp; 6dB)</t>
  </si>
  <si>
    <t>Floreana Post Office Bay AM / Cormorant Point &amp; Devil's Crown PM (8dB &amp; 4d &amp; 6dB)</t>
  </si>
  <si>
    <t>Santa Cruz Black Turtle Cove AM / Bartolomé PM (8dB) (5d IN solo Bartolomé) (4d &amp; 6dB OUT solo Black Turtle Cove)</t>
  </si>
  <si>
    <t>Baltra transfer to boat / Chinese Hat PM (8dA &amp; 6dA) - Mosquera Islet / Transfer to airport AM (8dB &amp; 5d)</t>
  </si>
  <si>
    <t>Isabela Vicente Roca Point AM / Fernandina Espinoza Point PM (8dA &amp; 6dA)</t>
  </si>
  <si>
    <t>Isabela Tagus Cove AM / Urbina Bay PM (8dA &amp; 6dA)</t>
  </si>
  <si>
    <t>Isabela Elizabeth Bay  AM / Moreno Point PM (8dA &amp; 6dA)</t>
  </si>
  <si>
    <t>Santa Cruz Charles Darwin Station AM / Highlands PM (8dA &amp; 6dA)</t>
  </si>
  <si>
    <t>South Plaza AM  / Santa Fe PM (8dA) (6dB IN solo Santa Fe) (6dA OUT solo South Plaza)</t>
  </si>
  <si>
    <t>US$ 920</t>
  </si>
  <si>
    <t>https://www.goldengalapagoscruises.com/ocean-spray-luxury-yacht/</t>
  </si>
  <si>
    <t>Galascuba</t>
  </si>
  <si>
    <t>Agressor Adventures</t>
  </si>
  <si>
    <t>4 Master Stateroom (3 with 2 twin or queen combinable + 1 with 2 twins combinable) + 4 Deluxe  (2 twin combinable)</t>
  </si>
  <si>
    <t>Darwin AM / PM</t>
  </si>
  <si>
    <t xml:space="preserve">US$ 850 </t>
  </si>
  <si>
    <t>Baltra transfer to airport</t>
  </si>
  <si>
    <t>Santiago Cousins Rocks AM / Santa Cruz visita tierra PM</t>
  </si>
  <si>
    <t>Fernandina Cabo Douglas AM / Isabela Punta Vicente Roca PM</t>
  </si>
  <si>
    <t xml:space="preserve">Isabela Cabo Marshal AM / PM </t>
  </si>
  <si>
    <t>Wolf AM / PM</t>
  </si>
  <si>
    <t>Santa Cruz Punta Carrión &amp; Bartolomé Punta AM / Bartolomé land visit PM</t>
  </si>
  <si>
    <t xml:space="preserve">Baltra Transfer to boat / Santa Cruz Punta Carrión &amp; Canal de Itabaca PM </t>
  </si>
  <si>
    <t>https://www.aggressor.com/destination/Galapagos</t>
  </si>
  <si>
    <t>Carlos Zapata Erazo</t>
  </si>
  <si>
    <t>Calipso Galapagos Expedition Diving</t>
  </si>
  <si>
    <t>6 Double Cabins on the Upper Deck + 2 Double Cabins on the Main Deck (2 twins or 1 King)</t>
  </si>
  <si>
    <t>San Cristobal Transfer to boat / Check dive Isla Lobos</t>
  </si>
  <si>
    <t>Santa Cruz Punta Carrión AM / Seymour PM</t>
  </si>
  <si>
    <t>Darwin AM / Wolf PM</t>
  </si>
  <si>
    <t>Isabela Cabo Marshall (Ene-Jun)  AMPM / Fernandina Cabo Douglas &amp; Isabela Punta Vicente Roca (Jul-Dic) AMPM</t>
  </si>
  <si>
    <t>Santa Cruz Breeding Center / Transfer to airport</t>
  </si>
  <si>
    <t>https://calipsodive.com/</t>
  </si>
  <si>
    <t>US$ 712 + US$ 150 nitrox</t>
  </si>
  <si>
    <t>Antonio Saman Cerasuolo</t>
  </si>
  <si>
    <t>Cruz del Sur Crusur Cia. Ltda.</t>
  </si>
  <si>
    <t>Marie Anne</t>
  </si>
  <si>
    <t>Jaime Ortiz Cobos</t>
  </si>
  <si>
    <t>REPREGAL</t>
  </si>
  <si>
    <t>Blue Spirit Galapatours</t>
  </si>
  <si>
    <t>Charles Wittmer García</t>
  </si>
  <si>
    <t>10 Matrimonial Cabins</t>
  </si>
  <si>
    <t xml:space="preserve">Miércoles - Miércoles (A) +  Miércoles - Domingo (B) + Domingo - Jueves (C ) </t>
  </si>
  <si>
    <t>Plácido Ortega Ortega</t>
  </si>
  <si>
    <t>Islas Galápagos Turismo y Vapores Cia. Ltda.</t>
  </si>
  <si>
    <t>Baltra Transfer to boat /  Santa Cruz Highlands PM (A) (B solo highlands)</t>
  </si>
  <si>
    <t>Santiago Sullivan Bay AM / Rábida PM (A &amp; B)</t>
  </si>
  <si>
    <t>Isabela Punta Vicente Roca AM / Fernandina Punta Espinosa PM (A &amp; B)</t>
  </si>
  <si>
    <t>Isabela Tintoreras AM / Wetlands PM (A &amp; B)</t>
  </si>
  <si>
    <t>Mosquera AM / North Seymour PM (A) (B OUT solo Mosquera) (C IN solo North Seymour)</t>
  </si>
  <si>
    <t>Floreana Post Office Bay AM / Punta Cormorant PM (A &amp; C)</t>
  </si>
  <si>
    <t>South Plaza AM  / Santa Fe PM (A &amp; C)</t>
  </si>
  <si>
    <t>Santa Cruz Bachas Beach / Transfer to airport AM (A) (C solo Bachan &amp; overnight en Hotel)</t>
  </si>
  <si>
    <t>Santa Cruz Charles Darwin Station / Transfer to airport AM (C )</t>
  </si>
  <si>
    <t>https://bluespirit.world/</t>
  </si>
  <si>
    <t>US$ 929</t>
  </si>
  <si>
    <t>Jorge Araujo</t>
  </si>
  <si>
    <t>Humboldt Explorer Galapagos Diving Cruises</t>
  </si>
  <si>
    <t>8 Double cabins most of them can be arranged to provide 2 twin beds or 1 large bed</t>
  </si>
  <si>
    <t>San Cristóbal Transfer to boat / Isla Lobos PM</t>
  </si>
  <si>
    <t>Santa Cruz Punta Carrión AM / North Seymour land visit PM</t>
  </si>
  <si>
    <t>Wolf island</t>
  </si>
  <si>
    <t>Wolf island AM / Darwin island PM</t>
  </si>
  <si>
    <t xml:space="preserve">Darwin island </t>
  </si>
  <si>
    <t>San Cristóbal Transfer to airport</t>
  </si>
  <si>
    <t>https://www.humboldtexplorer.com/</t>
  </si>
  <si>
    <t>US$ 750 shared + 80% SSP</t>
  </si>
  <si>
    <t>Luis Alcides Gordillo Mora</t>
  </si>
  <si>
    <t>Galapagos Travel Center GTC</t>
  </si>
  <si>
    <t>Most twin cabins can be arranged to provide one king bed</t>
  </si>
  <si>
    <t>Darwin island</t>
  </si>
  <si>
    <t>Isabela Vicente Roca Point AM / Fernandina Cape Douglas PM</t>
  </si>
  <si>
    <t>Santiago Cousin's Rock AM / Santa Cruz Highlands PM</t>
  </si>
  <si>
    <t>Santiago Roca Cousin AM / Santa Cruz visita tierra PM</t>
  </si>
  <si>
    <t>Santiago Cousin's Rock AM / Santa Cruz Twin Craters &amp; Fausto Llerena PM</t>
  </si>
  <si>
    <t>San Cristóbal Interpretation Center / Transfer to airport</t>
  </si>
  <si>
    <t>https://www.galapagosislands.com/cruises/yacht/galapagos-master</t>
  </si>
  <si>
    <t>US$ 781</t>
  </si>
  <si>
    <t>Federico Angermeyer Kubler</t>
  </si>
  <si>
    <t>Angermeyer Cruises</t>
  </si>
  <si>
    <t>Stellamaris Cia. Ltda</t>
  </si>
  <si>
    <t>Stellamaris Cia. Ltda.</t>
  </si>
  <si>
    <t>Filibon S.A.</t>
  </si>
  <si>
    <t>Ecoventura</t>
  </si>
  <si>
    <t>4 Master Stateroom (2 twins or 1 king size bed) + 4 Deluxe Stateroom (2 twins or 1 king size bed)</t>
  </si>
  <si>
    <t>Bartolomé land visit &amp; dive AM / Santiago Cousin's Rock PM</t>
  </si>
  <si>
    <t>Darwin island AM / Wolf island PM</t>
  </si>
  <si>
    <t>Fernandina Cabo Douglas AM / Isabela Vicente Roca Point PM</t>
  </si>
  <si>
    <t>Pinzón &amp; Islote Dumb AM / Santa Cruz Highlands PM</t>
  </si>
  <si>
    <t>San Cristóbal Centro de Interpretacion / Transfer to airport</t>
  </si>
  <si>
    <t>https://www.galapagossky.com/galapagos/</t>
  </si>
  <si>
    <t>US$ 950 MASTER CABIN / US$ 912 DELUXE CABIN</t>
  </si>
  <si>
    <t>Interlago Cia. Ltda.</t>
  </si>
  <si>
    <t>ETICA</t>
  </si>
  <si>
    <t>Metropolitan Touring</t>
  </si>
  <si>
    <t>Etica Empresa Turística Internacional C.A.</t>
  </si>
  <si>
    <t>Angel Abelardo Revelo Chávez</t>
  </si>
  <si>
    <t>Haugan Cruises</t>
  </si>
  <si>
    <t>Galpacifico</t>
  </si>
  <si>
    <t>Galpacifico Turs S.A.</t>
  </si>
  <si>
    <t>Galápagos Corporación Turística</t>
  </si>
  <si>
    <t>Go Galápagos</t>
  </si>
  <si>
    <t>Klein Tours</t>
  </si>
  <si>
    <t>Each stateroom has twin beds that can be converted to comfortable queen beds for couples</t>
  </si>
  <si>
    <t>Saturday - Saturday</t>
  </si>
  <si>
    <t>Baltra Transfer to boat / Santa Cruz Punta Carrión PM</t>
  </si>
  <si>
    <t>Baltra north AM / Seymour land visit PM</t>
  </si>
  <si>
    <t>Santiago Cousin's Rock AM / Santa Cruz Highlands PM (dinner on own)</t>
  </si>
  <si>
    <t>https://www.humboldtexplorer.com/tiburon-explorer</t>
  </si>
  <si>
    <t>US$ 862</t>
  </si>
  <si>
    <t>Alex Santiago Dunn Suárez</t>
  </si>
  <si>
    <t>Sunday - Sunday (A) + Sunday - Sunday (B)</t>
  </si>
  <si>
    <t>San Cristóbal Punta Pitt AM / Cerro Brujo PM (A)</t>
  </si>
  <si>
    <t>Española Punta Suárez &amp; Orborn islet AM / Gardner bay  &amp; Gardner islet PM (A)</t>
  </si>
  <si>
    <t>Santa Cruz Highlands AM / Centro de Crianza ECCD PM (A)</t>
  </si>
  <si>
    <t>Floreana Punta Cormorant &amp; Devil's Crown AM / Post Office Bay &amp; La Baronesa Point PM (A)</t>
  </si>
  <si>
    <t>Sombrero Chino &amp; Santa Cruz Bachas Beach or Black Turtle Cove AM / Bartolomé PM (A)</t>
  </si>
  <si>
    <t>South Plazas AM / North Seymour PM (A)</t>
  </si>
  <si>
    <t xml:space="preserve">San Cristóbal Centro de Interpretacion / Transfer to airport (A &amp; B) </t>
  </si>
  <si>
    <t>Genovesa Prince Phillip's Steps AM / Darwin Bay PM (B)</t>
  </si>
  <si>
    <t>Santa Cruz Bachas Beach or Black Turtle Cove AM / Cerro Dragón PM (B)</t>
  </si>
  <si>
    <t>Isabela Punta Vicente Roca o Elizabeth Bay AM / Urbina Bay PM (B)</t>
  </si>
  <si>
    <t>Fernandina Punta Espinosa AM / Isabela Tagus Cove PM (B)</t>
  </si>
  <si>
    <t>Rabida AM / Santiago Puerto Egas or Santa Cruz Black Turtle Cove PM (B)</t>
  </si>
  <si>
    <t>Santa Cruz Breeding Center  ECCD AM / Highlands PM (B)</t>
  </si>
  <si>
    <t>San Cristóbal Transfer to boat / Leon Dormido PM (A) - Centro de Interpretación / Transfer to airport (B)</t>
  </si>
  <si>
    <t>https://www.ecoventura.com/our-fleet/</t>
  </si>
  <si>
    <t>US$ 1,056 based on double occupancy</t>
  </si>
  <si>
    <t>Standard Cabin 4D3N</t>
  </si>
  <si>
    <t>Charter 4D3N</t>
  </si>
  <si>
    <t>Suite 4D3N</t>
  </si>
  <si>
    <t>Standard Cabin 5D4N</t>
  </si>
  <si>
    <t>Suite 5D4N</t>
  </si>
  <si>
    <t>Charter 5D4N</t>
  </si>
  <si>
    <t>Standard Cabin 8D7N</t>
  </si>
  <si>
    <t>Airport assistance in Quito or Guayaquil
Welcome and Farewell cocktail
Private transfers at Galapagos
Expeditions equipment (walking sticks, wetsuits, kayaks, paddle boards)
Certified Galapagos National Park guide
Dail lectures and excursions
Cruise concierge
All meals and snacks throughout the cruise
Soft drinks, coffe, tea, juice and regular sodas throughout the cruise
Glass of wine during dinner</t>
  </si>
  <si>
    <t>Standard Cabin 6D5N A &amp; B</t>
  </si>
  <si>
    <t>Suite 6D5N A &amp; B</t>
  </si>
  <si>
    <t>Charter 6D5N A &amp; B</t>
  </si>
  <si>
    <t>VIP Lounge airport access at Galapagos, Migration Control Card (TCT) and Galapagos National Park fee includes only if tickets are issued by Galapagos Renaissance</t>
  </si>
  <si>
    <t>Standard Cabin 8D7N A &amp; B</t>
  </si>
  <si>
    <t>Suite 8D7N A &amp; B</t>
  </si>
  <si>
    <t>Charter 8D7N A &amp; B</t>
  </si>
  <si>
    <t xml:space="preserve">Santa Cruz Centro de Crianza Fausto Llerena AM / Parte Alta PM (8D B) </t>
  </si>
  <si>
    <t>Santiago Sullivan Bay AM / Bartolomé PM (8DB)</t>
  </si>
  <si>
    <t>Genovesa Darwin Bay AM / Prince Phillip's Steps PM (8D B)</t>
  </si>
  <si>
    <t>Santiago Egas Port AM / Espumilla Beach &amp; Bucaneer Cove PM (8D B)</t>
  </si>
  <si>
    <t>Baltra transfer to boat AM / North Seymour PM (8D A) 
Santa Cruz Punta Carrion &amp; Transfer to airport AM (8D B)</t>
  </si>
  <si>
    <t>Isabela Vicente Roca Point AM / Fernandina Punta Espinosa PM (8D A)</t>
  </si>
  <si>
    <t>Isabela Tagus Cove AM / Urbina Bay PM (8D A)</t>
  </si>
  <si>
    <t>Isabela Elizabeth Bay AM / Punta Moreno PM (8D A)</t>
  </si>
  <si>
    <t>Isabela Sierra Negra AM /  Humedales + Centro de Crianza Arnaldo Tupiza PM (8D A)</t>
  </si>
  <si>
    <t>Santa Cruz Centro de Crianza Fausto Llerena AM / Gemelos PM (8D A)</t>
  </si>
  <si>
    <t>Plazas Sur AM / Santa Fe PM (8D A)</t>
  </si>
  <si>
    <t>San Cristóbal Isla Lobos / Transfer to airport AM (8D A OUT) 
San Cristóbal transfer to boat AM / Centro de Interpretación &amp; Galapaguera PM (8D B IN)</t>
  </si>
  <si>
    <t>Española Gardner Bay &amp; Osborn Islet AM / Suarez Point PM (8D B)</t>
  </si>
  <si>
    <t>Floreana Cormorant Point + Devil's Crown AM / Post Office Bay PM (8D B)</t>
  </si>
  <si>
    <t>Viernes - Viernes ( 8D A &amp; B)</t>
  </si>
  <si>
    <t>Suite 4D A</t>
  </si>
  <si>
    <t>Standard 4D A</t>
  </si>
  <si>
    <t>Charter 4D A</t>
  </si>
  <si>
    <t>Suite 5D A</t>
  </si>
  <si>
    <t>Standard 5D A</t>
  </si>
  <si>
    <t>Charter 5D A</t>
  </si>
  <si>
    <t>Cormorant I</t>
  </si>
  <si>
    <t>Main Deck: 2 Suites 409 ft² / 38 m². 2 Double Staterooms 258 ft² / 24 m²
Upper Deck: 4 Connected Cabins 258 ft² / 24 m²</t>
  </si>
  <si>
    <t>Suite 8D A &amp; B</t>
  </si>
  <si>
    <t>Standard 8D A &amp; B</t>
  </si>
  <si>
    <t>Charter 8D A &amp; B</t>
  </si>
  <si>
    <t>https://www.royalgalapagos.com/product/cormorant/</t>
  </si>
  <si>
    <t>All meals and excursions
Transfers in the islands
Bilingual National Park guide
Use of underwater camera</t>
  </si>
  <si>
    <t>MC Cormorant II begins operations AUG2022.
All cabins with private balconies, private bathrooms, hot water and air-conditioning. Cabin size includes balcony.
If tickets are issued with Royal Galapagos: Free airport assistance, Hotel night in Quito or Guayaquil before the cruise and 1 free transfer out for the Galapagos flight is included.
Discount for groups from 4-14 pax 10%
Discount for children under 12 years old 20%
Single Supplement 70%
Christmas and New Years eveapplies special conditions . Must contact agent for details.
Penalty fee applies for Galapagos airtickets not issued by Royal Galapagos.
Discounts do not apply on 2x1 promotions</t>
  </si>
  <si>
    <t>Sábado - Sábado 8D/N A &amp; B</t>
  </si>
  <si>
    <t>South Plaza  AM / Santa Fe PM (8D7N A)</t>
  </si>
  <si>
    <t>San Cristobal Pitt Point AM / Witch Hill PM  (8D7N A)</t>
  </si>
  <si>
    <t>San Cristobal Breeding Center AM / Lobos Island / Kicker Rock PM (8D7N A)</t>
  </si>
  <si>
    <t>Española Punta Suáez AM / Gardner Bay &amp; Islote Gardner PM (8D7N A)</t>
  </si>
  <si>
    <t>Floreana Post Office Bay / Baroness Viewpoint AM + Cormorant Point / Champion islet PM (8D7N A)</t>
  </si>
  <si>
    <t>Santa Cruz  Twin Craters / Transfer to airport AM (8D7N A OUT)
Baltra Transfer to boat / Santa Cruz Highlands / Tortoise Breeding Center PM (8D7N B IN)</t>
  </si>
  <si>
    <t>Isabela Tintoreras + Sierra Negra AM / Wetlands + Breeding Center PM (8D7N B)</t>
  </si>
  <si>
    <t>Isabela Moreno Point AM / Elizabeth Bay PM (8D7N B)</t>
  </si>
  <si>
    <t>Fernandina Espinoza Point AM / Isabela Vicente Roca Point PM (8D7N B)</t>
  </si>
  <si>
    <t>Santiago Egas Port AM / Espumilla Beach +  Buccaneer Cove PM (8D7N B)</t>
  </si>
  <si>
    <t>Bartholomew island AM / Santiago Sullivan Bay PM (8D7N B)</t>
  </si>
  <si>
    <t>Santiago Chinese Hat AM / Santa Cruz Dragon Hill PM (8D7N B)</t>
  </si>
  <si>
    <t>Baltra Transfer to boat / Santa Cruz Bachas Beach PM (8D7N A IN)
North Seymour island / Transfer to airport AM (8D7N B OUT)</t>
  </si>
  <si>
    <t>Genovesa El Barranco AM / Darwin Bay PM (8D7N A)</t>
  </si>
  <si>
    <t>Lower Deck: 6 Staterooms
Cabins 1 &amp; 2: 170 ft² / 15.75 m²
Cabin 3: 181 ft² / 16.85 m²
Cabin 4: 176 ft² / 16.30 m²
Cabin 5: 148 ft² / 13.75 m²
Cabin 6: 145 ft² / 13.50 m²
Main Deck: 1 Stateroom,1 Master Suite with his and her bathrooms
Cabin 7: 132 ft² / 12.25 m²
Master Suite: 420 ft² / 39 m²</t>
  </si>
  <si>
    <r>
      <t>Charter Regular Season 4D3N</t>
    </r>
    <r>
      <rPr>
        <sz val="12"/>
        <color theme="1"/>
        <rFont val="Calibri (Cuerpo)"/>
      </rPr>
      <t xml:space="preserve"> A</t>
    </r>
  </si>
  <si>
    <t>Charter High Season 4D3N A</t>
  </si>
  <si>
    <t>Charter Regular Season 5D4N A</t>
  </si>
  <si>
    <t>Charter High Season 5D4N A</t>
  </si>
  <si>
    <t>Charter High Season 8D7N A &amp; B</t>
  </si>
  <si>
    <t>Charter Regular Season 8D7N A &amp; B</t>
  </si>
  <si>
    <t>Charter Christmas &amp; New Year 8D7N A&amp;B</t>
  </si>
  <si>
    <t>Master Suite 4D3N A</t>
  </si>
  <si>
    <t>State Room 4D3N A</t>
  </si>
  <si>
    <t>Master Suite 5D4N A</t>
  </si>
  <si>
    <t>State Room 5D4N A</t>
  </si>
  <si>
    <t>Master Suite 8D7N A &amp; B</t>
  </si>
  <si>
    <t>State Room 8D7N A &amp; B</t>
  </si>
  <si>
    <t>If tickets are issued with Royal Galapagos: Free airport assistance, Hotel night in Quito or Guayaquil before the cruise and 1 free transfer out for the Galapagos flight is included.
Discount for groups from 4-14 pax 10%
Discount for children under 12 years old 20%
Single Supplement 70%
Penalty fee applies for Galapagos airtickets not issued by Royal Galapagos.
Discounts do not apply on 2x1 promotions</t>
  </si>
  <si>
    <t>Floreana Post office Bay + Baroness Viewing Point AM / Cormorant Point  + Devil´s Crown PM  (8D A)</t>
  </si>
  <si>
    <t>Española Suarez Point + Garner Bay + Osborn Islet, Gardner Bay PM (8D A)</t>
  </si>
  <si>
    <t>Santa Cruz Twin Craters AM / Fausto Llerena Breeding Center PM (8D A)</t>
  </si>
  <si>
    <t>Genovesa  El Barranco AM / Darwin Bay PM (8D A)</t>
  </si>
  <si>
    <t>Rabida island AM / Chiness Hat PM (8D A)</t>
  </si>
  <si>
    <t>San Cristobal Witch Hill AM / Lobos island PM (8D A)</t>
  </si>
  <si>
    <t xml:space="preserve">San Cristobal Gianni Arismendi Interpretation Center / Transfer to airport AM (8D A OUT)
San Cristóbal  Transfer to boat / David Rodriguez Breeding Center PM (8D B IN) </t>
  </si>
  <si>
    <t>North Seymour  AM / Santa Cruz Black Turtle Cove PM (8D B)</t>
  </si>
  <si>
    <t>Bartolomé  AM / Santiago Egas Port PM (8D B)</t>
  </si>
  <si>
    <t>Isabela Tagus Cove AM  / Urbina Bay PM (8D B)</t>
  </si>
  <si>
    <t>Fernandina Espinoza Point  AM / isabela Vicente Roca Point PM (8D B)</t>
  </si>
  <si>
    <t>Santiago Buccaneer Cove + Espumilla beach AM  / Sullivan bay PM (8D B)</t>
  </si>
  <si>
    <t>Santa Cruz Bachas Beach AM / Tortoise Breeding Center PM (8D B)</t>
  </si>
  <si>
    <t>San Cristóbal Kicker Rock AM / Transfer to airport (8D B OUT)
San Cristobal Transfer to boat AM / El Junco Lagoon PM (8D A IN)</t>
  </si>
  <si>
    <t xml:space="preserve">Lunes - Lunes 8D7N  A &amp; B </t>
  </si>
  <si>
    <t>Main Deck: 6 double cabins (237ft² / 22m², 226ft² / 21m² and 270ft² / 25m²)
Upper Deck: 2 double cabins (247.5ft² / 23m²), 2 double Suites (360.6ft² / 33.5m² and 376.7ft² / 35m²).
All cabins with private balconies, hot water and air-conditioning</t>
  </si>
  <si>
    <t>Standard Cabin 4D3N A</t>
  </si>
  <si>
    <t>Suite 4D3N A</t>
  </si>
  <si>
    <t>Charter 4D3N A</t>
  </si>
  <si>
    <t>Standard Cabin 5D4N  A</t>
  </si>
  <si>
    <t>Suite  5D4N A</t>
  </si>
  <si>
    <t>Charter 5D4N  A</t>
  </si>
  <si>
    <t>Standard Cabin 8D7N  A &amp; B</t>
  </si>
  <si>
    <t>Suite  8D7N  A &amp; B</t>
  </si>
  <si>
    <t>Charter 8D7N  A &amp; B</t>
  </si>
  <si>
    <t>All meals and excursions
Transfers in the islands
Bilingual National Park guide</t>
  </si>
  <si>
    <t>If tickets are issued with Royal Galapagos: Free airport assistance, Hotel night in Quito or Guayaquil before the cruise and 1 free transfer out for the Galapagos flight is included.
Discount for groups from 4-18 pax 10%
Discount for children under 12 years old 20%
Single Supplement 70%
Penalty fee applies for Galapagos airtickets not issued by Royal Galapagos.
Discounts do not apply on 2x1 promotions</t>
  </si>
  <si>
    <t>https://infinity-galapagos.com/</t>
  </si>
  <si>
    <t>Martes - Martes 8D7N  A &amp; B</t>
  </si>
  <si>
    <t>Genovesa Barranco AM  / Darwin Bay PM (8D A)</t>
  </si>
  <si>
    <t>Santiago Sullivan Bay AM / Rábida PM  (8D A)</t>
  </si>
  <si>
    <t>Santa Cruz  Breeding Center AM / Highlands PM (8D A)</t>
  </si>
  <si>
    <t>Santa Cruz  Dragon Hill  AM / Bachas Beach PM (8D A)</t>
  </si>
  <si>
    <t>Floreana Post Office Bay AM / Cormorant Point + Devil's Crown PM (8D A)</t>
  </si>
  <si>
    <t>Española Suárez Point AM / Gardner Bay PM (8D A)</t>
  </si>
  <si>
    <t>San Cristobal  Gianni Arismendi Interpretation Center  AM / Transfer to airport (8D A OUT)
San Cristóbal Transfer to boat / Breeding Center or Puerto Chino PM (8D B IN)</t>
  </si>
  <si>
    <t>Santa Fe AM / South plaza PM (8D B)</t>
  </si>
  <si>
    <t>Santa Cruz Fausto Lleran Breeding Center  AM / Twin Craters  PM (8D B)</t>
  </si>
  <si>
    <t>Isabela Moreno Point AM /  Elizabeth Bay PM (8D B)</t>
  </si>
  <si>
    <t>Isabela Urbina Bay AM  / Tagus Cove PM (8D B)</t>
  </si>
  <si>
    <t>Fernandina Espinoza Point AM  / Isabela Viente Roca Point PM (8D B)</t>
  </si>
  <si>
    <t>Santiago Egas Port AM  / Bartolomé PM (8D B)</t>
  </si>
  <si>
    <t>Baltra Transfer to boat / Santa Cruz Black Turtle Cove PM (8D A IN)
North Seymour AM / Transfer to airport (8D B OUT)</t>
  </si>
  <si>
    <t>20 Luxury Cabins (Twin/Doubles) + 4 Luxury Plus Cabins (Triples)</t>
  </si>
  <si>
    <t>Luxury or Luxury Plus Cabins  5D4N E &amp; N</t>
  </si>
  <si>
    <t>Luxury or Luxury Plus Cabins  7D6N  W</t>
  </si>
  <si>
    <t>Viernes - Jueves 7D6N W</t>
  </si>
  <si>
    <t>Baltra Transfer to boat / North Seymour PM (7D IN)</t>
  </si>
  <si>
    <t>Isabela Vicente Roca Point AM  / Fernandina Espinoza Point PM</t>
  </si>
  <si>
    <t>Isabela Urbina Bay AM / Tagus Cove PM</t>
  </si>
  <si>
    <t>Rabida Red Beach AM / Santa Cruz Dragon Hill PM</t>
  </si>
  <si>
    <t>Santa Cruz Charles Darwin Research StationAM  / Highlands PM</t>
  </si>
  <si>
    <t>Floreana Post Office Bay AM / Punta Cormorant + Champion islet PM</t>
  </si>
  <si>
    <t>Baltra Transfer to airport (7D W OUT)</t>
  </si>
  <si>
    <t>Accommodations, all meals, soft drinks*, island sightseeing, naturalist guides and lecture services in English/Spanish only, wet suit rental, snorkelling gear, internet*, luggage handling, medical care on board (but not the cost of medication), taxes and transfers in the islands.</t>
  </si>
  <si>
    <t>Owner's Cabin 5D4N N &amp; W</t>
  </si>
  <si>
    <t>Standard Cabin 5D4N  N &amp; W</t>
  </si>
  <si>
    <t>Owner's Cabin 7D6N  SE</t>
  </si>
  <si>
    <t>Standard Cabin 7D6N  SE</t>
  </si>
  <si>
    <t>Classic Cabin  5D4N  N &amp; W</t>
  </si>
  <si>
    <t>Classic Family Cabin  5D4N  N &amp; W</t>
  </si>
  <si>
    <t>Classic Cabin  7D6N  SE</t>
  </si>
  <si>
    <t>Classic Family Cabin  7D6N  SE</t>
  </si>
  <si>
    <t>16 Classic Twin and 2 Classic Double cabins, as well as the 1 Standard cabin, all of which are arrayed around outer corridors. On the Main Deck, guests will find the one Owner’s Cabin</t>
  </si>
  <si>
    <t>Viernes - Jueves 7D6N SE</t>
  </si>
  <si>
    <t>Baltra Transfer to boat / Santa Cruz Bachas PM (7D SE IN)</t>
  </si>
  <si>
    <t>San Cristobal Punta Pitt  AM / Cerro Colorado Breeding Center PM</t>
  </si>
  <si>
    <t>Española Gardner Bay AM / Punta Suárez PM</t>
  </si>
  <si>
    <t>Floreana  Punta Cormorant AM / Post Office Bay PM</t>
  </si>
  <si>
    <t>Isabela  Moreno Point AM / Fernandina Mangle Point PM</t>
  </si>
  <si>
    <t>Eden Islet AM / North Seymour PM</t>
  </si>
  <si>
    <t>Baltra Transfer to airport (7D SE OUT)</t>
  </si>
  <si>
    <r>
      <t xml:space="preserve">Soft drinks are considered juices and carbonated drinks, not “virgin” cocktails; internet connections onboard consist of 2 computer stations in the library and Wi-Fi in the yacht’s social areas; due to the Galapagos’ remote location, internet connections are intermittent and low-bandwidth. 
1)  During Peak Season dates, Metropolitan Touring reserves the right to prioritise reservations taking into account factors such as payment and confirmation dates.    
2)  Metropolitan Touring reserves the right to limit the number of twin/double cabins for single use dependent on availability    
3)  Only 3 Luxury cabins are available for single use, with a surcharge of 50% of the price per person.      
4)  If more cabins are needed for single use, twin/double cabins have a 100% surcharge when used as singles. Please check availability first    
5)  Luxury Plus Cabins (4) for twin/double use incur a 50% surcharge per person.    
6)  Regardless the number of cabins occupied, the ship’s authorized maximum operating capacity cannot exceed 48 guests.    
7)  Local tax (VAT) not included 
</t>
    </r>
    <r>
      <rPr>
        <b/>
        <sz val="12"/>
        <color theme="1"/>
        <rFont val="Calibri"/>
        <family val="2"/>
        <scheme val="minor"/>
      </rPr>
      <t xml:space="preserve">During Peak Season: </t>
    </r>
    <r>
      <rPr>
        <sz val="12"/>
        <color theme="1"/>
        <rFont val="Calibri"/>
        <family val="2"/>
        <scheme val="minor"/>
      </rPr>
      <t xml:space="preserve">  
 - There will be a surcharge of US$ 261 per adult and US$ 157 per Child
 - No discounts apply
 - Luxury Cabins for single use have a surcharge of 100%. 
 - Luxury Plus Cabins (4) for twin/double use have a surcharge of 100% .
 - Children's policy does not apply during peak season
 - Children under 12 years old sharing a cabin with their parents or guardians:  10% off. (Applies only to one child per adult paying full fare)
 - Minimum age 6 years old
 - Children's policy does not apply on especific dates.
</t>
    </r>
    <r>
      <rPr>
        <b/>
        <sz val="12"/>
        <color theme="1"/>
        <rFont val="Calibri"/>
        <family val="2"/>
        <scheme val="minor"/>
      </rPr>
      <t>Peak Season:</t>
    </r>
    <r>
      <rPr>
        <sz val="12"/>
        <color theme="1"/>
        <rFont val="Calibri"/>
        <family val="2"/>
        <scheme val="minor"/>
      </rPr>
      <t xml:space="preserve"> Dec 23 - 29 &amp; Dec 29 - Jan 02</t>
    </r>
  </si>
  <si>
    <r>
      <t xml:space="preserve">Soft drinks are considered juices and carbonated drinks, not “virgin” cocktails; internet connections onboard consist of 2 computer stations in the library and Wi-Fi in the yacht’s social areas; due to the Galapagos’ remote location, internet connections are intermittent and low-bandwidth. 
1)  During Peak Season dates, Metropolitan Touring reserves the right to prioritise reservations taking into account factors such as payment and confirmation dates.    
2)  Metropolitan Touring reserves the right to limit the number of twin/double cabins for single use dependent on availability    
3)  Twin / Double cabins  single use  incur a 100% surcharge of the price per person.      
4)  Regardless the number of cabins occupied, the ship’s authorized maximum operating capacity cannot exceed 40 guests.    
5)  Local tax (VAT) not included 
</t>
    </r>
    <r>
      <rPr>
        <b/>
        <sz val="12"/>
        <color theme="1"/>
        <rFont val="Calibri"/>
        <family val="2"/>
        <scheme val="minor"/>
      </rPr>
      <t xml:space="preserve">During Peak Season: </t>
    </r>
    <r>
      <rPr>
        <sz val="12"/>
        <color theme="1"/>
        <rFont val="Calibri"/>
        <family val="2"/>
        <scheme val="minor"/>
      </rPr>
      <t xml:space="preserve">  
 - There will be a surcharge of US$199 per adult and US$ 120 per Child
 - No discounts apply
 - Twin/ Double Cabins for single use have a surcharge of 100%. 
 - Children's policy does not apply during peak season
 - Children under 12 years old sharing a cabin with their parents or guardians:  10% off. (Applies only to one child per adult paying full fare)
 - Minimum age 6 years old
 - Children's policy does not apply on especific dates.
</t>
    </r>
    <r>
      <rPr>
        <b/>
        <sz val="12"/>
        <color theme="1"/>
        <rFont val="Calibri"/>
        <family val="2"/>
        <scheme val="minor"/>
      </rPr>
      <t>Peak Season:</t>
    </r>
    <r>
      <rPr>
        <sz val="12"/>
        <color theme="1"/>
        <rFont val="Calibri"/>
        <family val="2"/>
        <scheme val="minor"/>
      </rPr>
      <t xml:space="preserve"> Dec 22 - 26, Dec 26 - 30  &amp; Dec 30 - Jan 05</t>
    </r>
  </si>
  <si>
    <t>cruise_name</t>
  </si>
  <si>
    <t>cruise_type</t>
  </si>
  <si>
    <t>cruise_category</t>
  </si>
  <si>
    <t>description</t>
  </si>
  <si>
    <t>comercial_name</t>
  </si>
  <si>
    <t>arrival_port</t>
  </si>
  <si>
    <t>modality</t>
  </si>
  <si>
    <t>pax</t>
  </si>
  <si>
    <t>web_page</t>
  </si>
  <si>
    <t>included</t>
  </si>
  <si>
    <t>information</t>
  </si>
  <si>
    <t>medic</t>
  </si>
  <si>
    <t>tc</t>
  </si>
  <si>
    <t>internet</t>
  </si>
  <si>
    <t>cost</t>
  </si>
  <si>
    <t>wetsuits</t>
  </si>
  <si>
    <t>restrictions</t>
  </si>
  <si>
    <t>cruise_format</t>
  </si>
  <si>
    <t>cruise_itinerary</t>
  </si>
  <si>
    <t>cabine_type</t>
  </si>
  <si>
    <t>cabine_spec</t>
  </si>
  <si>
    <t>net_rate</t>
  </si>
  <si>
    <t>operator_name</t>
  </si>
  <si>
    <t>guide_number</t>
  </si>
  <si>
    <t>staff_number</t>
  </si>
  <si>
    <t>additional_services</t>
  </si>
  <si>
    <t>id</t>
  </si>
  <si>
    <t>cruise_id</t>
  </si>
  <si>
    <t>quantity</t>
  </si>
  <si>
    <t>owner_name</t>
  </si>
  <si>
    <t>BARCO</t>
  </si>
  <si>
    <t>PAYLOAD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</si>
</sst>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 &quot;$&quot;* #,##0.00_ ;_ &quot;$&quot;* \-#,##0.00_ ;_ &quot;$&quot;* &quot;-&quot;??_ ;_ @_ "/>
    <numFmt numFmtId="43" formatCode="_ * #,##0.00_ ;_ * \-#,##0.00_ ;_ * &quot;-&quot;??_ ;_ @_ "/>
  </numFmts>
  <fonts count="7">
    <font>
      <sz val="12"/>
      <color theme="1"/>
      <name val="Calibri"/>
      <family val="2"/>
      <scheme val="minor"/>
    </font>
    <font>
      <sz val="12"/>
      <color theme="1"/>
      <name val="Calibri"/>
      <family val="2"/>
      <scheme val="minor"/>
    </font>
    <font>
      <sz val="12"/>
      <color theme="1"/>
      <name val="Calibri"/>
      <family val="2"/>
      <scheme val="minor"/>
    </font>
    <font>
      <b/>
      <sz val="12"/>
      <color theme="1"/>
      <name val="Calibri"/>
      <family val="2"/>
      <scheme val="minor"/>
    </font>
    <font>
      <sz val="12"/>
      <color rgb="FF000000"/>
      <name val="Calibri"/>
    </font>
    <font>
      <u/>
      <sz val="12"/>
      <color theme="10"/>
      <name val="Calibri"/>
      <family val="2"/>
      <scheme val="minor"/>
    </font>
    <font>
      <sz val="12"/>
      <color theme="1"/>
      <name val="Calibri (Cuerpo)"/>
    </font>
  </fonts>
  <fills count="5">
    <fill>
      <patternFill patternType="none"/>
    </fill>
    <fill>
      <patternFill patternType="gray125"/>
    </fill>
    <fill>
      <patternFill patternType="solid">
        <fgColor theme="4" tint="0.79998168889431442"/>
        <bgColor indexed="64"/>
      </patternFill>
    </fill>
    <fill>
      <patternFill patternType="solid">
        <fgColor theme="7" tint="0.79998168889431442"/>
        <bgColor indexed="64"/>
      </patternFill>
    </fill>
    <fill>
      <patternFill patternType="solid">
        <fgColor theme="9" tint="0.79998168889431442"/>
        <bgColor indexed="64"/>
      </patternFill>
    </fill>
  </fills>
  <borders count="1">
    <border>
      <left/>
      <right/>
      <top/>
      <bottom/>
      <diagonal/>
    </border>
  </borders>
  <cellStyleXfs count="4">
    <xf numFmtId="0" fontId="0" fillId="0" borderId="0"/>
    <xf numFmtId="43" fontId="2" fillId="0" borderId="0" applyFont="0" applyFill="0" applyBorder="0" applyAlignment="0" applyProtection="0"/>
    <xf numFmtId="0" fontId="5" fillId="0" borderId="0" applyNumberFormat="0" applyFill="0" applyBorder="0" applyAlignment="0" applyProtection="0"/>
    <xf numFmtId="44" fontId="1" fillId="0" borderId="0" applyFont="0" applyFill="0" applyBorder="0" applyAlignment="0" applyProtection="0"/>
  </cellStyleXfs>
  <cellXfs count="22">
    <xf numFmtId="0" fontId="0" fillId="0" borderId="0" xfId="0"/>
    <xf numFmtId="0" fontId="0" fillId="2" borderId="0" xfId="0" applyFill="1" applyAlignment="1">
      <alignment horizontal="center" vertical="center"/>
    </xf>
    <xf numFmtId="0" fontId="0" fillId="2" borderId="0" xfId="0" applyFill="1" applyAlignment="1">
      <alignment vertical="center"/>
    </xf>
    <xf numFmtId="0" fontId="4" fillId="2" borderId="0" xfId="0" applyFont="1" applyFill="1" applyAlignment="1">
      <alignment vertical="center"/>
    </xf>
    <xf numFmtId="0" fontId="0" fillId="2" borderId="0" xfId="0" applyFill="1" applyAlignment="1">
      <alignment vertical="center" wrapText="1"/>
    </xf>
    <xf numFmtId="0" fontId="0" fillId="2" borderId="0" xfId="0" applyFill="1" applyAlignment="1">
      <alignment horizontal="center" vertical="center" wrapText="1"/>
    </xf>
    <xf numFmtId="0" fontId="5" fillId="2" borderId="0" xfId="2" applyFill="1" applyAlignment="1">
      <alignment horizontal="center" vertical="center" wrapText="1"/>
    </xf>
    <xf numFmtId="0" fontId="0" fillId="3" borderId="0" xfId="0" applyFill="1" applyAlignment="1">
      <alignment vertical="center" wrapText="1"/>
    </xf>
    <xf numFmtId="0" fontId="0" fillId="3" borderId="0" xfId="0" applyFill="1" applyAlignment="1">
      <alignment vertical="center"/>
    </xf>
    <xf numFmtId="0" fontId="0" fillId="3" borderId="0" xfId="0" applyFill="1" applyAlignment="1">
      <alignment horizontal="center" vertical="center"/>
    </xf>
    <xf numFmtId="44" fontId="0" fillId="3" borderId="0" xfId="3" applyFont="1" applyFill="1" applyAlignment="1">
      <alignment vertical="center"/>
    </xf>
    <xf numFmtId="0" fontId="6" fillId="3" borderId="0" xfId="0" applyFont="1" applyFill="1" applyAlignment="1">
      <alignment vertical="center" wrapText="1"/>
    </xf>
    <xf numFmtId="43" fontId="0" fillId="3" borderId="0" xfId="1" applyFont="1" applyFill="1" applyAlignment="1">
      <alignment vertical="center" wrapText="1"/>
    </xf>
    <xf numFmtId="0" fontId="0" fillId="4" borderId="0" xfId="0" applyFill="1" applyAlignment="1">
      <alignment horizontal="center" vertical="center" wrapText="1"/>
    </xf>
    <xf numFmtId="0" fontId="3" fillId="4" borderId="0" xfId="0" applyFont="1" applyFill="1" applyAlignment="1">
      <alignment horizontal="center" vertical="center" wrapText="1"/>
    </xf>
    <xf numFmtId="0" fontId="3" fillId="2" borderId="0" xfId="0" applyFont="1" applyFill="1" applyAlignment="1">
      <alignment horizontal="center" vertical="center" wrapText="1"/>
    </xf>
    <xf numFmtId="0" fontId="3" fillId="2" borderId="0" xfId="0" applyFont="1" applyFill="1" applyAlignment="1">
      <alignment horizontal="center" vertical="center"/>
    </xf>
    <xf numFmtId="0" fontId="3" fillId="3" borderId="0" xfId="0" applyFont="1" applyFill="1" applyAlignment="1">
      <alignment horizontal="center" vertical="center" wrapText="1"/>
    </xf>
    <xf numFmtId="0" fontId="3" fillId="3" borderId="0" xfId="0" applyFont="1" applyFill="1" applyAlignment="1">
      <alignment horizontal="center" vertical="center"/>
    </xf>
    <xf numFmtId="0" fontId="3" fillId="2" borderId="0" xfId="0" applyFont="1" applyFill="1" applyAlignment="1">
      <alignment horizontal="center" vertical="center"/>
    </xf>
    <xf numFmtId="0" fontId="3" fillId="2" borderId="0" xfId="0" applyFont="1" applyFill="1" applyAlignment="1">
      <alignment horizontal="center" vertical="center"/>
    </xf>
    <xf numFmtId="0" fontId="3" fillId="2" borderId="0" xfId="0" applyFont="1" applyFill="1" applyAlignment="1">
      <alignment horizontal="center" vertical="center"/>
    </xf>
  </cellXfs>
  <cellStyles count="4">
    <cellStyle name="Comma" xfId="1" builtinId="3"/>
    <cellStyle name="Currency" xfId="3" builtinId="4"/>
    <cellStyle name="Hyperlink" xfId="2" builtinId="8"/>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infinity-galapagos.com/" TargetMode="External"/><Relationship Id="rId2" Type="http://schemas.openxmlformats.org/officeDocument/2006/relationships/hyperlink" Target="https://www.royalgalapagos.com/product/cormorant/" TargetMode="External"/><Relationship Id="rId1" Type="http://schemas.openxmlformats.org/officeDocument/2006/relationships/hyperlink" Target="https://www.royalgalapagos.com/product/grand-majestic/" TargetMode="External"/><Relationship Id="rId5" Type="http://schemas.openxmlformats.org/officeDocument/2006/relationships/hyperlink" Target="https://www.lapintagalapagoscruise.com/" TargetMode="External"/><Relationship Id="rId4" Type="http://schemas.openxmlformats.org/officeDocument/2006/relationships/hyperlink" Target="https://www.yachtisabela.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5FCB24-EC57-4A0D-975D-9742AEAFFAA2}">
  <dimension ref="A1:Y32"/>
  <sheetViews>
    <sheetView tabSelected="1" workbookViewId="0">
      <selection activeCell="A2" sqref="A2"/>
    </sheetView>
  </sheetViews>
  <sheetFormatPr defaultRowHeight="28.2" customHeight="1"/>
  <cols>
    <col min="2" max="2" width="18.59765625" bestFit="1" customWidth="1"/>
    <col min="3" max="3" width="19.3984375" bestFit="1" customWidth="1"/>
    <col min="4" max="4" width="16.69921875" bestFit="1" customWidth="1"/>
    <col min="5" max="5" width="8.19921875" bestFit="1" customWidth="1"/>
    <col min="6" max="6" width="24.796875" bestFit="1" customWidth="1"/>
    <col min="7" max="7" width="32.69921875" bestFit="1" customWidth="1"/>
    <col min="8" max="8" width="31.796875" bestFit="1" customWidth="1"/>
    <col min="9" max="9" width="26.69921875" bestFit="1" customWidth="1"/>
    <col min="10" max="10" width="12.3984375" bestFit="1" customWidth="1"/>
    <col min="11" max="11" width="3.8984375" bestFit="1" customWidth="1"/>
    <col min="12" max="12" width="44.69921875" bestFit="1" customWidth="1"/>
    <col min="13" max="13" width="18.19921875" bestFit="1" customWidth="1"/>
    <col min="14" max="14" width="85.69921875" bestFit="1" customWidth="1"/>
    <col min="15" max="15" width="13.5" bestFit="1" customWidth="1"/>
    <col min="16" max="16" width="12.3984375" bestFit="1" customWidth="1"/>
    <col min="17" max="17" width="6" bestFit="1" customWidth="1"/>
    <col min="18" max="18" width="2.5" bestFit="1" customWidth="1"/>
    <col min="19" max="19" width="7.8984375" bestFit="1" customWidth="1"/>
    <col min="20" max="20" width="4.3984375" bestFit="1" customWidth="1"/>
    <col min="21" max="21" width="8" bestFit="1" customWidth="1"/>
    <col min="22" max="22" width="9.09765625" bestFit="1" customWidth="1"/>
    <col min="23" max="23" width="10.5" bestFit="1" customWidth="1"/>
    <col min="24" max="24" width="31.796875" bestFit="1" customWidth="1"/>
    <col min="25" max="25" width="255.69921875" bestFit="1" customWidth="1"/>
  </cols>
  <sheetData>
    <row r="1" spans="1:25" ht="28.2" customHeight="1">
      <c r="A1" t="s">
        <v>623</v>
      </c>
      <c r="B1" s="19" t="s">
        <v>597</v>
      </c>
      <c r="C1" s="19" t="s">
        <v>598</v>
      </c>
      <c r="D1" s="19" t="s">
        <v>599</v>
      </c>
      <c r="E1" s="15" t="s">
        <v>600</v>
      </c>
      <c r="F1" s="19" t="s">
        <v>626</v>
      </c>
      <c r="G1" s="19" t="s">
        <v>619</v>
      </c>
      <c r="H1" s="15" t="s">
        <v>601</v>
      </c>
      <c r="I1" s="19" t="s">
        <v>602</v>
      </c>
      <c r="J1" s="19" t="s">
        <v>603</v>
      </c>
      <c r="K1" s="19" t="s">
        <v>604</v>
      </c>
      <c r="L1" s="15" t="s">
        <v>605</v>
      </c>
      <c r="M1" s="19" t="s">
        <v>606</v>
      </c>
      <c r="N1" s="15" t="s">
        <v>607</v>
      </c>
      <c r="O1" s="19" t="s">
        <v>620</v>
      </c>
      <c r="P1" s="19" t="s">
        <v>621</v>
      </c>
      <c r="Q1" s="19" t="s">
        <v>608</v>
      </c>
      <c r="R1" s="15" t="s">
        <v>609</v>
      </c>
      <c r="S1" s="15" t="s">
        <v>610</v>
      </c>
      <c r="T1" s="15" t="s">
        <v>611</v>
      </c>
      <c r="U1" s="15" t="s">
        <v>612</v>
      </c>
      <c r="V1" s="15" t="s">
        <v>622</v>
      </c>
      <c r="W1" s="19" t="s">
        <v>613</v>
      </c>
      <c r="X1" s="18" t="s">
        <v>614</v>
      </c>
      <c r="Y1" s="18" t="s">
        <v>615</v>
      </c>
    </row>
    <row r="2" spans="1:25" ht="28.2" customHeight="1">
      <c r="A2">
        <v>1</v>
      </c>
      <c r="B2" s="3" t="s">
        <v>198</v>
      </c>
      <c r="C2" s="2" t="s">
        <v>13</v>
      </c>
      <c r="D2" s="2" t="s">
        <v>36</v>
      </c>
      <c r="E2" s="2"/>
      <c r="F2" s="2" t="s">
        <v>332</v>
      </c>
      <c r="G2" s="2" t="s">
        <v>332</v>
      </c>
      <c r="H2" s="2" t="s">
        <v>333</v>
      </c>
      <c r="I2" s="2" t="s">
        <v>12</v>
      </c>
      <c r="J2" s="2" t="s">
        <v>10</v>
      </c>
      <c r="K2" s="1">
        <v>16</v>
      </c>
      <c r="L2" s="1" t="s">
        <v>344</v>
      </c>
      <c r="M2" s="2"/>
      <c r="N2" s="4"/>
      <c r="O2" s="1">
        <v>1</v>
      </c>
      <c r="P2" s="1"/>
      <c r="Q2" s="1" t="s">
        <v>8</v>
      </c>
      <c r="R2" s="5"/>
      <c r="S2" s="5"/>
      <c r="T2" s="5"/>
      <c r="U2" s="5"/>
      <c r="V2" s="1"/>
      <c r="W2" s="1"/>
      <c r="X2" s="7" t="s">
        <v>87</v>
      </c>
      <c r="Y2" s="7" t="str">
        <f>+LOOKUP(B2,ITINERARY!C$2:C$32,ITINERARY!B$2:B$32)</f>
        <v>[,,,Baltra Transfer to boat / Santa Cruz Punta Carrión &amp; Canal de Itabaca PM ,Santa Cruz Punta Carrión &amp; Bartolomé Punta AM / Bartolomé land visit PM,Wolf AM / PM,Darwin AM / PM,Isabela Cabo Marshal AM / PM ,Fernandina Cabo Douglas AM / Isabela Punta Vicente Roca PM,Santiago Cousins Rocks AM / Santa Cruz visita tierra PM,Baltra transfer to airport,,,]</v>
      </c>
    </row>
    <row r="3" spans="1:25" ht="28.2" customHeight="1">
      <c r="A3">
        <v>2</v>
      </c>
      <c r="B3" s="2" t="s">
        <v>146</v>
      </c>
      <c r="C3" s="2" t="s">
        <v>76</v>
      </c>
      <c r="D3" s="2" t="s">
        <v>35</v>
      </c>
      <c r="E3" s="2"/>
      <c r="F3" s="2" t="s">
        <v>286</v>
      </c>
      <c r="G3" s="2" t="s">
        <v>287</v>
      </c>
      <c r="H3" s="2" t="s">
        <v>287</v>
      </c>
      <c r="I3" s="2" t="s">
        <v>12</v>
      </c>
      <c r="J3" s="2" t="s">
        <v>9</v>
      </c>
      <c r="K3" s="1">
        <v>16</v>
      </c>
      <c r="L3" s="5" t="s">
        <v>147</v>
      </c>
      <c r="M3" s="2"/>
      <c r="N3" s="4"/>
      <c r="O3" s="1">
        <v>1</v>
      </c>
      <c r="P3" s="1"/>
      <c r="Q3" s="1"/>
      <c r="R3" s="5"/>
      <c r="S3" s="5"/>
      <c r="T3" s="5"/>
      <c r="U3" s="5"/>
      <c r="V3" s="1"/>
      <c r="W3" s="1"/>
      <c r="X3" s="8" t="s">
        <v>77</v>
      </c>
      <c r="Y3" s="7" t="str">
        <f>+LOOKUP(B3,ITINERARY!C$2:C$32,ITINERARY!B$2:B$32)</f>
        <v>[Santa Cruz (Charles Darwin Station / Highlands),Isabela (Moreno Point - Elizabeth Bay),Isabela (Urbina Bay) / Fernandina (Espinoza Point),Isabela ( Tagus Cove / Vicente Roca Point),Santiago (Espumilla Beach / Egas Port),Santa Cruz (Bachas / North Seymour,South Plaza / Santa Fe,San Cristobal (Interpretation Center / Lobos Island),Española,Floreana,Santa Cruz (Highlands / Black Turttle Cove),Genovesa,Santiago (Sullivan Bay) / Bartolomé,Chinese Hat / Mosquera Islet]</v>
      </c>
    </row>
    <row r="4" spans="1:25" ht="28.2" customHeight="1">
      <c r="A4">
        <v>3</v>
      </c>
      <c r="B4" s="3" t="s">
        <v>199</v>
      </c>
      <c r="C4" s="2" t="s">
        <v>13</v>
      </c>
      <c r="D4" s="2" t="s">
        <v>36</v>
      </c>
      <c r="E4" s="2"/>
      <c r="F4" s="2" t="s">
        <v>361</v>
      </c>
      <c r="G4" s="2"/>
      <c r="H4" s="2" t="s">
        <v>360</v>
      </c>
      <c r="I4" s="2" t="s">
        <v>12</v>
      </c>
      <c r="J4" s="2" t="s">
        <v>9</v>
      </c>
      <c r="K4" s="1">
        <v>16</v>
      </c>
      <c r="L4" s="5" t="s">
        <v>375</v>
      </c>
      <c r="M4" s="2"/>
      <c r="N4" s="4"/>
      <c r="O4" s="1">
        <v>1</v>
      </c>
      <c r="P4" s="1"/>
      <c r="Q4" s="1"/>
      <c r="R4" s="5"/>
      <c r="S4" s="5"/>
      <c r="T4" s="5"/>
      <c r="U4" s="5"/>
      <c r="V4" s="1"/>
      <c r="W4" s="1"/>
      <c r="X4" s="7" t="s">
        <v>363</v>
      </c>
      <c r="Y4" s="7" t="str">
        <f>+LOOKUP(B4,ITINERARY!C$2:C$32,ITINERARY!B$2:B$32)</f>
        <v>[,,Baltra Transfer to boat /  Santa Cruz Highlands PM (A) (B solo highlands),Santiago Sullivan Bay AM / Rábida PM (A &amp; B),Isabela Punta Vicente Roca AM / Fernandina Punta Espinosa PM (A &amp; B),Isabela Tintoreras AM / Wetlands PM (A &amp; B),Mosquera AM / North Seymour PM (A) (B OUT solo Mosquera) (C IN solo North Seymour),Floreana Post Office Bay AM / Punta Cormorant PM (A &amp; C),South Plaza AM  / Santa Fe PM (A &amp; C),Santa Cruz Bachas Beach / Transfer to airport AM (A) (C solo Bachan &amp; overnight en Hotel),Santa Cruz Charles Darwin Station / Transfer to airport AM (C ),,,]</v>
      </c>
    </row>
    <row r="5" spans="1:25" ht="28.2" customHeight="1">
      <c r="A5">
        <v>4</v>
      </c>
      <c r="B5" s="3" t="s">
        <v>86</v>
      </c>
      <c r="C5" s="2" t="s">
        <v>13</v>
      </c>
      <c r="D5" s="2" t="s">
        <v>36</v>
      </c>
      <c r="E5" s="2"/>
      <c r="F5" s="2" t="s">
        <v>345</v>
      </c>
      <c r="G5" s="2"/>
      <c r="H5" s="2" t="s">
        <v>346</v>
      </c>
      <c r="I5" s="2" t="s">
        <v>11</v>
      </c>
      <c r="J5" s="2" t="s">
        <v>10</v>
      </c>
      <c r="K5" s="1">
        <v>16</v>
      </c>
      <c r="L5" s="5" t="s">
        <v>353</v>
      </c>
      <c r="M5" s="2"/>
      <c r="N5" s="4"/>
      <c r="O5" s="1">
        <v>1</v>
      </c>
      <c r="P5" s="1"/>
      <c r="Q5" s="1" t="s">
        <v>8</v>
      </c>
      <c r="R5" s="5"/>
      <c r="S5" s="5"/>
      <c r="T5" s="5"/>
      <c r="U5" s="5"/>
      <c r="V5" s="1"/>
      <c r="W5" s="1"/>
      <c r="X5" s="7" t="s">
        <v>87</v>
      </c>
      <c r="Y5" s="7" t="str">
        <f>+LOOKUP(B5,ITINERARY!C$2:C$32,ITINERARY!B$2:B$32)</f>
        <v>[,,,San Cristobal Transfer to boat / Check dive Isla Lobos,Santa Cruz Punta Carrión AM / Seymour PM,Wolf AM / PM,Darwin AM / PM,Darwin AM / Wolf PM,Isabela Cabo Marshall (Ene-Jun)  AMPM / Fernandina Cabo Douglas &amp; Isabela Punta Vicente Roca (Jul-Dic) AMPM,Santiago Roca Cousin AM / Santa Cruz visita tierra PM,Santa Cruz Breeding Center / Transfer to airport,,,]</v>
      </c>
    </row>
    <row r="6" spans="1:25" ht="28.2" customHeight="1">
      <c r="A6">
        <v>5</v>
      </c>
      <c r="B6" s="2" t="s">
        <v>137</v>
      </c>
      <c r="C6" s="2" t="s">
        <v>15</v>
      </c>
      <c r="D6" s="2" t="s">
        <v>35</v>
      </c>
      <c r="E6" s="2"/>
      <c r="F6" s="4" t="s">
        <v>417</v>
      </c>
      <c r="G6" s="2"/>
      <c r="H6" s="2" t="s">
        <v>418</v>
      </c>
      <c r="I6" s="2" t="s">
        <v>11</v>
      </c>
      <c r="J6" s="2" t="s">
        <v>9</v>
      </c>
      <c r="K6" s="1">
        <v>16</v>
      </c>
      <c r="L6" s="5" t="s">
        <v>145</v>
      </c>
      <c r="M6" s="2"/>
      <c r="N6" s="4"/>
      <c r="O6" s="1">
        <v>1</v>
      </c>
      <c r="P6" s="1"/>
      <c r="Q6" s="1"/>
      <c r="R6" s="5"/>
      <c r="S6" s="5"/>
      <c r="T6" s="5"/>
      <c r="U6" s="5"/>
      <c r="V6" s="1"/>
      <c r="W6" s="1"/>
      <c r="X6" s="8" t="s">
        <v>83</v>
      </c>
      <c r="Y6" s="7" t="str">
        <f>+LOOKUP(B6,ITINERARY!C$2:C$32,ITINERARY!B$2:B$32)</f>
        <v>[Española,Santa Cruz (Bachas) / Bartolomé,Rábida / Santiago (Egas Port),Genovesa,Mosquera Islet / Santa Cruz (Highlands),North Seymour / Santiago (Sullivan Bay),Isabela (Vicente Roca Point) / Fernandina (Espinoza Point),Isabela (Tagus Cove / Urbina Bay),Isabela (Elizabeth Bay / Moreno Point),Santa Cruz (Charles Darwin Station / Highlands),Santa Fe / South Plaza,Floreana,San Cristobal (Interpretation Center / Lobos Island / Kicker Rock),San Cristobal (Pitt Point / Witch Hill)]</v>
      </c>
    </row>
    <row r="7" spans="1:25" ht="28.2" customHeight="1">
      <c r="A7">
        <v>6</v>
      </c>
      <c r="B7" s="2" t="s">
        <v>485</v>
      </c>
      <c r="C7" s="2" t="s">
        <v>76</v>
      </c>
      <c r="D7" s="2" t="s">
        <v>35</v>
      </c>
      <c r="E7" s="2"/>
      <c r="F7" s="2" t="s">
        <v>364</v>
      </c>
      <c r="G7" s="2" t="s">
        <v>364</v>
      </c>
      <c r="H7" s="2" t="s">
        <v>205</v>
      </c>
      <c r="I7" s="2" t="s">
        <v>11</v>
      </c>
      <c r="J7" s="2" t="s">
        <v>9</v>
      </c>
      <c r="K7" s="1">
        <v>16</v>
      </c>
      <c r="L7" s="6" t="s">
        <v>490</v>
      </c>
      <c r="M7" s="4" t="s">
        <v>491</v>
      </c>
      <c r="N7" s="4" t="s">
        <v>492</v>
      </c>
      <c r="O7" s="1">
        <v>1</v>
      </c>
      <c r="P7" s="1">
        <v>10</v>
      </c>
      <c r="Q7" s="1" t="s">
        <v>8</v>
      </c>
      <c r="R7" s="5"/>
      <c r="S7" s="5"/>
      <c r="T7" s="5"/>
      <c r="U7" s="5"/>
      <c r="V7" s="1"/>
      <c r="W7" s="1"/>
      <c r="X7" s="8" t="s">
        <v>493</v>
      </c>
      <c r="Y7" s="7" t="str">
        <f>+LOOKUP(B7,ITINERARY!C$2:C$32,ITINERARY!B$2:B$32)</f>
        <v>[South Plaza  AM / Santa Fe PM (8D7N A),San Cristobal Pitt Point AM / Witch Hill PM  (8D7N A),San Cristobal Breeding Center AM / Lobos Island / Kicker Rock PM (8D7N A),Española Punta Suáez AM / Gardner Bay &amp; Islote Gardner PM (8D7N A),Floreana Post Office Bay / Baroness Viewpoint AM + Cormorant Point / Champion islet PM (8D7N A),Santa Cruz  Twin Craters / Transfer to airport AM (8D7N A OUT)
Baltra Transfer to boat / Santa Cruz Highlands / Tortoise Breeding Center PM (8D7N B IN),Isabela Tintoreras + Sierra Negra AM / Wetlands + Breeding Center PM (8D7N B),Isabela Moreno Point AM / Elizabeth Bay PM (8D7N B),Fernandina Espinoza Point AM / Isabela Vicente Roca Point PM (8D7N B),Santiago Egas Port AM / Espumilla Beach +  Buccaneer Cove PM (8D7N B),Bartholomew island AM / Santiago Sullivan Bay PM (8D7N B),Santiago Chinese Hat AM / Santa Cruz Dragon Hill PM (8D7N B),Baltra Transfer to boat / Santa Cruz Bachas Beach PM (8D7N A IN)
North Seymour island / Transfer to airport AM (8D7N B OUT),Genovesa El Barranco AM / Darwin Bay PM (8D7N A)]</v>
      </c>
    </row>
    <row r="8" spans="1:25" ht="28.2" customHeight="1">
      <c r="A8">
        <v>7</v>
      </c>
      <c r="B8" s="3" t="s">
        <v>196</v>
      </c>
      <c r="C8" s="2" t="s">
        <v>14</v>
      </c>
      <c r="D8" s="2" t="s">
        <v>36</v>
      </c>
      <c r="E8" s="2"/>
      <c r="F8" s="2" t="s">
        <v>286</v>
      </c>
      <c r="G8" s="2" t="s">
        <v>287</v>
      </c>
      <c r="H8" s="2" t="s">
        <v>287</v>
      </c>
      <c r="I8" s="2" t="s">
        <v>12</v>
      </c>
      <c r="J8" s="2" t="s">
        <v>9</v>
      </c>
      <c r="K8" s="1">
        <v>16</v>
      </c>
      <c r="L8" s="5" t="s">
        <v>303</v>
      </c>
      <c r="M8" s="2"/>
      <c r="N8" s="4"/>
      <c r="O8" s="1">
        <v>1</v>
      </c>
      <c r="P8" s="1">
        <v>8</v>
      </c>
      <c r="Q8" s="1" t="s">
        <v>8</v>
      </c>
      <c r="R8" s="5"/>
      <c r="S8" s="5"/>
      <c r="T8" s="5"/>
      <c r="U8" s="5"/>
      <c r="V8" s="1"/>
      <c r="W8" s="1"/>
      <c r="X8" s="7" t="s">
        <v>288</v>
      </c>
      <c r="Y8" s="7" t="str">
        <f>+LOOKUP(B8,ITINERARY!C$2:C$32,ITINERARY!B$2:B$32)</f>
        <v>[Española Punta Suárez AM / Española Gardner Bay + Gardner Islet + Osborn Islet PM (C ),San Cristóbal Centro de Interpretación / Traslado aeropuerto AM (C ) - San Cristóbal Transfer barco / Isla Lobos PM (A),Santa Fe AM / Plazas Sur PM (A),Seymour Norte AM / Islote Mosquera PM (A),Genovesa Darwin Bay AM / Barranco PM (A),Santa Cruz Highlands AM / Transfer Baltra (A)  -  Baltra transfer barco / Estación Charles Darwin PM (B),Isabela Punta Moreno AM / Elizabeht Bay PM (B),Isabela Urbina Bay AM / Tagus Cove PM (B),Fernandina Punta Espinosa AM / Isabela Punta Vicente Roca PM (B),Santiago Puerto Egas AM / Rábida  PM (B),Santa Cruz Black Turtle Cove AM / Transfer aeropuerto (B) - Baltra traslado barco / Santa Cruz Bachas Beach PM (C ),Santiago Sullivan Bay AM / Bartolomé PM (C ),Santa Cruz Highlands AM / Estación Charles Darwin PM (C ),Floreana Cormorant Point + Devil's Crown AM / Post Office Bay PM (C )]</v>
      </c>
    </row>
    <row r="9" spans="1:25" ht="28.2" customHeight="1">
      <c r="A9">
        <v>8</v>
      </c>
      <c r="B9" s="2" t="s">
        <v>57</v>
      </c>
      <c r="C9" s="2" t="s">
        <v>13</v>
      </c>
      <c r="D9" s="2" t="s">
        <v>35</v>
      </c>
      <c r="E9" s="2"/>
      <c r="F9" s="2" t="s">
        <v>311</v>
      </c>
      <c r="G9" s="2"/>
      <c r="H9" s="2" t="s">
        <v>313</v>
      </c>
      <c r="I9" s="2" t="s">
        <v>11</v>
      </c>
      <c r="J9" s="2" t="s">
        <v>9</v>
      </c>
      <c r="K9" s="1">
        <v>16</v>
      </c>
      <c r="L9" s="5" t="s">
        <v>73</v>
      </c>
      <c r="M9" s="2"/>
      <c r="N9" s="4"/>
      <c r="O9" s="1">
        <v>1</v>
      </c>
      <c r="P9" s="1"/>
      <c r="Q9" s="1"/>
      <c r="R9" s="5"/>
      <c r="S9" s="5"/>
      <c r="T9" s="5"/>
      <c r="U9" s="5"/>
      <c r="V9" s="1"/>
      <c r="W9" s="1"/>
      <c r="X9" s="8" t="s">
        <v>59</v>
      </c>
      <c r="Y9" s="7" t="str">
        <f>+LOOKUP(B9,ITINERARY!C$2:C$32,ITINERARY!B$2:B$32)</f>
        <v>[Isabela (Tintorera - Sierra Negra) / Breeding Center,Isabela (Moreno Point - Urbina Bay),Fernandina  (Espinoza Point) Isabela (Vicente Roca Point),Rabida / Bartolomé,San Cristobal (Kicker Rock / Witch Hill / Giant Tortoise Reserve,San Cristobal Interpretation Center / Breeding Center,Española (Suarez Point - Gardner Bay - Gardner y Osborn Islets),Floreana (Cormorant Point / Post Office Bay, Baroness Lockout),Mosquera / Santa Cruz (Charles Darwin Station),Genovesa,Santiago (Buccaneer Cove y Espumilla Beach / Egas Port),Santa Cruz (Bachas / Twins and Highlands),San Cristobal (Isla Lobos /  El Junco Lagoon),North Seymour /  Santa Cruz (Dragon Hill)]</v>
      </c>
    </row>
    <row r="10" spans="1:25" ht="28.2" customHeight="1">
      <c r="A10">
        <v>9</v>
      </c>
      <c r="B10" s="2" t="s">
        <v>39</v>
      </c>
      <c r="C10" s="2" t="s">
        <v>76</v>
      </c>
      <c r="D10" s="2" t="s">
        <v>35</v>
      </c>
      <c r="E10" s="2"/>
      <c r="F10" s="2" t="s">
        <v>226</v>
      </c>
      <c r="G10" s="2"/>
      <c r="H10" s="2" t="s">
        <v>313</v>
      </c>
      <c r="I10" s="2" t="s">
        <v>12</v>
      </c>
      <c r="J10" s="2" t="s">
        <v>9</v>
      </c>
      <c r="K10" s="1">
        <v>16</v>
      </c>
      <c r="L10" s="5" t="s">
        <v>55</v>
      </c>
      <c r="M10" s="2"/>
      <c r="N10" s="4"/>
      <c r="O10" s="1">
        <v>1</v>
      </c>
      <c r="P10" s="1"/>
      <c r="Q10" s="1"/>
      <c r="R10" s="5"/>
      <c r="S10" s="5"/>
      <c r="T10" s="5"/>
      <c r="U10" s="5"/>
      <c r="V10" s="1"/>
      <c r="W10" s="1"/>
      <c r="X10" s="8" t="s">
        <v>40</v>
      </c>
      <c r="Y10" s="7" t="str">
        <f>+LOOKUP(B10,ITINERARY!C$2:C$32,ITINERARY!B$2:B$32)</f>
        <v>[Genovesa,Los Gemelos - Santiago (Sullivan),Isabela (Humedales, Sierra Negra, Centro Interpretación),Isabela (Elizabeth y Urbina Bay) ,Isabela (Tagus Cove) Fernandina Pta Espinoza),Santiago (Caleta Bucanero y Playa Espumilla),Islote Mosquera - Santa Cruz (Dragon Hill),San Cristóbal (Kicker Rock, Witch Hill, Isla Lobos),Española (Gardner Bay) - Orborn y Gardner Islets - Española Suarez Point,Santa Fe - Santa Cruz (Charles Darwin Station),South Plaza - Bartolomé, Floreana (Devil's Crowm- Cormorant Point The  Varoness Overlook, Post Office),Santiago (Chiness Hut) - North Seymour,Santa Cruz (Black Turtle Cove - Las Bachas)]</v>
      </c>
    </row>
    <row r="11" spans="1:25" ht="28.2" customHeight="1">
      <c r="A11">
        <v>10</v>
      </c>
      <c r="B11" s="2" t="s">
        <v>158</v>
      </c>
      <c r="C11" s="2" t="s">
        <v>13</v>
      </c>
      <c r="D11" s="2" t="s">
        <v>35</v>
      </c>
      <c r="E11" s="2"/>
      <c r="F11" s="2" t="s">
        <v>420</v>
      </c>
      <c r="G11" s="2" t="s">
        <v>419</v>
      </c>
      <c r="H11" s="2" t="s">
        <v>246</v>
      </c>
      <c r="I11" s="2" t="s">
        <v>12</v>
      </c>
      <c r="J11" s="2" t="s">
        <v>9</v>
      </c>
      <c r="K11" s="1">
        <v>32</v>
      </c>
      <c r="L11" s="5" t="s">
        <v>169</v>
      </c>
      <c r="M11" s="2"/>
      <c r="N11" s="4"/>
      <c r="O11" s="1"/>
      <c r="P11" s="1"/>
      <c r="Q11" s="1"/>
      <c r="R11" s="5"/>
      <c r="S11" s="5"/>
      <c r="T11" s="5"/>
      <c r="U11" s="5"/>
      <c r="V11" s="1"/>
      <c r="W11" s="1"/>
      <c r="X11" s="8" t="s">
        <v>83</v>
      </c>
      <c r="Y11" s="7" t="str">
        <f>+LOOKUP(B11,ITINERARY!C$2:C$32,ITINERARY!B$2:B$32)</f>
        <v>[Isabela (Urbina Bay / Tagus Cove),Bartolomé - Santiago (Sullivan Bay),Santa Cruz (Bachas) / Rábida,Santa Cruz ( Highlands / Charles Darwin Station),Española,San Cristobal (interpretation Center / Witch Hill,South Plaza / Punta Carrión Island / Mosquera Islet,Chinese Hat / Santiago (Egas Port),Genovesa,North Seymour / Santa Fe,Floreana,Santa Cruz (Highlands / Charles Darin Station),Santa Cruz (Black Turttle Cove) / Daphne Island,Isabela (Vicente Roca Point / Fernandina (Espinoza Point)]</v>
      </c>
    </row>
    <row r="12" spans="1:25" ht="28.2" customHeight="1">
      <c r="A12">
        <v>11</v>
      </c>
      <c r="B12" s="2" t="s">
        <v>184</v>
      </c>
      <c r="C12" s="2" t="s">
        <v>13</v>
      </c>
      <c r="D12" s="2" t="s">
        <v>35</v>
      </c>
      <c r="E12" s="2"/>
      <c r="F12" s="4" t="s">
        <v>365</v>
      </c>
      <c r="G12" s="4" t="s">
        <v>365</v>
      </c>
      <c r="H12" s="2" t="s">
        <v>207</v>
      </c>
      <c r="I12" s="2" t="s">
        <v>12</v>
      </c>
      <c r="J12" s="2" t="s">
        <v>9</v>
      </c>
      <c r="K12" s="1">
        <v>94</v>
      </c>
      <c r="L12" s="5" t="s">
        <v>183</v>
      </c>
      <c r="M12" s="2"/>
      <c r="N12" s="4"/>
      <c r="O12" s="1"/>
      <c r="P12" s="1"/>
      <c r="Q12" s="1" t="s">
        <v>7</v>
      </c>
      <c r="R12" s="5"/>
      <c r="S12" s="5"/>
      <c r="T12" s="5"/>
      <c r="U12" s="5"/>
      <c r="V12" s="1"/>
      <c r="W12" s="1"/>
      <c r="X12" s="8"/>
      <c r="Y12" s="7" t="str">
        <f>+LOOKUP(B12,ITINERARY!C$2:C$32,ITINERARY!B$2:B$32)</f>
        <v>[Daphne ,Santiago (Egas Port) / Rábida,Isabela (Elizabeth Bay / Tagus Cove),Santiago (Sullivan Bay) / Bartolomé,Santa Cruz (Bachas) / North Seymour,San Cristobal (Interpretation Center / Pitt Point),Santa Cruz (Charles Darwin Station),North Seymour,South Plaza / Santa Fe,San Cristobal (Pitt Point / Interpretation Center),Floreana,Isabela (Elizabeth Bay / Moreno Point),Santa Cruz (Charles Darwin Station ),Española]</v>
      </c>
    </row>
    <row r="13" spans="1:25" ht="28.2" customHeight="1">
      <c r="A13">
        <v>12</v>
      </c>
      <c r="B13" s="3" t="s">
        <v>201</v>
      </c>
      <c r="C13" s="2" t="s">
        <v>13</v>
      </c>
      <c r="D13" s="2" t="s">
        <v>36</v>
      </c>
      <c r="E13" s="2"/>
      <c r="F13" s="2" t="s">
        <v>388</v>
      </c>
      <c r="G13" s="2"/>
      <c r="H13" s="2" t="s">
        <v>389</v>
      </c>
      <c r="I13" s="2" t="s">
        <v>11</v>
      </c>
      <c r="J13" s="2" t="s">
        <v>10</v>
      </c>
      <c r="K13" s="1">
        <v>16</v>
      </c>
      <c r="L13" s="5" t="s">
        <v>397</v>
      </c>
      <c r="M13" s="2"/>
      <c r="N13" s="4"/>
      <c r="O13" s="1">
        <v>2</v>
      </c>
      <c r="P13" s="1">
        <v>8</v>
      </c>
      <c r="Q13" s="1"/>
      <c r="R13" s="5"/>
      <c r="S13" s="5"/>
      <c r="T13" s="5"/>
      <c r="U13" s="5"/>
      <c r="V13" s="1"/>
      <c r="W13" s="1"/>
      <c r="X13" s="7" t="s">
        <v>77</v>
      </c>
      <c r="Y13" s="7" t="str">
        <f>+LOOKUP(B13,ITINERARY!C$2:C$32,ITINERARY!B$2:B$32)</f>
        <v>[San Cristóbal Transfer to boat / Isla Lobos PM,Santa Cruz Punta Carrión AM / North Seymour land visit PM,Darwin island,Darwin island,Wolf island,Isabela Vicente Roca Point AM / Fernandina Cape Douglas PM,Santiago Cousin's Rock AM / Santa Cruz Twin Craters &amp; Fausto Llerena PM,San Cristóbal Interpretation Center / Transfer to airport,,,,,,]</v>
      </c>
    </row>
    <row r="14" spans="1:25" ht="28.2" customHeight="1">
      <c r="A14">
        <v>13</v>
      </c>
      <c r="B14" s="3" t="s">
        <v>202</v>
      </c>
      <c r="C14" s="2" t="s">
        <v>13</v>
      </c>
      <c r="D14" s="2" t="s">
        <v>35</v>
      </c>
      <c r="E14" s="2"/>
      <c r="F14" s="2" t="s">
        <v>403</v>
      </c>
      <c r="G14" s="2" t="s">
        <v>404</v>
      </c>
      <c r="H14" s="2" t="s">
        <v>404</v>
      </c>
      <c r="I14" s="2" t="s">
        <v>11</v>
      </c>
      <c r="J14" s="2" t="s">
        <v>10</v>
      </c>
      <c r="K14" s="1">
        <v>16</v>
      </c>
      <c r="L14" s="5" t="s">
        <v>411</v>
      </c>
      <c r="M14" s="2"/>
      <c r="N14" s="4"/>
      <c r="O14" s="1">
        <v>2</v>
      </c>
      <c r="P14" s="1"/>
      <c r="Q14" s="1"/>
      <c r="R14" s="5" t="s">
        <v>7</v>
      </c>
      <c r="S14" s="5"/>
      <c r="T14" s="5"/>
      <c r="U14" s="5"/>
      <c r="V14" s="1"/>
      <c r="W14" s="1"/>
      <c r="X14" s="7" t="s">
        <v>40</v>
      </c>
      <c r="Y14" s="7" t="str">
        <f>+LOOKUP(B14,ITINERARY!C$2:C$32,ITINERARY!B$2:B$32)</f>
        <v>[,,,,,,San Cristóbal Transfer to boat / Isla Lobos PM,Bartolomé land visit &amp; dive AM / Santiago Cousin's Rock PM,Wolf island,Darwin island,Darwin island AM / Wolf island PM,Fernandina Cabo Douglas AM / Isabela Vicente Roca Point PM,Pinzón &amp; Islote Dumb AM / Santa Cruz Highlands PM,San Cristóbal Centro de Interpretacion / Transfer to airport]</v>
      </c>
    </row>
    <row r="15" spans="1:25" ht="28.2" customHeight="1">
      <c r="A15">
        <v>14</v>
      </c>
      <c r="B15" s="3" t="s">
        <v>194</v>
      </c>
      <c r="C15" s="2" t="s">
        <v>13</v>
      </c>
      <c r="D15" s="2" t="s">
        <v>35</v>
      </c>
      <c r="E15" s="2"/>
      <c r="F15" s="2" t="s">
        <v>306</v>
      </c>
      <c r="G15" s="2" t="s">
        <v>307</v>
      </c>
      <c r="H15" s="2" t="s">
        <v>246</v>
      </c>
      <c r="I15" s="2" t="s">
        <v>12</v>
      </c>
      <c r="J15" s="2" t="s">
        <v>9</v>
      </c>
      <c r="K15" s="1">
        <v>16</v>
      </c>
      <c r="L15" s="5" t="s">
        <v>263</v>
      </c>
      <c r="M15" s="2"/>
      <c r="N15" s="4"/>
      <c r="O15" s="1">
        <v>1</v>
      </c>
      <c r="P15" s="1"/>
      <c r="Q15" s="1"/>
      <c r="R15" s="5"/>
      <c r="S15" s="5"/>
      <c r="T15" s="5"/>
      <c r="U15" s="5"/>
      <c r="V15" s="1"/>
      <c r="W15" s="1"/>
      <c r="X15" s="8" t="s">
        <v>248</v>
      </c>
      <c r="Y15" s="7" t="str">
        <f>+LOOKUP(B15,ITINERARY!C$2:C$32,ITINERARY!B$2:B$32)</f>
        <v>[Isabela (Tintoreras Islet / Cuevas de Sucre / Centro de Crianza Arnaldo Turpiza am ) /Santa Cruz navegación pm,Santa Cruz (Gemelos am) / Transfer Baltra aeropuerto - Oeste / Baltra transfer barco am / Santa Cruz (Highlands &amp; ECCD pm) - Este,Floreana (Asilo de la Paz am / Punta Cormorant &amp; Corona del Diablo pm) - Este,Española (Punta Suáez am / Gardner Bay &amp; Islote Gardner pm) - Este,San Cristóbal (Punta Pitt am / Isla Lobos &amp; Kicker Rock pm) - Este,Santa Fé am / Plazas Sur pm - Este,Seymour Norte am / Bartolomé pm - Este,Islote Sombrero Chino am / Santa Cruz (Cerro Dragón pm) - Este,Santa Cruz (Caleta Tortuga Negra) / Transfer Baltra am - Este / Baltra transfer barco - Santa Cruz (Bachas pm) - Oeste,Genovesa (Prince Phillip´s Setps am / Bahía Darwin pm) - Oeste,Santiago (Bahía James am / Espumilla Beach &amp; Bucaneer Cove pm) - Oeste,Isabela (Punta Vicente Roca am / Tagus Cove pm) - Oeste,Fernandina (Espinosa Point am) / Isabela (Urbina Bay pm) - Oeste,Isabela (Elizabeth Bay am / Punta Moreno pm) - Oeste]</v>
      </c>
    </row>
    <row r="16" spans="1:25" ht="28.2" customHeight="1">
      <c r="A16">
        <v>15</v>
      </c>
      <c r="B16" s="3" t="s">
        <v>195</v>
      </c>
      <c r="C16" s="2" t="s">
        <v>13</v>
      </c>
      <c r="D16" s="2" t="s">
        <v>36</v>
      </c>
      <c r="E16" s="2"/>
      <c r="F16" s="2" t="s">
        <v>265</v>
      </c>
      <c r="G16" s="2" t="s">
        <v>266</v>
      </c>
      <c r="H16" s="2" t="s">
        <v>267</v>
      </c>
      <c r="I16" s="2" t="s">
        <v>12</v>
      </c>
      <c r="J16" s="2" t="s">
        <v>9</v>
      </c>
      <c r="K16" s="1">
        <v>16</v>
      </c>
      <c r="L16" s="5" t="s">
        <v>284</v>
      </c>
      <c r="M16" s="2"/>
      <c r="N16" s="4"/>
      <c r="O16" s="1">
        <v>1</v>
      </c>
      <c r="P16" s="1"/>
      <c r="Q16" s="1"/>
      <c r="R16" s="5"/>
      <c r="S16" s="5"/>
      <c r="T16" s="5"/>
      <c r="U16" s="5"/>
      <c r="V16" s="1"/>
      <c r="W16" s="1"/>
      <c r="X16" s="7" t="s">
        <v>269</v>
      </c>
      <c r="Y16" s="7" t="str">
        <f>+LOOKUP(B16,ITINERARY!C$2:C$32,ITINERARY!B$2:B$32)</f>
        <v>[Isabela (Tintoreras islet am / Humedales pm) - Oeste,Santa Cruz (Cerro Dragón am / Punta Carrión pm) - Oeste,Santa Cruz (Highlands am) / Transfer aeropuerto - Oeste / Baltra transfer barco am / Santa Cruz (Parte alta pm) - Este,Floreana (Post Office Bay am / Punta Cormorant &amp; Corona del Diablo pm) - Este,Española (Suarez Point am / Gardner Bay pm) - Este,San Cristóbal (Kicker Rock am / Centro de Interpretación Gianny Arismendi pm) - Este,Santa Fe am / Plazas Sur pm - Este,Genovesa (Prince Phillip´s Steps am / Darwin Bay pm) -Este,Santiago (Sullivan Bay am) / Rábida pm - Este,Santa Cruz (Caleta Tortuga Negra am) / Transfer aeropueto - Este / Transfer barco am / Santa Cruz (Bachas pm) - Oeste,Seymour Norte am / Bartolomé pm - Oeste,Santiago (Puerto Egas am / Espumilla Beach &amp; Bucaneer Cove pm) - Oeste,Isabela (Tagus Cove am) / Fernandina (Punta Espinoza pm) - Oeste,Isabela (Punta Moreno am / Elizabeth Bay pm) - Oeste]</v>
      </c>
    </row>
    <row r="17" spans="1:25" ht="28.2" customHeight="1">
      <c r="A17">
        <v>16</v>
      </c>
      <c r="B17" s="2" t="s">
        <v>74</v>
      </c>
      <c r="C17" s="2" t="s">
        <v>13</v>
      </c>
      <c r="D17" s="2" t="s">
        <v>35</v>
      </c>
      <c r="E17" s="2"/>
      <c r="F17" s="2" t="s">
        <v>355</v>
      </c>
      <c r="G17" s="2" t="s">
        <v>356</v>
      </c>
      <c r="H17" s="2" t="s">
        <v>205</v>
      </c>
      <c r="I17" s="2" t="s">
        <v>12</v>
      </c>
      <c r="J17" s="2" t="s">
        <v>9</v>
      </c>
      <c r="K17" s="1">
        <v>16</v>
      </c>
      <c r="L17" s="6" t="s">
        <v>75</v>
      </c>
      <c r="M17" s="4" t="s">
        <v>491</v>
      </c>
      <c r="N17" s="4" t="s">
        <v>522</v>
      </c>
      <c r="O17" s="1">
        <v>1</v>
      </c>
      <c r="P17" s="1">
        <v>9</v>
      </c>
      <c r="Q17" s="1" t="s">
        <v>8</v>
      </c>
      <c r="R17" s="5"/>
      <c r="S17" s="5"/>
      <c r="T17" s="5"/>
      <c r="U17" s="5"/>
      <c r="V17" s="1"/>
      <c r="W17" s="1"/>
      <c r="X17" s="8" t="s">
        <v>537</v>
      </c>
      <c r="Y17" s="7" t="str">
        <f>+LOOKUP(B17,ITINERARY!C$2:C$32,ITINERARY!B$2:B$32)</f>
        <v>[San Cristóbal Kicker Rock AM / Transfer to airport (8D B OUT)
San Cristobal Transfer to boat AM / El Junco Lagoon PM (8D A IN),Floreana Post office Bay + Baroness Viewing Point AM / Cormorant Point  + Devil´s Crown PM  (8D A),Española Suarez Point + Garner Bay + Osborn Islet, Gardner Bay PM (8D A),Santa Cruz Twin Craters AM / Fausto Llerena Breeding Center PM (8D A),Genovesa  El Barranco AM / Darwin Bay PM (8D A),Rabida island AM / Chiness Hat PM (8D A),San Cristobal Witch Hill AM / Lobos island PM (8D A),San Cristobal Gianni Arismendi Interpretation Center / Transfer to airport AM (8D A OUT)
San Cristóbal  Transfer to boat / David Rodriguez Breeding Center PM (8D B IN) ,North Seymour  AM / Santa Cruz Black Turtle Cove PM (8D B),Bartolomé  AM / Santiago Egas Port PM (8D B),Isabela Tagus Cove AM  / Urbina Bay PM (8D B),Fernandina Espinoza Point  AM / isabela Vicente Roca Point PM (8D B),Santiago Buccaneer Cove + Espumilla beach AM  / Sullivan bay PM (8D B),Santa Cruz Bachas Beach AM / Tortoise Breeding Center PM (8D B)]</v>
      </c>
    </row>
    <row r="18" spans="1:25" ht="28.2" customHeight="1">
      <c r="A18">
        <v>17</v>
      </c>
      <c r="B18" s="3" t="s">
        <v>200</v>
      </c>
      <c r="C18" s="2" t="s">
        <v>13</v>
      </c>
      <c r="D18" s="2" t="s">
        <v>36</v>
      </c>
      <c r="E18" s="2"/>
      <c r="F18" s="2" t="s">
        <v>377</v>
      </c>
      <c r="G18" s="2"/>
      <c r="H18" s="4" t="s">
        <v>378</v>
      </c>
      <c r="I18" s="2" t="s">
        <v>11</v>
      </c>
      <c r="J18" s="2" t="s">
        <v>10</v>
      </c>
      <c r="K18" s="1">
        <v>16</v>
      </c>
      <c r="L18" s="5" t="s">
        <v>386</v>
      </c>
      <c r="M18" s="2"/>
      <c r="N18" s="4"/>
      <c r="O18" s="1">
        <v>2</v>
      </c>
      <c r="P18" s="1">
        <v>7</v>
      </c>
      <c r="Q18" s="1"/>
      <c r="R18" s="5"/>
      <c r="S18" s="5"/>
      <c r="T18" s="5"/>
      <c r="U18" s="5"/>
      <c r="V18" s="1"/>
      <c r="W18" s="1"/>
      <c r="X18" s="7" t="s">
        <v>77</v>
      </c>
      <c r="Y18" s="7" t="str">
        <f>+LOOKUP(B18,ITINERARY!C$2:C$32,ITINERARY!B$2:B$32)</f>
        <v>[San Cristóbal Transfer to boat / Isla Lobos PM,Santa Cruz Punta Carrión AM / North Seymour land visit PM,Wolf island,Wolf island AM / Darwin island PM,Darwin island ,Wolf island,Santiago Cousin's Rock AM / Santa Cruz Highlands PM,San Cristóbal Transfer to airport,,,,,,]</v>
      </c>
    </row>
    <row r="19" spans="1:25" ht="28.2" customHeight="1">
      <c r="A19">
        <v>18</v>
      </c>
      <c r="B19" s="2" t="s">
        <v>79</v>
      </c>
      <c r="C19" s="2" t="s">
        <v>13</v>
      </c>
      <c r="D19" s="2" t="s">
        <v>35</v>
      </c>
      <c r="E19" s="2"/>
      <c r="F19" s="2" t="s">
        <v>358</v>
      </c>
      <c r="G19" s="2" t="s">
        <v>359</v>
      </c>
      <c r="H19" s="2" t="s">
        <v>205</v>
      </c>
      <c r="I19" s="2" t="s">
        <v>12</v>
      </c>
      <c r="J19" s="2" t="s">
        <v>9</v>
      </c>
      <c r="K19" s="1">
        <v>20</v>
      </c>
      <c r="L19" s="6" t="s">
        <v>550</v>
      </c>
      <c r="M19" s="4" t="s">
        <v>548</v>
      </c>
      <c r="N19" s="4" t="s">
        <v>549</v>
      </c>
      <c r="O19" s="1">
        <v>2</v>
      </c>
      <c r="P19" s="1">
        <v>11</v>
      </c>
      <c r="Q19" s="1" t="s">
        <v>8</v>
      </c>
      <c r="R19" s="5"/>
      <c r="S19" s="5"/>
      <c r="T19" s="5"/>
      <c r="U19" s="5"/>
      <c r="V19" s="1"/>
      <c r="W19" s="1"/>
      <c r="X19" s="8" t="s">
        <v>551</v>
      </c>
      <c r="Y19" s="7" t="str">
        <f>+LOOKUP(B19,ITINERARY!C$2:C$32,ITINERARY!B$2:B$32)</f>
        <v>[Santiago Egas Port AM  / Bartolomé PM (8D B),Baltra Transfer to boat / Santa Cruz Black Turtle Cove PM (8D A IN)
North Seymour AM / Transfer to airport (8D B OUT),Genovesa Barranco AM  / Darwin Bay PM (8D A),Santiago Sullivan Bay AM / Rábida PM  (8D A),Santa Cruz  Breeding Center AM / Highlands PM (8D A),Santa Cruz  Dragon Hill  AM / Bachas Beach PM (8D A),Floreana Post Office Bay AM / Cormorant Point + Devil's Crown PM (8D A),Española Suárez Point AM / Gardner Bay PM (8D A),San Cristobal  Gianni Arismendi Interpretation Center  AM / Transfer to airport (8D A OUT)
San Cristóbal Transfer to boat / Breeding Center or Puerto Chino PM (8D B IN),Santa Fe AM / South plaza PM (8D B),Santa Cruz Fausto Lleran Breeding Center  AM / Twin Craters  PM (8D B),Isabela Moreno Point AM /  Elizabeth Bay PM (8D B),Isabela Urbina Bay AM  / Tagus Cove PM (8D B),Fernandina Espinoza Point AM  / Isabela Viente Roca Point PM (8D B)]</v>
      </c>
    </row>
    <row r="20" spans="1:25" ht="28.2" customHeight="1">
      <c r="A20">
        <v>19</v>
      </c>
      <c r="B20" s="2" t="s">
        <v>17</v>
      </c>
      <c r="C20" s="2" t="s">
        <v>13</v>
      </c>
      <c r="D20" s="2" t="s">
        <v>35</v>
      </c>
      <c r="E20" s="2"/>
      <c r="F20" s="2" t="s">
        <v>38</v>
      </c>
      <c r="G20" s="2" t="s">
        <v>18</v>
      </c>
      <c r="H20" s="4" t="s">
        <v>19</v>
      </c>
      <c r="I20" s="2" t="s">
        <v>12</v>
      </c>
      <c r="J20" s="2" t="s">
        <v>9</v>
      </c>
      <c r="K20" s="1">
        <v>16</v>
      </c>
      <c r="L20" s="5" t="s">
        <v>34</v>
      </c>
      <c r="M20" s="2"/>
      <c r="N20" s="4"/>
      <c r="O20" s="1">
        <v>1</v>
      </c>
      <c r="P20" s="1"/>
      <c r="Q20" s="1" t="s">
        <v>8</v>
      </c>
      <c r="R20" s="5"/>
      <c r="S20" s="5"/>
      <c r="T20" s="5"/>
      <c r="U20" s="5"/>
      <c r="V20" s="1"/>
      <c r="W20" s="1"/>
      <c r="X20" s="8" t="s">
        <v>208</v>
      </c>
      <c r="Y20" s="7" t="str">
        <f>+LOOKUP(B20,ITINERARY!C$2:C$32,ITINERARY!B$2:B$32)</f>
        <v>[Isabela - Oeste,ISABELA, FERNANDINA - OESTE,ISABELA - OESTE,SANTIAGO - OESTE,SEYMOUR NORTE, SANTA CRUZ - OESTE,BALTRA - OESTE / PUERTO AYORA - ESTE,ESPAÑOLA - ESTE,SAN CRISTÓBAL - ESTE,SANTA FE,  PLAZAS - ESTE,GENOVESA - ESTE,SANTIAGO, BARTOLOMÉ - ESTE,RÁBIDA, SOMBRERO CHINO - ESTE,BALTRA - ESTE / PUERTO AYORA - OESTE ,FLOREANA - OESTE]</v>
      </c>
    </row>
    <row r="21" spans="1:25" ht="28.2" customHeight="1">
      <c r="A21">
        <v>20</v>
      </c>
      <c r="B21" s="2" t="s">
        <v>133</v>
      </c>
      <c r="C21" s="2" t="s">
        <v>13</v>
      </c>
      <c r="D21" s="2" t="s">
        <v>35</v>
      </c>
      <c r="E21" s="2"/>
      <c r="F21" s="4" t="s">
        <v>416</v>
      </c>
      <c r="G21" s="2" t="s">
        <v>414</v>
      </c>
      <c r="H21" s="2" t="s">
        <v>415</v>
      </c>
      <c r="I21" s="2" t="s">
        <v>12</v>
      </c>
      <c r="J21" s="2" t="s">
        <v>9</v>
      </c>
      <c r="K21" s="1">
        <v>40</v>
      </c>
      <c r="L21" s="6" t="s">
        <v>134</v>
      </c>
      <c r="M21" s="4" t="s">
        <v>577</v>
      </c>
      <c r="N21" s="4" t="s">
        <v>596</v>
      </c>
      <c r="O21" s="1"/>
      <c r="P21" s="1"/>
      <c r="Q21" s="1" t="s">
        <v>7</v>
      </c>
      <c r="R21" s="5"/>
      <c r="S21" s="5"/>
      <c r="T21" s="5"/>
      <c r="U21" s="5"/>
      <c r="V21" s="1"/>
      <c r="W21" s="1"/>
      <c r="X21" s="8" t="s">
        <v>587</v>
      </c>
      <c r="Y21" s="7" t="str">
        <f>+LOOKUP(B21,ITINERARY!C$2:C$32,ITINERARY!B$2:B$32)</f>
        <v>[,,,,Baltra Transfer to boat / Santa Cruz Bachas PM (7D SE IN),San Cristobal Punta Pitt  AM / Cerro Colorado Breeding Center PM,Española Gardner Bay AM / Punta Suárez PM,Floreana  Punta Cormorant AM / Post Office Bay PM,Isabela  Moreno Point AM / Fernandina Mangle Point PM,Eden Islet AM / North Seymour PM,Baltra Transfer to airport (7D SE OUT),,,]</v>
      </c>
    </row>
    <row r="22" spans="1:25" ht="28.2" customHeight="1">
      <c r="A22">
        <v>21</v>
      </c>
      <c r="B22" s="2" t="s">
        <v>115</v>
      </c>
      <c r="C22" s="2" t="s">
        <v>13</v>
      </c>
      <c r="D22" s="2" t="s">
        <v>35</v>
      </c>
      <c r="E22" s="2"/>
      <c r="F22" s="2" t="s">
        <v>413</v>
      </c>
      <c r="G22" s="2" t="s">
        <v>414</v>
      </c>
      <c r="H22" s="2" t="s">
        <v>415</v>
      </c>
      <c r="I22" s="2" t="s">
        <v>12</v>
      </c>
      <c r="J22" s="2" t="s">
        <v>9</v>
      </c>
      <c r="K22" s="1">
        <v>48</v>
      </c>
      <c r="L22" s="6" t="s">
        <v>116</v>
      </c>
      <c r="M22" s="4" t="s">
        <v>577</v>
      </c>
      <c r="N22" s="4" t="s">
        <v>595</v>
      </c>
      <c r="O22" s="1"/>
      <c r="P22" s="1"/>
      <c r="Q22" s="1" t="s">
        <v>7</v>
      </c>
      <c r="R22" s="5"/>
      <c r="S22" s="5"/>
      <c r="T22" s="5"/>
      <c r="U22" s="5"/>
      <c r="V22" s="1"/>
      <c r="W22" s="1"/>
      <c r="X22" s="8" t="s">
        <v>569</v>
      </c>
      <c r="Y22" s="7" t="str">
        <f>+LOOKUP(B22,ITINERARY!C$2:C$32,ITINERARY!B$2:B$32)</f>
        <v>[,,,,Baltra Transfer to boat / North Seymour PM (7D IN),Isabela Vicente Roca Point AM  / Fernandina Espinoza Point PM,Isabela Urbina Bay AM / Tagus Cove PM,Rabida Red Beach AM / Santa Cruz Dragon Hill PM,Santa Cruz Charles Darwin Research StationAM  / Highlands PM,Floreana Post Office Bay AM / Punta Cormorant + Champion islet PM,Baltra Transfer to airport (7D W OUT),,,]</v>
      </c>
    </row>
    <row r="23" spans="1:25" ht="28.2" customHeight="1">
      <c r="A23">
        <v>22</v>
      </c>
      <c r="B23" s="2" t="s">
        <v>171</v>
      </c>
      <c r="C23" s="2" t="s">
        <v>13</v>
      </c>
      <c r="D23" s="2" t="s">
        <v>35</v>
      </c>
      <c r="E23" s="2"/>
      <c r="F23" s="4" t="s">
        <v>421</v>
      </c>
      <c r="G23" s="2" t="s">
        <v>422</v>
      </c>
      <c r="H23" s="2" t="s">
        <v>423</v>
      </c>
      <c r="I23" s="2" t="s">
        <v>12</v>
      </c>
      <c r="J23" s="2" t="s">
        <v>9</v>
      </c>
      <c r="K23" s="1">
        <v>112</v>
      </c>
      <c r="L23" s="5" t="s">
        <v>172</v>
      </c>
      <c r="M23" s="2"/>
      <c r="N23" s="4"/>
      <c r="O23" s="1"/>
      <c r="P23" s="1"/>
      <c r="Q23" s="1"/>
      <c r="R23" s="5"/>
      <c r="S23" s="5"/>
      <c r="T23" s="5"/>
      <c r="U23" s="5"/>
      <c r="V23" s="1"/>
      <c r="W23" s="1"/>
      <c r="X23" s="8" t="s">
        <v>77</v>
      </c>
      <c r="Y23" s="7" t="str">
        <f>+LOOKUP(B23,ITINERARY!C$2:C$32,ITINERARY!B$2:B$32)</f>
        <v>[Eden Islet / Santa Cruz (Highlands),Genovesa,Santa Cruz (Dragon Hill) / Santa Fe,Santa Cruz (Bachas / Mosquera Islet),Santiago (Egas Port) / Rábida,Isabela (Urbina Bay / Tagus Cove),Fernandina (Espinoza Point) / Isabela (Vicente Roca Point),Santa Cruz (Highlands) / Bartolomé,South Plaza / North Seymour,San Cristobal (Pitt Point / Witch Hill),San Cristobal (Cerro Colorado Breeding Center / Interpretation Center),Española,Floreana,Santa Cruz (Charles Darwin Station / Highlands)]</v>
      </c>
    </row>
    <row r="24" spans="1:25" ht="28.2" customHeight="1">
      <c r="A24">
        <v>23</v>
      </c>
      <c r="B24" s="3" t="s">
        <v>357</v>
      </c>
      <c r="C24" s="2" t="s">
        <v>16</v>
      </c>
      <c r="D24" s="2" t="s">
        <v>37</v>
      </c>
      <c r="E24" s="2"/>
      <c r="F24" s="2" t="s">
        <v>227</v>
      </c>
      <c r="G24" s="2" t="s">
        <v>228</v>
      </c>
      <c r="H24" s="2" t="s">
        <v>228</v>
      </c>
      <c r="I24" s="2" t="s">
        <v>12</v>
      </c>
      <c r="J24" s="2" t="s">
        <v>9</v>
      </c>
      <c r="K24" s="1">
        <v>24</v>
      </c>
      <c r="L24" s="5" t="s">
        <v>244</v>
      </c>
      <c r="M24" s="2"/>
      <c r="N24" s="4"/>
      <c r="O24" s="1">
        <v>2</v>
      </c>
      <c r="P24" s="1">
        <v>6</v>
      </c>
      <c r="Q24" s="1"/>
      <c r="R24" s="5"/>
      <c r="S24" s="5"/>
      <c r="T24" s="5"/>
      <c r="U24" s="5"/>
      <c r="V24" s="1"/>
      <c r="W24" s="1"/>
      <c r="X24" s="8" t="s">
        <v>208</v>
      </c>
      <c r="Y24" s="7" t="str">
        <f>+LOOKUP(B24,ITINERARY!C$2:C$32,ITINERARY!B$2:B$32)</f>
        <v>[Bartholomew am / Chinese Hat islet pm - Este,Rabida am / Santa Cruz (Drangon Hill pm) - Este,Santa Cruz (Highlands am /  Fausto Llerena Breeding Center pm) - Este,South Plaza am  / Santa Fe pm,Española (Suarez Point am / Gardner Bay &amp; Osborn islet pm) - Este,Santa Cruz (Pitt Craters am) / Transfer to airport - Este /  Baltra arrival &amp; Transfer to boat am / Santa Cruz Highlands &amp; Fausto Llerena Breeding center pm - Oeste,Floreana (Cormorant Point &amp; Devil´s Crown am / Post Office Bay pm) - Oeste,Floreana (Black beach am / Asilo de la Paz pm) - Oeste,Isabela (Moreno Point am / Urbina Bay pm) - Oeste,Isabela (Tagus Cove am) / Fernandina (Espinoza Point pm) - Oeste,Santiago (Egas Port am / Bucaneer Cove &amp; Espumilla Beach pm) - Oeste,Santiago (Sullivan Bay am) / North Seymour pm - Oeste,Mosquera islet am / Transfer to Baltra - Oeste / Baltra arrival &amp; Transfer to boat am  / Santa Cruz (Black Turtle Cove pm) - Este,Genovesa (Darwin Bay am / Barranco pm) - Este]</v>
      </c>
    </row>
    <row r="25" spans="1:25" ht="28.2" customHeight="1">
      <c r="A25">
        <v>24</v>
      </c>
      <c r="B25" s="3" t="s">
        <v>197</v>
      </c>
      <c r="C25" s="2" t="s">
        <v>14</v>
      </c>
      <c r="D25" s="2" t="s">
        <v>36</v>
      </c>
      <c r="E25" s="2"/>
      <c r="F25" s="2" t="s">
        <v>312</v>
      </c>
      <c r="G25" s="2"/>
      <c r="H25" s="2" t="s">
        <v>313</v>
      </c>
      <c r="I25" s="2" t="s">
        <v>11</v>
      </c>
      <c r="J25" s="2" t="s">
        <v>9</v>
      </c>
      <c r="K25" s="1">
        <v>16</v>
      </c>
      <c r="L25" s="5" t="s">
        <v>331</v>
      </c>
      <c r="M25" s="2"/>
      <c r="N25" s="4"/>
      <c r="O25" s="1">
        <v>1</v>
      </c>
      <c r="P25" s="1"/>
      <c r="Q25" s="1" t="s">
        <v>8</v>
      </c>
      <c r="R25" s="5"/>
      <c r="S25" s="5"/>
      <c r="T25" s="5"/>
      <c r="U25" s="5"/>
      <c r="V25" s="1"/>
      <c r="W25" s="1"/>
      <c r="X25" s="7" t="s">
        <v>315</v>
      </c>
      <c r="Y25" s="7" t="str">
        <f>+LOOKUP(B25,ITINERARY!C$2:C$32,ITINERARY!B$2:B$32)</f>
        <v>[Floreana Post Office Bay AM / Cormorant Point &amp; Devil's Crown PM (8dB &amp; 4d &amp; 6dB),Santa Cruz Black Turtle Cove AM / Bartolomé PM (8dB) (5d IN solo Bartolomé) (4d &amp; 6dB OUT solo Black Turtle Cove),Genovesa Darwin Bay AM / El Barranco PM (8dB &amp; 5d),Santiago Espumilla Beach &amp; Bucaneer Cove AM / Puerto Egas PM (8dB &amp; 5d),Seymour Norte AM / Santa Cruz Highlands PM (8dB &amp; 5d),Baltra transfer to boat / Chinese Hat PM (8dA &amp; 6dA) - Mosquera Islet / Transfer to airport AM (8dB &amp; 5d),Isabela Vicente Roca Point AM / Fernandina Espinoza Point PM (8dA &amp; 6dA),Isabela Tagus Cove AM / Urbina Bay PM (8dA &amp; 6dA),Isabela Elizabeth Bay  AM / Moreno Point PM (8dA &amp; 6dA),Santa Cruz Charles Darwin Station AM / Highlands PM (8dA &amp; 6dA),South Plaza AM  / Santa Fe PM (8dA) (6dB IN solo Santa Fe) (6dA OUT solo South Plaza),Española Suarez Point AM / Gardner Bay &amp; Osborn Islet PM (8dA &amp; 6dB),San Cristóbal Centro de Interpretación / Transfer to airport AM (8dA) - San Cristóbal transfer to boat / Isla Lobos &amp; Kicker Rock PM (8dB &amp; 4d) (6dB itinerario completo),San Cristobal Pitt Point AM / Witch Hill PM (8dB &amp; 4d &amp; 6dB)]</v>
      </c>
    </row>
    <row r="26" spans="1:25" ht="28.2" customHeight="1">
      <c r="A26">
        <v>25</v>
      </c>
      <c r="B26" s="3" t="s">
        <v>204</v>
      </c>
      <c r="C26" s="2" t="s">
        <v>14</v>
      </c>
      <c r="D26" s="2" t="s">
        <v>35</v>
      </c>
      <c r="E26" s="2"/>
      <c r="F26" s="2" t="s">
        <v>431</v>
      </c>
      <c r="G26" s="2" t="s">
        <v>404</v>
      </c>
      <c r="H26" s="2" t="s">
        <v>404</v>
      </c>
      <c r="I26" s="2" t="s">
        <v>11</v>
      </c>
      <c r="J26" s="2" t="s">
        <v>9</v>
      </c>
      <c r="K26" s="1">
        <v>20</v>
      </c>
      <c r="L26" s="5" t="s">
        <v>447</v>
      </c>
      <c r="M26" s="2"/>
      <c r="N26" s="4"/>
      <c r="O26" s="1"/>
      <c r="P26" s="1"/>
      <c r="Q26" s="1"/>
      <c r="R26" s="5"/>
      <c r="S26" s="5"/>
      <c r="T26" s="5"/>
      <c r="U26" s="5"/>
      <c r="V26" s="1"/>
      <c r="W26" s="1"/>
      <c r="X26" s="7" t="s">
        <v>432</v>
      </c>
      <c r="Y26" s="7" t="str">
        <f>+LOOKUP(B26,ITINERARY!C$2:C$32,ITINERARY!B$2:B$32)</f>
        <v>[Genovesa Prince Phillip's Steps AM / Darwin Bay PM (B),Santa Cruz Bachas Beach or Black Turtle Cove AM / Cerro Dragón PM (B),Isabela Punta Vicente Roca o Elizabeth Bay AM / Urbina Bay PM (B),Fernandina Punta Espinosa AM / Isabela Tagus Cove PM (B),Rabida AM / Santiago Puerto Egas or Santa Cruz Black Turtle Cove PM (B),Santa Cruz Breeding Center  ECCD AM / Highlands PM (B),San Cristóbal Transfer to boat / Leon Dormido PM (A) - Centro de Interpretación / Transfer to airport (B),San Cristóbal Punta Pitt AM / Cerro Brujo PM (A),Española Punta Suárez &amp; Orborn islet AM / Gardner bay  &amp; Gardner islet PM (A),Floreana Punta Cormorant &amp; Devil's Crown AM / Post Office Bay &amp; La Baronesa Point PM (A),Santa Cruz Highlands AM / Centro de Crianza ECCD PM (A),Sombrero Chino &amp; Santa Cruz Bachas Beach or Black Turtle Cove AM / Bartolomé PM (A),South Plazas AM / North Seymour PM (A),San Cristóbal Centro de Interpretacion / Transfer to airport (A &amp; B) ]</v>
      </c>
    </row>
    <row r="27" spans="1:25" ht="28.2" customHeight="1">
      <c r="A27">
        <v>26</v>
      </c>
      <c r="B27" s="2" t="s">
        <v>88</v>
      </c>
      <c r="C27" s="2" t="s">
        <v>13</v>
      </c>
      <c r="D27" s="2" t="s">
        <v>35</v>
      </c>
      <c r="E27" s="2"/>
      <c r="F27" s="2" t="s">
        <v>399</v>
      </c>
      <c r="G27" s="2"/>
      <c r="H27" s="2" t="s">
        <v>400</v>
      </c>
      <c r="I27" s="2" t="s">
        <v>12</v>
      </c>
      <c r="J27" s="2" t="s">
        <v>9</v>
      </c>
      <c r="K27" s="1">
        <v>12</v>
      </c>
      <c r="L27" s="5" t="s">
        <v>100</v>
      </c>
      <c r="M27" s="2"/>
      <c r="N27" s="4"/>
      <c r="O27" s="1">
        <v>1</v>
      </c>
      <c r="P27" s="1"/>
      <c r="Q27" s="1"/>
      <c r="R27" s="5"/>
      <c r="S27" s="5"/>
      <c r="T27" s="5"/>
      <c r="U27" s="5"/>
      <c r="V27" s="1"/>
      <c r="W27" s="1"/>
      <c r="X27" s="8" t="s">
        <v>83</v>
      </c>
      <c r="Y27" s="7" t="str">
        <f>+LOOKUP(B27,ITINERARY!C$2:C$32,ITINERARY!B$2:B$32)</f>
        <v>[Floreana (Black Beach / Asilo de la  Paz ),Isabela (Moreno Point - Urbina Bay),Isabela (Tagus Cove) / Fernandina (Espinosa Point),Santiago (Egas Port / Espumilla Beach/ Buccaneer Cove),Santiago (Sullivan Bay) / North Seymour,Mosquera Islet / Santa Cruz (Black Turttle Cove),Genovesa,Bartolome / Chinesse Hat,Rabida / Santa Cruz (Dragon Hill),Santa Cruz (Highlands / Charles Darwin Station),South Plaza  / Santa Fe,Española,Santa Cruz (Twin Craters / Highlands Breeding Center,Floreana]</v>
      </c>
    </row>
    <row r="28" spans="1:25" ht="28.2" customHeight="1">
      <c r="A28">
        <v>27</v>
      </c>
      <c r="B28" s="3" t="s">
        <v>182</v>
      </c>
      <c r="C28" s="2" t="s">
        <v>14</v>
      </c>
      <c r="D28" s="2" t="s">
        <v>36</v>
      </c>
      <c r="E28" s="2"/>
      <c r="F28" s="2" t="s">
        <v>305</v>
      </c>
      <c r="G28" s="2" t="s">
        <v>305</v>
      </c>
      <c r="H28" s="2" t="s">
        <v>310</v>
      </c>
      <c r="I28" s="2" t="s">
        <v>11</v>
      </c>
      <c r="J28" s="2" t="s">
        <v>9</v>
      </c>
      <c r="K28" s="1">
        <v>16</v>
      </c>
      <c r="L28" s="5" t="s">
        <v>309</v>
      </c>
      <c r="M28" s="4" t="s">
        <v>456</v>
      </c>
      <c r="N28" s="4" t="s">
        <v>460</v>
      </c>
      <c r="O28" s="1">
        <v>1</v>
      </c>
      <c r="P28" s="1"/>
      <c r="Q28" s="1" t="s">
        <v>8</v>
      </c>
      <c r="R28" s="5"/>
      <c r="S28" s="5"/>
      <c r="T28" s="5"/>
      <c r="U28" s="5" t="s">
        <v>7</v>
      </c>
      <c r="V28" s="1"/>
      <c r="W28" s="1"/>
      <c r="X28" s="7" t="s">
        <v>478</v>
      </c>
      <c r="Y28" s="7" t="str">
        <f>+LOOKUP(B28,ITINERARY!C$2:C$32,ITINERARY!B$2:B$32)</f>
        <v>[Santa Cruz Centro de Crianza Fausto Llerena AM / Parte Alta PM (8D B) ,Santiago Sullivan Bay AM / Bartolomé PM (8DB),Genovesa Darwin Bay AM / Prince Phillip's Steps PM (8D B),Santiago Egas Port AM / Espumilla Beach &amp; Bucaneer Cove PM (8D B),Baltra transfer to boat AM / North Seymour PM (8D A) 
Santa Cruz Punta Carrion &amp; Transfer to airport AM (8D B),Isabela Vicente Roca Point AM / Fernandina Punta Espinosa PM (8D A),Isabela Tagus Cove AM / Urbina Bay PM (8D A),Isabela Elizabeth Bay AM / Punta Moreno PM (8D A),Isabela Sierra Negra AM /  Humedales + Centro de Crianza Arnaldo Tupiza PM (8D A),Santa Cruz Centro de Crianza Fausto Llerena AM / Gemelos PM (8D A),Plazas Sur AM / Santa Fe PM (8D A),San Cristóbal Isla Lobos / Transfer to airport AM (8D A OUT) 
San Cristóbal transfer to boat AM / Centro de Interpretación &amp; Galapaguera PM (8D B IN),Española Gardner Bay &amp; Osborn Islet AM / Suarez Point PM (8D B),Floreana Cormorant Point + Devil's Crown AM / Post Office Bay PM (8D B)]</v>
      </c>
    </row>
    <row r="29" spans="1:25" ht="28.2" customHeight="1">
      <c r="A29">
        <v>28</v>
      </c>
      <c r="B29" s="3" t="s">
        <v>193</v>
      </c>
      <c r="C29" s="2" t="s">
        <v>13</v>
      </c>
      <c r="D29" s="2" t="s">
        <v>36</v>
      </c>
      <c r="E29" s="2"/>
      <c r="F29" s="2" t="s">
        <v>38</v>
      </c>
      <c r="G29" s="2" t="s">
        <v>18</v>
      </c>
      <c r="H29" s="2" t="s">
        <v>205</v>
      </c>
      <c r="I29" s="2" t="s">
        <v>12</v>
      </c>
      <c r="J29" s="2" t="s">
        <v>9</v>
      </c>
      <c r="K29" s="1">
        <v>16</v>
      </c>
      <c r="L29" s="5" t="s">
        <v>224</v>
      </c>
      <c r="M29" s="2"/>
      <c r="N29" s="4"/>
      <c r="O29" s="1">
        <v>1</v>
      </c>
      <c r="P29" s="1"/>
      <c r="Q29" s="1"/>
      <c r="R29" s="5"/>
      <c r="S29" s="5"/>
      <c r="T29" s="5"/>
      <c r="U29" s="5"/>
      <c r="V29" s="1"/>
      <c r="W29" s="1"/>
      <c r="X29" s="8" t="s">
        <v>208</v>
      </c>
      <c r="Y29" s="7" t="str">
        <f>+LOOKUP(B29,ITINERARY!C$2:C$32,ITINERARY!B$2:B$32)</f>
        <v>[Isabela (Punta Moreno am / Elizabethe Bay pm) - Oeste,Isabela (Urbina Bay am) / Fernandina (Punta Espinoza pm) - Oeste,Isabela (Tagus Cove am / Vicente Roca Point pm) - Oeste,Santiago (Espumilla Beach or Bucaneer Cove am / Puerto Egas pm) - Oeste,Santa Cruz (Bachas am) / North Seymour pm - Oeste,Transfer Baltra - Oeste / Santa Cruz (Breeding Center pm) - Este,Española (Garner Bay / Gardner Islet / Osborn Islet am / Suarez Point pm) - Este,San Cristobal (Lobos Island / Kicker Rock am / Pitt Point pm) - Este,Santa Fe am / South Plazas pm - Este,Genovesa (Darwin Bay am / El Barranco pm) - Este,Santiago (Sullivan Bay am) / Bartholomew Island pm - Este,Rabida Island am / Chinese Hat Islet pm,Transfer to Baltra - Este /  Transfer to boat / Twin Craters pm - Oeste,Floreana (Cormorant Point / Champion Islet am / Post Office Bay pm) - Oeste]</v>
      </c>
    </row>
    <row r="30" spans="1:25" ht="28.2" customHeight="1">
      <c r="A30">
        <v>29</v>
      </c>
      <c r="B30" s="2" t="s">
        <v>121</v>
      </c>
      <c r="C30" s="2" t="s">
        <v>13</v>
      </c>
      <c r="D30" s="2" t="s">
        <v>35</v>
      </c>
      <c r="E30" s="2"/>
      <c r="F30" s="4" t="s">
        <v>416</v>
      </c>
      <c r="G30" s="2" t="s">
        <v>414</v>
      </c>
      <c r="H30" s="2" t="s">
        <v>415</v>
      </c>
      <c r="I30" s="2" t="s">
        <v>12</v>
      </c>
      <c r="J30" s="2" t="s">
        <v>9</v>
      </c>
      <c r="K30" s="1">
        <v>90</v>
      </c>
      <c r="L30" s="5" t="s">
        <v>132</v>
      </c>
      <c r="M30" s="2"/>
      <c r="N30" s="4"/>
      <c r="O30" s="1"/>
      <c r="P30" s="1"/>
      <c r="Q30" s="1"/>
      <c r="R30" s="5"/>
      <c r="S30" s="5"/>
      <c r="T30" s="5"/>
      <c r="U30" s="5"/>
      <c r="V30" s="1"/>
      <c r="W30" s="1"/>
      <c r="X30" s="8" t="s">
        <v>77</v>
      </c>
      <c r="Y30" s="7" t="str">
        <f>+LOOKUP(B30,ITINERARY!C$2:C$32,ITINERARY!B$2:B$32)</f>
        <v>[Santa Cruz (Bachas),Santiago (Buccaneer Cove / Egas Port),Rábida / Bartolomé,Genovesa,Santa Cruz ( Giant Tortoise Reserve) / Mosquera Islet,San Cristobal (Cerro Colorado Breeding Center / Punta Pitt),Santa Fe / South Plaza,Santa Cruz (Charles Darwin Station / Highlands),Española,Eden Islet / North Seymour,Santa Cruz (Dragon Hill),Isabela (Vicente Roca Point) / Fernandina (Espinoza Point),Santa Cruz (Charles Darwin Station / Highlands),Floreana]</v>
      </c>
    </row>
    <row r="31" spans="1:25" ht="28.2" customHeight="1">
      <c r="A31">
        <v>30</v>
      </c>
      <c r="B31" s="2" t="s">
        <v>103</v>
      </c>
      <c r="C31" s="2" t="s">
        <v>13</v>
      </c>
      <c r="D31" s="2" t="s">
        <v>35</v>
      </c>
      <c r="E31" s="2"/>
      <c r="F31" s="2" t="s">
        <v>401</v>
      </c>
      <c r="G31" s="2" t="s">
        <v>402</v>
      </c>
      <c r="H31" s="2"/>
      <c r="I31" s="2" t="s">
        <v>12</v>
      </c>
      <c r="J31" s="2" t="s">
        <v>9</v>
      </c>
      <c r="K31" s="1">
        <v>12</v>
      </c>
      <c r="L31" s="5" t="s">
        <v>102</v>
      </c>
      <c r="M31" s="2"/>
      <c r="N31" s="4"/>
      <c r="O31" s="1">
        <v>1</v>
      </c>
      <c r="P31" s="1"/>
      <c r="Q31" s="1"/>
      <c r="R31" s="5"/>
      <c r="S31" s="5"/>
      <c r="T31" s="5"/>
      <c r="U31" s="5"/>
      <c r="V31" s="1"/>
      <c r="W31" s="1"/>
      <c r="X31" s="8" t="s">
        <v>77</v>
      </c>
      <c r="Y31" s="7" t="str">
        <f>+LOOKUP(B31,ITINERARY!C$2:C$32,ITINERARY!B$2:B$32)</f>
        <v>[San Cristobal ( Interpretation Center / Lobos island),San Cristobal (Pitt Point, Witch Hill, Kicker Rock),Española,Floreana,North Seymour / Bartolomé,Genovesa,South Plaza / Santa Fe,Santa Cruz (The Twins / El Chato / Highlands Breeding Center),Chinesse Hat / Rábida,Santiago (Espumilla Beach/ Buccaneer Cove / Egas Port),Fernandina (Espinoza Point) / Isabela (Tagus Cove),Isabela (Elizabeth Bay / Moreno Point),Isabela (Tintoreras / Volcano Chico / Wall of Tears / Breeding Center),Santa Cruz (Highlands / Tortuga Bay)]</v>
      </c>
    </row>
    <row r="32" spans="1:25" ht="28.2" customHeight="1">
      <c r="A32">
        <v>31</v>
      </c>
      <c r="B32" s="3" t="s">
        <v>203</v>
      </c>
      <c r="C32" s="2" t="s">
        <v>13</v>
      </c>
      <c r="D32" s="2" t="s">
        <v>35</v>
      </c>
      <c r="E32" s="2"/>
      <c r="F32" s="2"/>
      <c r="G32" s="2"/>
      <c r="H32" s="4" t="s">
        <v>378</v>
      </c>
      <c r="I32" s="2" t="s">
        <v>11</v>
      </c>
      <c r="J32" s="2" t="s">
        <v>10</v>
      </c>
      <c r="K32" s="1">
        <v>16</v>
      </c>
      <c r="L32" s="5" t="s">
        <v>429</v>
      </c>
      <c r="M32" s="2"/>
      <c r="N32" s="4"/>
      <c r="O32" s="1">
        <v>2</v>
      </c>
      <c r="P32" s="1">
        <v>9</v>
      </c>
      <c r="Q32" s="1"/>
      <c r="R32" s="5"/>
      <c r="S32" s="5"/>
      <c r="T32" s="5"/>
      <c r="U32" s="5"/>
      <c r="V32" s="1"/>
      <c r="W32" s="1"/>
      <c r="X32" s="7" t="s">
        <v>425</v>
      </c>
      <c r="Y32" s="7" t="str">
        <f>+LOOKUP(B32,ITINERARY!C$2:C$32,ITINERARY!B$2:B$32)</f>
        <v>[,,,,,Baltra Transfer to boat / Santa Cruz Punta Carrión PM,Baltra north AM / Seymour land visit PM,Wolf island,Darwin island,Wolf island,Fernandina Cabo Douglas AM / Isabela Punta Vicente Roca PM,Santiago Cousin's Rock AM / Santa Cruz Highlands PM (dinner on own),Baltra transfer to airport,]</v>
      </c>
    </row>
  </sheetData>
  <dataValidations count="1">
    <dataValidation type="list" allowBlank="1" showInputMessage="1" showErrorMessage="1" sqref="D2:D32 U2:U32 Q2:S32 I2:J32 C2 C21:C32" xr:uid="{24F6548D-2F15-45A3-B17E-1F777DB6CA5C}">
      <formula1>#REF!</formula1>
    </dataValidation>
  </dataValidations>
  <hyperlinks>
    <hyperlink ref="L5:L6" r:id="rId1" display="https://www.royalgalapagos.com/product/grand-majestic/" xr:uid="{952DFD8D-26C8-442A-881E-B7E069AF81D1}"/>
    <hyperlink ref="L7" r:id="rId2" xr:uid="{38AD02B9-1241-488A-A9BB-64525E112130}"/>
    <hyperlink ref="L19" r:id="rId3" xr:uid="{4B10010F-F687-4115-A379-7112CE95F5A2}"/>
    <hyperlink ref="L21" r:id="rId4" xr:uid="{B8106C90-84F7-423A-87F0-02C4F55419BB}"/>
    <hyperlink ref="L22" r:id="rId5" xr:uid="{501C8BD0-E97E-4E6E-BAFA-7EC162C9E65E}"/>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ADF461-CD40-4E0B-A1AA-C2C69C3A497A}">
  <dimension ref="A1:F81"/>
  <sheetViews>
    <sheetView workbookViewId="0">
      <selection activeCell="I10" sqref="I10"/>
    </sheetView>
  </sheetViews>
  <sheetFormatPr defaultRowHeight="15.6"/>
  <cols>
    <col min="1" max="1" width="18.59765625" style="2" bestFit="1" customWidth="1"/>
    <col min="2" max="2" width="8.5" style="2" bestFit="1" customWidth="1"/>
    <col min="3" max="3" width="61.09765625" style="7" bestFit="1" customWidth="1"/>
    <col min="4" max="4" width="60.69921875" style="7" bestFit="1" customWidth="1"/>
    <col min="5" max="5" width="15" style="8" bestFit="1" customWidth="1"/>
    <col min="6" max="6" width="26.09765625" style="8" bestFit="1" customWidth="1"/>
  </cols>
  <sheetData>
    <row r="1" spans="1:6">
      <c r="A1" s="16" t="s">
        <v>597</v>
      </c>
      <c r="B1" s="20" t="s">
        <v>624</v>
      </c>
      <c r="C1" s="17" t="s">
        <v>616</v>
      </c>
      <c r="D1" s="17" t="s">
        <v>617</v>
      </c>
      <c r="E1" s="18" t="s">
        <v>625</v>
      </c>
      <c r="F1" s="17" t="s">
        <v>618</v>
      </c>
    </row>
    <row r="2" spans="1:6" ht="31.2">
      <c r="A2" s="3" t="s">
        <v>198</v>
      </c>
      <c r="B2" s="3">
        <f>+LOOKUP(A2,CRUISE!B$2:B$32,CRUISE!A$2:A$32)</f>
        <v>1</v>
      </c>
      <c r="C2" s="7" t="s">
        <v>334</v>
      </c>
      <c r="E2" s="9">
        <v>8</v>
      </c>
      <c r="F2" s="8" t="s">
        <v>336</v>
      </c>
    </row>
    <row r="3" spans="1:6">
      <c r="A3" s="2" t="s">
        <v>146</v>
      </c>
      <c r="B3" s="3">
        <f>+LOOKUP(A3,CRUISE!B$2:B$32,CRUISE!A$2:A$32)</f>
        <v>2</v>
      </c>
      <c r="C3" s="7" t="s">
        <v>148</v>
      </c>
      <c r="E3" s="9">
        <v>9</v>
      </c>
    </row>
    <row r="4" spans="1:6">
      <c r="A4" s="3" t="s">
        <v>199</v>
      </c>
      <c r="B4" s="3">
        <f>+LOOKUP(A4,CRUISE!B$2:B$32,CRUISE!A$2:A$32)</f>
        <v>3</v>
      </c>
      <c r="C4" s="7" t="s">
        <v>362</v>
      </c>
      <c r="E4" s="9">
        <v>10</v>
      </c>
      <c r="F4" s="8" t="s">
        <v>376</v>
      </c>
    </row>
    <row r="5" spans="1:6" ht="31.2">
      <c r="A5" s="3" t="s">
        <v>86</v>
      </c>
      <c r="B5" s="3">
        <f>+LOOKUP(A5,CRUISE!B$2:B$32,CRUISE!A$2:A$32)</f>
        <v>4</v>
      </c>
      <c r="C5" s="7" t="s">
        <v>449</v>
      </c>
      <c r="D5" s="7" t="s">
        <v>347</v>
      </c>
      <c r="E5" s="9">
        <v>8</v>
      </c>
      <c r="F5" s="8" t="s">
        <v>354</v>
      </c>
    </row>
    <row r="6" spans="1:6" ht="31.2">
      <c r="A6" s="3" t="s">
        <v>86</v>
      </c>
      <c r="B6" s="3">
        <f>+LOOKUP(A6,CRUISE!B$2:B$32,CRUISE!A$2:A$32)</f>
        <v>4</v>
      </c>
      <c r="C6" s="7" t="s">
        <v>452</v>
      </c>
      <c r="D6" s="7" t="s">
        <v>347</v>
      </c>
      <c r="E6" s="9">
        <v>8</v>
      </c>
    </row>
    <row r="7" spans="1:6" ht="31.2">
      <c r="A7" s="3" t="s">
        <v>86</v>
      </c>
      <c r="B7" s="3">
        <f>+LOOKUP(A7,CRUISE!B$2:B$32,CRUISE!A$2:A$32)</f>
        <v>4</v>
      </c>
      <c r="C7" s="7" t="s">
        <v>455</v>
      </c>
      <c r="D7" s="7" t="s">
        <v>347</v>
      </c>
      <c r="E7" s="9">
        <v>8</v>
      </c>
    </row>
    <row r="8" spans="1:6">
      <c r="A8" s="2" t="s">
        <v>137</v>
      </c>
      <c r="B8" s="3">
        <f>+LOOKUP(A8,CRUISE!B$2:B$32,CRUISE!A$2:A$32)</f>
        <v>5</v>
      </c>
      <c r="C8" s="7" t="s">
        <v>139</v>
      </c>
      <c r="E8" s="9">
        <v>8</v>
      </c>
      <c r="F8" s="8" t="s">
        <v>138</v>
      </c>
    </row>
    <row r="9" spans="1:6" ht="46.8">
      <c r="A9" s="2" t="s">
        <v>485</v>
      </c>
      <c r="B9" s="3">
        <f>+LOOKUP(A9,CRUISE!B$2:B$32,CRUISE!A$2:A$32)</f>
        <v>6</v>
      </c>
      <c r="C9" s="7" t="s">
        <v>479</v>
      </c>
      <c r="D9" s="7" t="s">
        <v>486</v>
      </c>
      <c r="E9" s="9">
        <v>2</v>
      </c>
      <c r="F9" s="10">
        <f>4445*0.8</f>
        <v>3556</v>
      </c>
    </row>
    <row r="10" spans="1:6" ht="46.8">
      <c r="A10" s="2" t="s">
        <v>485</v>
      </c>
      <c r="B10" s="3">
        <f>+LOOKUP(A10,CRUISE!B$2:B$32,CRUISE!A$2:A$32)</f>
        <v>6</v>
      </c>
      <c r="C10" s="7" t="s">
        <v>480</v>
      </c>
      <c r="D10" s="7" t="s">
        <v>486</v>
      </c>
      <c r="E10" s="9">
        <v>6</v>
      </c>
      <c r="F10" s="10">
        <f>3945*0.8</f>
        <v>3156</v>
      </c>
    </row>
    <row r="11" spans="1:6" ht="46.8">
      <c r="A11" s="2" t="s">
        <v>485</v>
      </c>
      <c r="B11" s="3">
        <f>+LOOKUP(A11,CRUISE!B$2:B$32,CRUISE!A$2:A$32)</f>
        <v>6</v>
      </c>
      <c r="C11" s="7" t="s">
        <v>481</v>
      </c>
      <c r="D11" s="7" t="s">
        <v>486</v>
      </c>
      <c r="E11" s="9">
        <v>8</v>
      </c>
      <c r="F11" s="10">
        <f>58450*0.8</f>
        <v>46760</v>
      </c>
    </row>
    <row r="12" spans="1:6" ht="46.8">
      <c r="A12" s="2" t="s">
        <v>485</v>
      </c>
      <c r="B12" s="3">
        <f>+LOOKUP(A12,CRUISE!B$2:B$32,CRUISE!A$2:A$32)</f>
        <v>6</v>
      </c>
      <c r="C12" s="7" t="s">
        <v>482</v>
      </c>
      <c r="D12" s="7" t="s">
        <v>486</v>
      </c>
      <c r="E12" s="9">
        <v>2</v>
      </c>
      <c r="F12" s="10">
        <f>5945*0.8</f>
        <v>4756</v>
      </c>
    </row>
    <row r="13" spans="1:6" ht="46.8">
      <c r="A13" s="2" t="s">
        <v>485</v>
      </c>
      <c r="B13" s="3">
        <f>+LOOKUP(A13,CRUISE!B$2:B$32,CRUISE!A$2:A$32)</f>
        <v>6</v>
      </c>
      <c r="C13" s="7" t="s">
        <v>483</v>
      </c>
      <c r="D13" s="7" t="s">
        <v>486</v>
      </c>
      <c r="E13" s="9">
        <v>6</v>
      </c>
      <c r="F13" s="10">
        <f>5245*0.8</f>
        <v>4196</v>
      </c>
    </row>
    <row r="14" spans="1:6" ht="46.8">
      <c r="A14" s="2" t="s">
        <v>485</v>
      </c>
      <c r="B14" s="3">
        <f>+LOOKUP(A14,CRUISE!B$2:B$32,CRUISE!A$2:A$32)</f>
        <v>6</v>
      </c>
      <c r="C14" s="7" t="s">
        <v>484</v>
      </c>
      <c r="D14" s="7" t="s">
        <v>486</v>
      </c>
      <c r="E14" s="9">
        <v>8</v>
      </c>
      <c r="F14" s="10">
        <f>78450*0.8</f>
        <v>62760</v>
      </c>
    </row>
    <row r="15" spans="1:6" ht="46.8">
      <c r="A15" s="2" t="s">
        <v>485</v>
      </c>
      <c r="B15" s="3">
        <f>+LOOKUP(A15,CRUISE!B$2:B$32,CRUISE!A$2:A$32)</f>
        <v>6</v>
      </c>
      <c r="C15" s="7" t="s">
        <v>487</v>
      </c>
      <c r="D15" s="7" t="s">
        <v>486</v>
      </c>
      <c r="E15" s="9">
        <v>2</v>
      </c>
      <c r="F15" s="10">
        <f>9145*0.8</f>
        <v>7316</v>
      </c>
    </row>
    <row r="16" spans="1:6" ht="46.8">
      <c r="A16" s="2" t="s">
        <v>485</v>
      </c>
      <c r="B16" s="3">
        <f>+LOOKUP(A16,CRUISE!B$2:B$32,CRUISE!A$2:A$32)</f>
        <v>6</v>
      </c>
      <c r="C16" s="7" t="s">
        <v>488</v>
      </c>
      <c r="D16" s="7" t="s">
        <v>486</v>
      </c>
      <c r="E16" s="9">
        <v>6</v>
      </c>
      <c r="F16" s="10">
        <f>8145*0.8</f>
        <v>6516</v>
      </c>
    </row>
    <row r="17" spans="1:6" ht="46.8">
      <c r="A17" s="2" t="s">
        <v>485</v>
      </c>
      <c r="B17" s="3">
        <f>+LOOKUP(A17,CRUISE!B$2:B$32,CRUISE!A$2:A$32)</f>
        <v>6</v>
      </c>
      <c r="C17" s="7" t="s">
        <v>489</v>
      </c>
      <c r="D17" s="7" t="s">
        <v>486</v>
      </c>
      <c r="E17" s="9">
        <v>8</v>
      </c>
      <c r="F17" s="10">
        <f>114450*0.8</f>
        <v>91560</v>
      </c>
    </row>
    <row r="18" spans="1:6" ht="31.2">
      <c r="A18" s="3" t="s">
        <v>196</v>
      </c>
      <c r="B18" s="3">
        <f>+LOOKUP(A18,CRUISE!B$2:B$32,CRUISE!A$2:A$32)</f>
        <v>7</v>
      </c>
      <c r="C18" s="7" t="s">
        <v>308</v>
      </c>
      <c r="E18" s="9">
        <v>8</v>
      </c>
      <c r="F18" s="8" t="s">
        <v>304</v>
      </c>
    </row>
    <row r="19" spans="1:6">
      <c r="A19" s="2" t="s">
        <v>57</v>
      </c>
      <c r="B19" s="3">
        <f>+LOOKUP(A19,CRUISE!B$2:B$32,CRUISE!A$2:A$32)</f>
        <v>8</v>
      </c>
      <c r="C19" s="7" t="s">
        <v>58</v>
      </c>
      <c r="E19" s="9">
        <v>9</v>
      </c>
      <c r="F19" s="8" t="s">
        <v>56</v>
      </c>
    </row>
    <row r="20" spans="1:6">
      <c r="A20" s="2" t="s">
        <v>39</v>
      </c>
      <c r="B20" s="3">
        <f>+LOOKUP(A20,CRUISE!B$2:B$32,CRUISE!A$2:A$32)</f>
        <v>9</v>
      </c>
      <c r="C20" s="7" t="s">
        <v>58</v>
      </c>
      <c r="E20" s="9">
        <v>9</v>
      </c>
      <c r="F20" s="8" t="s">
        <v>56</v>
      </c>
    </row>
    <row r="21" spans="1:6">
      <c r="A21" s="2" t="s">
        <v>158</v>
      </c>
      <c r="B21" s="3">
        <f>+LOOKUP(A21,CRUISE!B$2:B$32,CRUISE!A$2:A$32)</f>
        <v>10</v>
      </c>
      <c r="C21" s="7" t="s">
        <v>159</v>
      </c>
      <c r="E21" s="9">
        <v>16</v>
      </c>
      <c r="F21" s="8" t="s">
        <v>170</v>
      </c>
    </row>
    <row r="22" spans="1:6">
      <c r="A22" s="2" t="s">
        <v>184</v>
      </c>
      <c r="B22" s="3">
        <f>+LOOKUP(A22,CRUISE!B$2:B$32,CRUISE!A$2:A$32)</f>
        <v>11</v>
      </c>
      <c r="C22" s="7" t="s">
        <v>185</v>
      </c>
      <c r="E22" s="9">
        <v>47</v>
      </c>
      <c r="F22" s="8" t="s">
        <v>192</v>
      </c>
    </row>
    <row r="23" spans="1:6">
      <c r="A23" s="3" t="s">
        <v>201</v>
      </c>
      <c r="B23" s="3">
        <f>+LOOKUP(A23,CRUISE!B$2:B$32,CRUISE!A$2:A$32)</f>
        <v>12</v>
      </c>
      <c r="C23" s="7" t="s">
        <v>390</v>
      </c>
      <c r="E23" s="9">
        <v>9</v>
      </c>
      <c r="F23" s="8" t="s">
        <v>398</v>
      </c>
    </row>
    <row r="24" spans="1:6" ht="31.2">
      <c r="A24" s="3" t="s">
        <v>202</v>
      </c>
      <c r="B24" s="3">
        <f>+LOOKUP(A24,CRUISE!B$2:B$32,CRUISE!A$2:A$32)</f>
        <v>13</v>
      </c>
      <c r="C24" s="7" t="s">
        <v>405</v>
      </c>
      <c r="E24" s="9">
        <v>8</v>
      </c>
      <c r="F24" s="7" t="s">
        <v>412</v>
      </c>
    </row>
    <row r="25" spans="1:6">
      <c r="A25" s="3" t="s">
        <v>194</v>
      </c>
      <c r="B25" s="3">
        <f>+LOOKUP(A25,CRUISE!B$2:B$32,CRUISE!A$2:A$32)</f>
        <v>14</v>
      </c>
      <c r="C25" s="7" t="s">
        <v>247</v>
      </c>
      <c r="E25" s="9">
        <v>9</v>
      </c>
      <c r="F25" s="8" t="s">
        <v>264</v>
      </c>
    </row>
    <row r="26" spans="1:6" ht="46.8">
      <c r="A26" s="3" t="s">
        <v>195</v>
      </c>
      <c r="B26" s="3">
        <f>+LOOKUP(A26,CRUISE!B$2:B$32,CRUISE!A$2:A$32)</f>
        <v>15</v>
      </c>
      <c r="C26" s="7" t="s">
        <v>268</v>
      </c>
      <c r="E26" s="9">
        <v>8</v>
      </c>
      <c r="F26" s="8" t="s">
        <v>285</v>
      </c>
    </row>
    <row r="27" spans="1:6" ht="156">
      <c r="A27" s="2" t="s">
        <v>74</v>
      </c>
      <c r="B27" s="3">
        <f>+LOOKUP(A27,CRUISE!B$2:B$32,CRUISE!A$2:A$32)</f>
        <v>16</v>
      </c>
      <c r="C27" s="7" t="s">
        <v>509</v>
      </c>
      <c r="D27" s="7" t="s">
        <v>508</v>
      </c>
      <c r="E27" s="9">
        <v>8</v>
      </c>
      <c r="F27" s="10">
        <f>41450*0.8</f>
        <v>33160</v>
      </c>
    </row>
    <row r="28" spans="1:6" ht="156">
      <c r="A28" s="2" t="s">
        <v>74</v>
      </c>
      <c r="B28" s="3">
        <f>+LOOKUP(A28,CRUISE!B$2:B$32,CRUISE!A$2:A$32)</f>
        <v>16</v>
      </c>
      <c r="C28" s="7" t="s">
        <v>510</v>
      </c>
      <c r="D28" s="7" t="s">
        <v>508</v>
      </c>
      <c r="E28" s="9">
        <v>8</v>
      </c>
      <c r="F28" s="10">
        <f>45450*0.8</f>
        <v>36360</v>
      </c>
    </row>
    <row r="29" spans="1:6" ht="156">
      <c r="A29" s="2" t="s">
        <v>74</v>
      </c>
      <c r="B29" s="3">
        <f>+LOOKUP(A29,CRUISE!B$2:B$32,CRUISE!A$2:A$32)</f>
        <v>16</v>
      </c>
      <c r="C29" s="7" t="s">
        <v>511</v>
      </c>
      <c r="D29" s="7" t="s">
        <v>508</v>
      </c>
      <c r="E29" s="9">
        <v>8</v>
      </c>
      <c r="F29" s="10">
        <f>58450*0.8</f>
        <v>46760</v>
      </c>
    </row>
    <row r="30" spans="1:6" ht="156">
      <c r="A30" s="2" t="s">
        <v>74</v>
      </c>
      <c r="B30" s="3">
        <f>+LOOKUP(A30,CRUISE!B$2:B$32,CRUISE!A$2:A$32)</f>
        <v>16</v>
      </c>
      <c r="C30" s="7" t="s">
        <v>512</v>
      </c>
      <c r="D30" s="7" t="s">
        <v>508</v>
      </c>
      <c r="E30" s="9">
        <v>8</v>
      </c>
      <c r="F30" s="10">
        <f>63450*0.8</f>
        <v>50760</v>
      </c>
    </row>
    <row r="31" spans="1:6" ht="156">
      <c r="A31" s="2" t="s">
        <v>74</v>
      </c>
      <c r="B31" s="3">
        <f>+LOOKUP(A31,CRUISE!B$2:B$32,CRUISE!A$2:A$32)</f>
        <v>16</v>
      </c>
      <c r="C31" s="7" t="s">
        <v>514</v>
      </c>
      <c r="D31" s="7" t="s">
        <v>508</v>
      </c>
      <c r="E31" s="9">
        <v>8</v>
      </c>
      <c r="F31" s="10">
        <f>89450*0.8</f>
        <v>71560</v>
      </c>
    </row>
    <row r="32" spans="1:6" ht="156">
      <c r="A32" s="2" t="s">
        <v>74</v>
      </c>
      <c r="B32" s="3">
        <f>+LOOKUP(A32,CRUISE!B$2:B$32,CRUISE!A$2:A$32)</f>
        <v>16</v>
      </c>
      <c r="C32" s="7" t="s">
        <v>513</v>
      </c>
      <c r="D32" s="7" t="s">
        <v>508</v>
      </c>
      <c r="E32" s="9">
        <v>8</v>
      </c>
      <c r="F32" s="10">
        <f>100450*0.8</f>
        <v>80360</v>
      </c>
    </row>
    <row r="33" spans="1:6" ht="156">
      <c r="A33" s="2" t="s">
        <v>74</v>
      </c>
      <c r="B33" s="3">
        <f>+LOOKUP(A33,CRUISE!B$2:B$32,CRUISE!A$2:A$32)</f>
        <v>16</v>
      </c>
      <c r="C33" s="7" t="s">
        <v>515</v>
      </c>
      <c r="D33" s="7" t="s">
        <v>508</v>
      </c>
      <c r="E33" s="9">
        <v>8</v>
      </c>
      <c r="F33" s="10">
        <f>139450*0.8</f>
        <v>111560</v>
      </c>
    </row>
    <row r="34" spans="1:6" ht="156">
      <c r="A34" s="2" t="s">
        <v>74</v>
      </c>
      <c r="B34" s="3">
        <f>+LOOKUP(A34,CRUISE!B$2:B$32,CRUISE!A$2:A$32)</f>
        <v>16</v>
      </c>
      <c r="C34" s="7" t="s">
        <v>516</v>
      </c>
      <c r="D34" s="7" t="s">
        <v>508</v>
      </c>
      <c r="E34" s="9">
        <v>1</v>
      </c>
      <c r="F34" s="10">
        <f>3745*0.8</f>
        <v>2996</v>
      </c>
    </row>
    <row r="35" spans="1:6" ht="156">
      <c r="A35" s="2" t="s">
        <v>74</v>
      </c>
      <c r="B35" s="3">
        <f>+LOOKUP(A35,CRUISE!B$2:B$32,CRUISE!A$2:A$32)</f>
        <v>16</v>
      </c>
      <c r="C35" s="7" t="s">
        <v>517</v>
      </c>
      <c r="D35" s="7" t="s">
        <v>508</v>
      </c>
      <c r="E35" s="9">
        <v>7</v>
      </c>
      <c r="F35" s="10">
        <f>2945*0.8</f>
        <v>2356</v>
      </c>
    </row>
    <row r="36" spans="1:6" ht="156">
      <c r="A36" s="2" t="s">
        <v>74</v>
      </c>
      <c r="B36" s="3">
        <f>+LOOKUP(A36,CRUISE!B$2:B$32,CRUISE!A$2:A$32)</f>
        <v>16</v>
      </c>
      <c r="C36" s="7" t="s">
        <v>518</v>
      </c>
      <c r="D36" s="7" t="s">
        <v>508</v>
      </c>
      <c r="E36" s="9">
        <v>1</v>
      </c>
      <c r="F36" s="10">
        <f>5445*0.8</f>
        <v>4356</v>
      </c>
    </row>
    <row r="37" spans="1:6" ht="156">
      <c r="A37" s="2" t="s">
        <v>74</v>
      </c>
      <c r="B37" s="3">
        <f>+LOOKUP(A37,CRUISE!B$2:B$32,CRUISE!A$2:A$32)</f>
        <v>16</v>
      </c>
      <c r="C37" s="7" t="s">
        <v>519</v>
      </c>
      <c r="D37" s="7" t="s">
        <v>508</v>
      </c>
      <c r="E37" s="9">
        <v>7</v>
      </c>
      <c r="F37" s="10">
        <f>4245*0.8</f>
        <v>3396</v>
      </c>
    </row>
    <row r="38" spans="1:6" ht="156">
      <c r="A38" s="2" t="s">
        <v>74</v>
      </c>
      <c r="B38" s="3">
        <f>+LOOKUP(A38,CRUISE!B$2:B$32,CRUISE!A$2:A$32)</f>
        <v>16</v>
      </c>
      <c r="C38" s="7" t="s">
        <v>520</v>
      </c>
      <c r="D38" s="7" t="s">
        <v>508</v>
      </c>
      <c r="E38" s="9">
        <v>1</v>
      </c>
      <c r="F38" s="10">
        <f>8845*0.8</f>
        <v>7076</v>
      </c>
    </row>
    <row r="39" spans="1:6" ht="156">
      <c r="A39" s="2" t="s">
        <v>74</v>
      </c>
      <c r="B39" s="3">
        <f>+LOOKUP(A39,CRUISE!B$2:B$32,CRUISE!A$2:A$32)</f>
        <v>16</v>
      </c>
      <c r="C39" s="7" t="s">
        <v>521</v>
      </c>
      <c r="D39" s="7" t="s">
        <v>508</v>
      </c>
      <c r="E39" s="9">
        <v>7</v>
      </c>
      <c r="F39" s="10">
        <f>6345*0.8</f>
        <v>5076</v>
      </c>
    </row>
    <row r="40" spans="1:6" ht="31.2">
      <c r="A40" s="3" t="s">
        <v>200</v>
      </c>
      <c r="B40" s="3">
        <f>+LOOKUP(A40,CRUISE!B$2:B$32,CRUISE!A$2:A$32)</f>
        <v>17</v>
      </c>
      <c r="C40" s="7" t="s">
        <v>379</v>
      </c>
      <c r="E40" s="9">
        <v>8</v>
      </c>
      <c r="F40" s="8" t="s">
        <v>387</v>
      </c>
    </row>
    <row r="41" spans="1:6" ht="93.6">
      <c r="A41" s="2" t="s">
        <v>79</v>
      </c>
      <c r="B41" s="3">
        <f>+LOOKUP(A41,CRUISE!B$2:B$32,CRUISE!A$2:A$32)</f>
        <v>18</v>
      </c>
      <c r="C41" s="7" t="s">
        <v>539</v>
      </c>
      <c r="D41" s="7" t="s">
        <v>538</v>
      </c>
      <c r="E41" s="9">
        <v>8</v>
      </c>
      <c r="F41" s="10">
        <f>3845*0.8</f>
        <v>3076</v>
      </c>
    </row>
    <row r="42" spans="1:6" ht="93.6">
      <c r="A42" s="2" t="s">
        <v>79</v>
      </c>
      <c r="B42" s="3">
        <f>+LOOKUP(A42,CRUISE!B$2:B$32,CRUISE!A$2:A$32)</f>
        <v>18</v>
      </c>
      <c r="C42" s="7" t="s">
        <v>540</v>
      </c>
      <c r="D42" s="7" t="s">
        <v>538</v>
      </c>
      <c r="E42" s="9">
        <v>2</v>
      </c>
      <c r="F42" s="10">
        <f>4445*0.8</f>
        <v>3556</v>
      </c>
    </row>
    <row r="43" spans="1:6" ht="93.6">
      <c r="A43" s="2" t="s">
        <v>79</v>
      </c>
      <c r="B43" s="3">
        <f>+LOOKUP(A43,CRUISE!B$2:B$32,CRUISE!A$2:A$32)</f>
        <v>18</v>
      </c>
      <c r="C43" s="11" t="s">
        <v>541</v>
      </c>
      <c r="D43" s="7" t="s">
        <v>538</v>
      </c>
      <c r="E43" s="9">
        <v>10</v>
      </c>
      <c r="F43" s="10">
        <f>67450*0.8</f>
        <v>53960</v>
      </c>
    </row>
    <row r="44" spans="1:6" ht="93.6">
      <c r="A44" s="2" t="s">
        <v>79</v>
      </c>
      <c r="B44" s="3">
        <f>+LOOKUP(A44,CRUISE!B$2:B$32,CRUISE!A$2:A$32)</f>
        <v>18</v>
      </c>
      <c r="C44" s="7" t="s">
        <v>542</v>
      </c>
      <c r="D44" s="7" t="s">
        <v>538</v>
      </c>
      <c r="E44" s="9">
        <v>8</v>
      </c>
      <c r="F44" s="10">
        <f>5345*0.8</f>
        <v>4276</v>
      </c>
    </row>
    <row r="45" spans="1:6" ht="93.6">
      <c r="A45" s="2" t="s">
        <v>79</v>
      </c>
      <c r="B45" s="3">
        <f>+LOOKUP(A45,CRUISE!B$2:B$32,CRUISE!A$2:A$32)</f>
        <v>18</v>
      </c>
      <c r="C45" s="7" t="s">
        <v>543</v>
      </c>
      <c r="D45" s="7" t="s">
        <v>538</v>
      </c>
      <c r="E45" s="9">
        <v>2</v>
      </c>
      <c r="F45" s="10">
        <f>6045*0.8</f>
        <v>4836</v>
      </c>
    </row>
    <row r="46" spans="1:6" ht="93.6">
      <c r="A46" s="2" t="s">
        <v>79</v>
      </c>
      <c r="B46" s="3">
        <f>+LOOKUP(A46,CRUISE!B$2:B$32,CRUISE!A$2:A$32)</f>
        <v>18</v>
      </c>
      <c r="C46" s="11" t="s">
        <v>544</v>
      </c>
      <c r="D46" s="7" t="s">
        <v>538</v>
      </c>
      <c r="E46" s="9">
        <v>10</v>
      </c>
      <c r="F46" s="10">
        <f>93450*0.8</f>
        <v>74760</v>
      </c>
    </row>
    <row r="47" spans="1:6" ht="93.6">
      <c r="A47" s="2" t="s">
        <v>79</v>
      </c>
      <c r="B47" s="3">
        <f>+LOOKUP(A47,CRUISE!B$2:B$32,CRUISE!A$2:A$32)</f>
        <v>18</v>
      </c>
      <c r="C47" s="7" t="s">
        <v>545</v>
      </c>
      <c r="D47" s="7" t="s">
        <v>538</v>
      </c>
      <c r="E47" s="9">
        <v>8</v>
      </c>
      <c r="F47" s="10">
        <f>8145*0.8</f>
        <v>6516</v>
      </c>
    </row>
    <row r="48" spans="1:6" ht="93.6">
      <c r="A48" s="2" t="s">
        <v>79</v>
      </c>
      <c r="B48" s="3">
        <f>+LOOKUP(A48,CRUISE!B$2:B$32,CRUISE!A$2:A$32)</f>
        <v>18</v>
      </c>
      <c r="C48" s="7" t="s">
        <v>546</v>
      </c>
      <c r="D48" s="7" t="s">
        <v>538</v>
      </c>
      <c r="E48" s="9">
        <v>2</v>
      </c>
      <c r="F48" s="10">
        <f>9345*0.8</f>
        <v>7476</v>
      </c>
    </row>
    <row r="49" spans="1:6" ht="93.6">
      <c r="A49" s="2" t="s">
        <v>79</v>
      </c>
      <c r="B49" s="3">
        <f>+LOOKUP(A49,CRUISE!B$2:B$32,CRUISE!A$2:A$32)</f>
        <v>18</v>
      </c>
      <c r="C49" s="11" t="s">
        <v>547</v>
      </c>
      <c r="D49" s="7" t="s">
        <v>538</v>
      </c>
      <c r="E49" s="9">
        <v>10</v>
      </c>
      <c r="F49" s="10">
        <f>142450*0.8</f>
        <v>113960</v>
      </c>
    </row>
    <row r="50" spans="1:6">
      <c r="A50" s="2" t="s">
        <v>17</v>
      </c>
      <c r="B50" s="3">
        <f>+LOOKUP(A50,CRUISE!B$2:B$32,CRUISE!A$2:A$32)</f>
        <v>19</v>
      </c>
      <c r="C50" s="7" t="s">
        <v>20</v>
      </c>
      <c r="E50" s="9">
        <v>9</v>
      </c>
    </row>
    <row r="51" spans="1:6" ht="46.8">
      <c r="A51" s="2" t="s">
        <v>133</v>
      </c>
      <c r="B51" s="3">
        <f>+LOOKUP(A51,CRUISE!B$2:B$32,CRUISE!A$2:A$32)</f>
        <v>20</v>
      </c>
      <c r="C51" s="7" t="s">
        <v>578</v>
      </c>
      <c r="D51" s="7" t="s">
        <v>586</v>
      </c>
      <c r="E51" s="9">
        <v>1</v>
      </c>
      <c r="F51" s="10">
        <f>4405*0.85</f>
        <v>3744.25</v>
      </c>
    </row>
    <row r="52" spans="1:6" ht="46.8">
      <c r="A52" s="2" t="s">
        <v>133</v>
      </c>
      <c r="B52" s="3">
        <f>+LOOKUP(A52,CRUISE!B$2:B$32,CRUISE!A$2:A$32)</f>
        <v>20</v>
      </c>
      <c r="C52" s="7" t="s">
        <v>582</v>
      </c>
      <c r="D52" s="7" t="s">
        <v>586</v>
      </c>
      <c r="E52" s="9">
        <v>16</v>
      </c>
      <c r="F52" s="10">
        <f>4214*0.85</f>
        <v>3581.9</v>
      </c>
    </row>
    <row r="53" spans="1:6" ht="46.8">
      <c r="A53" s="2" t="s">
        <v>133</v>
      </c>
      <c r="B53" s="3">
        <f>+LOOKUP(A53,CRUISE!B$2:B$32,CRUISE!A$2:A$32)</f>
        <v>20</v>
      </c>
      <c r="C53" s="7" t="s">
        <v>583</v>
      </c>
      <c r="D53" s="7" t="s">
        <v>586</v>
      </c>
      <c r="E53" s="9">
        <v>2</v>
      </c>
      <c r="F53" s="10">
        <f>4214*0.85</f>
        <v>3581.9</v>
      </c>
    </row>
    <row r="54" spans="1:6" ht="46.8">
      <c r="A54" s="2" t="s">
        <v>133</v>
      </c>
      <c r="B54" s="3">
        <f>+LOOKUP(A54,CRUISE!B$2:B$32,CRUISE!A$2:A$32)</f>
        <v>20</v>
      </c>
      <c r="C54" s="7" t="s">
        <v>579</v>
      </c>
      <c r="D54" s="7" t="s">
        <v>586</v>
      </c>
      <c r="E54" s="9">
        <v>1</v>
      </c>
      <c r="F54" s="10">
        <f>3973*0.85</f>
        <v>3377.0499999999997</v>
      </c>
    </row>
    <row r="55" spans="1:6" ht="46.8">
      <c r="A55" s="2" t="s">
        <v>133</v>
      </c>
      <c r="B55" s="3">
        <f>+LOOKUP(A55,CRUISE!B$2:B$32,CRUISE!A$2:A$32)</f>
        <v>20</v>
      </c>
      <c r="C55" s="7" t="s">
        <v>580</v>
      </c>
      <c r="D55" s="7" t="s">
        <v>586</v>
      </c>
      <c r="E55" s="9">
        <v>1</v>
      </c>
      <c r="F55" s="10">
        <f>5940*0.85</f>
        <v>5049</v>
      </c>
    </row>
    <row r="56" spans="1:6" ht="46.8">
      <c r="A56" s="2" t="s">
        <v>133</v>
      </c>
      <c r="B56" s="3">
        <f>+LOOKUP(A56,CRUISE!B$2:B$32,CRUISE!A$2:A$32)</f>
        <v>20</v>
      </c>
      <c r="C56" s="7" t="s">
        <v>584</v>
      </c>
      <c r="D56" s="7" t="s">
        <v>586</v>
      </c>
      <c r="E56" s="9">
        <v>16</v>
      </c>
      <c r="F56" s="10">
        <f>5672*0.85</f>
        <v>4821.2</v>
      </c>
    </row>
    <row r="57" spans="1:6" ht="46.8">
      <c r="A57" s="2" t="s">
        <v>133</v>
      </c>
      <c r="B57" s="3">
        <f>+LOOKUP(A57,CRUISE!B$2:B$32,CRUISE!A$2:A$32)</f>
        <v>20</v>
      </c>
      <c r="C57" s="7" t="s">
        <v>585</v>
      </c>
      <c r="D57" s="7" t="s">
        <v>586</v>
      </c>
      <c r="E57" s="9">
        <v>2</v>
      </c>
      <c r="F57" s="10">
        <f>5672*0.85</f>
        <v>4821.2</v>
      </c>
    </row>
    <row r="58" spans="1:6" ht="46.8">
      <c r="A58" s="2" t="s">
        <v>133</v>
      </c>
      <c r="B58" s="3">
        <f>+LOOKUP(A58,CRUISE!B$2:B$32,CRUISE!A$2:A$32)</f>
        <v>20</v>
      </c>
      <c r="C58" s="7" t="s">
        <v>581</v>
      </c>
      <c r="D58" s="7" t="s">
        <v>586</v>
      </c>
      <c r="E58" s="9">
        <v>1</v>
      </c>
      <c r="F58" s="10">
        <f>5348*0.85</f>
        <v>4545.8</v>
      </c>
    </row>
    <row r="59" spans="1:6">
      <c r="A59" s="2" t="s">
        <v>115</v>
      </c>
      <c r="B59" s="3">
        <f>+LOOKUP(A59,CRUISE!B$2:B$32,CRUISE!A$2:A$32)</f>
        <v>21</v>
      </c>
      <c r="C59" s="7" t="s">
        <v>567</v>
      </c>
      <c r="D59" s="7" t="s">
        <v>566</v>
      </c>
      <c r="E59" s="9">
        <v>24</v>
      </c>
      <c r="F59" s="10">
        <f>5225*0.85</f>
        <v>4441.25</v>
      </c>
    </row>
    <row r="60" spans="1:6">
      <c r="A60" s="2" t="s">
        <v>115</v>
      </c>
      <c r="B60" s="3">
        <f>+LOOKUP(A60,CRUISE!B$2:B$32,CRUISE!A$2:A$32)</f>
        <v>21</v>
      </c>
      <c r="C60" s="7" t="s">
        <v>568</v>
      </c>
      <c r="D60" s="7" t="s">
        <v>566</v>
      </c>
      <c r="E60" s="9">
        <v>24</v>
      </c>
      <c r="F60" s="10">
        <f>7001*0.85</f>
        <v>5950.8499999999995</v>
      </c>
    </row>
    <row r="61" spans="1:6">
      <c r="A61" s="2" t="s">
        <v>171</v>
      </c>
      <c r="B61" s="3">
        <f>+LOOKUP(A61,CRUISE!B$2:B$32,CRUISE!A$2:A$32)</f>
        <v>22</v>
      </c>
      <c r="C61" s="7" t="s">
        <v>173</v>
      </c>
      <c r="E61" s="9">
        <v>56</v>
      </c>
      <c r="F61" s="8" t="s">
        <v>181</v>
      </c>
    </row>
    <row r="62" spans="1:6" ht="31.2">
      <c r="A62" s="3" t="s">
        <v>357</v>
      </c>
      <c r="B62" s="3">
        <f>+LOOKUP(A62,CRUISE!B$2:B$32,CRUISE!A$2:A$32)</f>
        <v>23</v>
      </c>
      <c r="C62" s="7" t="s">
        <v>229</v>
      </c>
      <c r="E62" s="9">
        <v>12</v>
      </c>
      <c r="F62" s="8" t="s">
        <v>245</v>
      </c>
    </row>
    <row r="63" spans="1:6">
      <c r="A63" s="3" t="s">
        <v>197</v>
      </c>
      <c r="B63" s="3">
        <f>+LOOKUP(A63,CRUISE!B$2:B$32,CRUISE!A$2:A$32)</f>
        <v>24</v>
      </c>
      <c r="C63" s="7" t="s">
        <v>314</v>
      </c>
      <c r="E63" s="9">
        <v>8</v>
      </c>
      <c r="F63" s="8" t="s">
        <v>330</v>
      </c>
    </row>
    <row r="64" spans="1:6" ht="31.2">
      <c r="A64" s="3" t="s">
        <v>204</v>
      </c>
      <c r="B64" s="3">
        <f>+LOOKUP(A64,CRUISE!B$2:B$32,CRUISE!A$2:A$32)</f>
        <v>25</v>
      </c>
      <c r="E64" s="9">
        <v>10</v>
      </c>
      <c r="F64" s="7" t="s">
        <v>448</v>
      </c>
    </row>
    <row r="65" spans="1:6">
      <c r="A65" s="2" t="s">
        <v>88</v>
      </c>
      <c r="B65" s="3">
        <f>+LOOKUP(A65,CRUISE!B$2:B$32,CRUISE!A$2:A$32)</f>
        <v>26</v>
      </c>
      <c r="C65" s="7" t="s">
        <v>89</v>
      </c>
      <c r="E65" s="9">
        <v>6</v>
      </c>
      <c r="F65" s="8" t="s">
        <v>101</v>
      </c>
    </row>
    <row r="66" spans="1:6">
      <c r="A66" s="3" t="s">
        <v>182</v>
      </c>
      <c r="B66" s="3">
        <f>+LOOKUP(A66,CRUISE!B$2:B$32,CRUISE!A$2:A$32)</f>
        <v>27</v>
      </c>
      <c r="C66" s="7" t="s">
        <v>449</v>
      </c>
      <c r="E66" s="9">
        <v>6</v>
      </c>
      <c r="F66" s="12">
        <f>3410*0.8</f>
        <v>2728</v>
      </c>
    </row>
    <row r="67" spans="1:6">
      <c r="A67" s="3" t="s">
        <v>182</v>
      </c>
      <c r="B67" s="3">
        <f>+LOOKUP(A67,CRUISE!B$2:B$32,CRUISE!A$2:A$32)</f>
        <v>27</v>
      </c>
      <c r="C67" s="7" t="s">
        <v>451</v>
      </c>
      <c r="E67" s="9">
        <v>2</v>
      </c>
      <c r="F67" s="12">
        <f>3675*0.8</f>
        <v>2940</v>
      </c>
    </row>
    <row r="68" spans="1:6">
      <c r="A68" s="3" t="s">
        <v>182</v>
      </c>
      <c r="B68" s="3">
        <f>+LOOKUP(A68,CRUISE!B$2:B$32,CRUISE!A$2:A$32)</f>
        <v>27</v>
      </c>
      <c r="C68" s="7" t="s">
        <v>450</v>
      </c>
      <c r="E68" s="9">
        <v>8</v>
      </c>
      <c r="F68" s="12">
        <f>50890*0.8</f>
        <v>40712</v>
      </c>
    </row>
    <row r="69" spans="1:6">
      <c r="A69" s="3" t="s">
        <v>182</v>
      </c>
      <c r="B69" s="3">
        <f>+LOOKUP(A69,CRUISE!B$2:B$32,CRUISE!A$2:A$32)</f>
        <v>27</v>
      </c>
      <c r="C69" s="7" t="s">
        <v>452</v>
      </c>
      <c r="E69" s="9">
        <v>6</v>
      </c>
      <c r="F69" s="12">
        <f>4595*0.8</f>
        <v>3676</v>
      </c>
    </row>
    <row r="70" spans="1:6">
      <c r="A70" s="3" t="s">
        <v>182</v>
      </c>
      <c r="B70" s="3">
        <f>+LOOKUP(A70,CRUISE!B$2:B$32,CRUISE!A$2:A$32)</f>
        <v>27</v>
      </c>
      <c r="C70" s="7" t="s">
        <v>453</v>
      </c>
      <c r="E70" s="9">
        <v>2</v>
      </c>
      <c r="F70" s="12">
        <f>4950*0.8</f>
        <v>3960</v>
      </c>
    </row>
    <row r="71" spans="1:6">
      <c r="A71" s="3" t="s">
        <v>182</v>
      </c>
      <c r="B71" s="3">
        <f>+LOOKUP(A71,CRUISE!B$2:B$32,CRUISE!A$2:A$32)</f>
        <v>27</v>
      </c>
      <c r="C71" s="7" t="s">
        <v>454</v>
      </c>
      <c r="E71" s="9">
        <v>8</v>
      </c>
      <c r="F71" s="12">
        <f>68575*0.8</f>
        <v>54860</v>
      </c>
    </row>
    <row r="72" spans="1:6">
      <c r="A72" s="3" t="s">
        <v>182</v>
      </c>
      <c r="B72" s="3">
        <f>+LOOKUP(A72,CRUISE!B$2:B$32,CRUISE!A$2:A$32)</f>
        <v>27</v>
      </c>
      <c r="C72" s="7" t="s">
        <v>457</v>
      </c>
      <c r="E72" s="9">
        <v>6</v>
      </c>
      <c r="F72" s="12">
        <f>5510*0.8</f>
        <v>4408</v>
      </c>
    </row>
    <row r="73" spans="1:6">
      <c r="A73" s="3" t="s">
        <v>182</v>
      </c>
      <c r="B73" s="3">
        <f>+LOOKUP(A73,CRUISE!B$2:B$32,CRUISE!A$2:A$32)</f>
        <v>27</v>
      </c>
      <c r="C73" s="7" t="s">
        <v>458</v>
      </c>
      <c r="E73" s="9">
        <v>2</v>
      </c>
      <c r="F73" s="12">
        <f>5950*0.8</f>
        <v>4760</v>
      </c>
    </row>
    <row r="74" spans="1:6">
      <c r="A74" s="3" t="s">
        <v>182</v>
      </c>
      <c r="B74" s="3">
        <f>+LOOKUP(A74,CRUISE!B$2:B$32,CRUISE!A$2:A$32)</f>
        <v>27</v>
      </c>
      <c r="C74" s="7" t="s">
        <v>459</v>
      </c>
      <c r="E74" s="9">
        <v>8</v>
      </c>
      <c r="F74" s="12">
        <f>82320*0.8</f>
        <v>65856</v>
      </c>
    </row>
    <row r="75" spans="1:6">
      <c r="A75" s="3" t="s">
        <v>182</v>
      </c>
      <c r="B75" s="3">
        <f>+LOOKUP(A75,CRUISE!B$2:B$32,CRUISE!A$2:A$32)</f>
        <v>27</v>
      </c>
      <c r="C75" s="7" t="s">
        <v>461</v>
      </c>
      <c r="E75" s="9">
        <v>6</v>
      </c>
      <c r="F75" s="12">
        <f>7225*0.8</f>
        <v>5780</v>
      </c>
    </row>
    <row r="76" spans="1:6">
      <c r="A76" s="3" t="s">
        <v>182</v>
      </c>
      <c r="B76" s="3">
        <f>+LOOKUP(A76,CRUISE!B$2:B$32,CRUISE!A$2:A$32)</f>
        <v>27</v>
      </c>
      <c r="C76" s="7" t="s">
        <v>462</v>
      </c>
      <c r="E76" s="9">
        <v>2</v>
      </c>
      <c r="F76" s="12">
        <f>7850*0.8</f>
        <v>6280</v>
      </c>
    </row>
    <row r="77" spans="1:6">
      <c r="A77" s="3" t="s">
        <v>182</v>
      </c>
      <c r="B77" s="3">
        <f>+LOOKUP(A77,CRUISE!B$2:B$32,CRUISE!A$2:A$32)</f>
        <v>27</v>
      </c>
      <c r="C77" s="7" t="s">
        <v>463</v>
      </c>
      <c r="E77" s="9">
        <v>8</v>
      </c>
      <c r="F77" s="12">
        <f>107825*0.8</f>
        <v>86260</v>
      </c>
    </row>
    <row r="78" spans="1:6" ht="31.2">
      <c r="A78" s="3" t="s">
        <v>193</v>
      </c>
      <c r="B78" s="3">
        <f>+LOOKUP(A78,CRUISE!B$2:B$32,CRUISE!A$2:A$32)</f>
        <v>28</v>
      </c>
      <c r="C78" s="7" t="s">
        <v>206</v>
      </c>
      <c r="E78" s="9">
        <v>6</v>
      </c>
      <c r="F78" s="8" t="s">
        <v>225</v>
      </c>
    </row>
    <row r="79" spans="1:6">
      <c r="A79" s="2" t="s">
        <v>121</v>
      </c>
      <c r="B79" s="3">
        <f>+LOOKUP(A79,CRUISE!B$2:B$32,CRUISE!A$2:A$32)</f>
        <v>29</v>
      </c>
      <c r="C79" s="7" t="s">
        <v>122</v>
      </c>
      <c r="E79" s="9">
        <v>50</v>
      </c>
      <c r="F79" s="8" t="s">
        <v>123</v>
      </c>
    </row>
    <row r="80" spans="1:6">
      <c r="A80" s="2" t="s">
        <v>103</v>
      </c>
      <c r="B80" s="3">
        <f>+LOOKUP(A80,CRUISE!B$2:B$32,CRUISE!A$2:A$32)</f>
        <v>30</v>
      </c>
      <c r="C80" s="7" t="s">
        <v>104</v>
      </c>
      <c r="E80" s="9">
        <v>6</v>
      </c>
    </row>
    <row r="81" spans="1:6" ht="31.2">
      <c r="A81" s="3" t="s">
        <v>203</v>
      </c>
      <c r="B81" s="3">
        <f>+LOOKUP(A81,CRUISE!B$2:B$32,CRUISE!A$2:A$32)</f>
        <v>31</v>
      </c>
      <c r="C81" s="7" t="s">
        <v>424</v>
      </c>
      <c r="E81" s="9">
        <v>9</v>
      </c>
      <c r="F81" s="8" t="s">
        <v>430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3E0AF7-523D-46C4-ABC4-E6F13585CDD2}">
  <dimension ref="A1:Q81"/>
  <sheetViews>
    <sheetView workbookViewId="0"/>
  </sheetViews>
  <sheetFormatPr defaultRowHeight="15.6"/>
  <cols>
    <col min="3" max="3" width="21.796875" style="2" customWidth="1"/>
    <col min="4" max="5" width="28.296875" style="13" bestFit="1" customWidth="1"/>
    <col min="6" max="6" width="29.69921875" style="13" bestFit="1" customWidth="1"/>
    <col min="7" max="7" width="28.19921875" style="13" bestFit="1" customWidth="1"/>
    <col min="8" max="8" width="28.296875" style="13" bestFit="1" customWidth="1"/>
    <col min="9" max="9" width="28.09765625" style="13" bestFit="1" customWidth="1"/>
    <col min="10" max="10" width="28.19921875" style="13" bestFit="1" customWidth="1"/>
    <col min="11" max="13" width="28.296875" style="13" bestFit="1" customWidth="1"/>
    <col min="14" max="14" width="28.19921875" style="13" bestFit="1" customWidth="1"/>
    <col min="15" max="15" width="31" style="13" bestFit="1" customWidth="1"/>
    <col min="16" max="16" width="28.296875" style="13" bestFit="1" customWidth="1"/>
    <col min="17" max="17" width="27.8984375" style="13" bestFit="1" customWidth="1"/>
  </cols>
  <sheetData>
    <row r="1" spans="1:17">
      <c r="A1" t="s">
        <v>623</v>
      </c>
      <c r="B1" t="s">
        <v>628</v>
      </c>
      <c r="C1" s="21" t="s">
        <v>627</v>
      </c>
      <c r="D1" s="14" t="s">
        <v>0</v>
      </c>
      <c r="E1" s="14" t="s">
        <v>1</v>
      </c>
      <c r="F1" s="14" t="s">
        <v>2</v>
      </c>
      <c r="G1" s="14" t="s">
        <v>3</v>
      </c>
      <c r="H1" s="14" t="s">
        <v>4</v>
      </c>
      <c r="I1" s="14" t="s">
        <v>5</v>
      </c>
      <c r="J1" s="14" t="s">
        <v>6</v>
      </c>
      <c r="K1" s="14" t="s">
        <v>0</v>
      </c>
      <c r="L1" s="14" t="s">
        <v>1</v>
      </c>
      <c r="M1" s="14" t="s">
        <v>2</v>
      </c>
      <c r="N1" s="14" t="s">
        <v>3</v>
      </c>
      <c r="O1" s="14" t="s">
        <v>4</v>
      </c>
      <c r="P1" s="14" t="s">
        <v>5</v>
      </c>
      <c r="Q1" s="14" t="s">
        <v>6</v>
      </c>
    </row>
    <row r="2" spans="1:17" ht="46.8">
      <c r="A2">
        <v>1</v>
      </c>
      <c r="B2" t="str">
        <f>"["&amp;D2&amp;","&amp;E2&amp;","&amp;F2&amp;","&amp;G2&amp;","&amp;H2&amp;","&amp;I2&amp;","&amp;J2&amp;","&amp;K2&amp;","&amp;L2&amp;","&amp;M2&amp;","&amp;N2&amp;","&amp;O2&amp;","&amp;P2&amp;","&amp;Q2&amp;"]"</f>
        <v>[,,,Baltra Transfer to boat / Santa Cruz Punta Carrión &amp; Canal de Itabaca PM ,Santa Cruz Punta Carrión &amp; Bartolomé Punta AM / Bartolomé land visit PM,Wolf AM / PM,Darwin AM / PM,Isabela Cabo Marshal AM / PM ,Fernandina Cabo Douglas AM / Isabela Punta Vicente Roca PM,Santiago Cousins Rocks AM / Santa Cruz visita tierra PM,Baltra transfer to airport,,,]</v>
      </c>
      <c r="C2" s="3" t="s">
        <v>198</v>
      </c>
      <c r="G2" s="13" t="s">
        <v>343</v>
      </c>
      <c r="H2" s="13" t="s">
        <v>342</v>
      </c>
      <c r="I2" s="13" t="s">
        <v>341</v>
      </c>
      <c r="J2" s="13" t="s">
        <v>335</v>
      </c>
      <c r="K2" s="13" t="s">
        <v>340</v>
      </c>
      <c r="L2" s="13" t="s">
        <v>339</v>
      </c>
      <c r="M2" s="13" t="s">
        <v>338</v>
      </c>
      <c r="N2" s="13" t="s">
        <v>337</v>
      </c>
    </row>
    <row r="3" spans="1:17" ht="31.2">
      <c r="A3">
        <v>2</v>
      </c>
      <c r="B3" t="str">
        <f t="shared" ref="B3:B32" si="0">"["&amp;D3&amp;","&amp;E3&amp;","&amp;F3&amp;","&amp;G3&amp;","&amp;H3&amp;","&amp;I3&amp;","&amp;J3&amp;","&amp;K3&amp;","&amp;L3&amp;","&amp;M3&amp;","&amp;N3&amp;","&amp;O3&amp;","&amp;P3&amp;","&amp;Q3&amp;"]"</f>
        <v>[Santa Cruz (Charles Darwin Station / Highlands),Isabela (Moreno Point - Elizabeth Bay),Isabela (Urbina Bay) / Fernandina (Espinoza Point),Isabela ( Tagus Cove / Vicente Roca Point),Santiago (Espumilla Beach / Egas Port),Santa Cruz (Bachas / North Seymour,South Plaza / Santa Fe,San Cristobal (Interpretation Center / Lobos Island),Española,Floreana,Santa Cruz (Highlands / Black Turttle Cove),Genovesa,Santiago (Sullivan Bay) / Bartolomé,Chinese Hat / Mosquera Islet]</v>
      </c>
      <c r="C3" s="2" t="s">
        <v>146</v>
      </c>
      <c r="D3" s="13" t="s">
        <v>119</v>
      </c>
      <c r="E3" s="13" t="s">
        <v>149</v>
      </c>
      <c r="F3" s="13" t="s">
        <v>150</v>
      </c>
      <c r="G3" s="13" t="s">
        <v>151</v>
      </c>
      <c r="H3" s="13" t="s">
        <v>152</v>
      </c>
      <c r="I3" s="13" t="s">
        <v>153</v>
      </c>
      <c r="J3" s="13" t="s">
        <v>84</v>
      </c>
      <c r="K3" s="13" t="s">
        <v>154</v>
      </c>
      <c r="L3" s="13" t="s">
        <v>81</v>
      </c>
      <c r="M3" s="13" t="s">
        <v>80</v>
      </c>
      <c r="N3" s="13" t="s">
        <v>155</v>
      </c>
      <c r="O3" s="13" t="s">
        <v>41</v>
      </c>
      <c r="P3" s="13" t="s">
        <v>156</v>
      </c>
      <c r="Q3" s="13" t="s">
        <v>157</v>
      </c>
    </row>
    <row r="4" spans="1:17" ht="62.4">
      <c r="A4">
        <v>3</v>
      </c>
      <c r="B4" t="str">
        <f t="shared" si="0"/>
        <v>[,,Baltra Transfer to boat /  Santa Cruz Highlands PM (A) (B solo highlands),Santiago Sullivan Bay AM / Rábida PM (A &amp; B),Isabela Punta Vicente Roca AM / Fernandina Punta Espinosa PM (A &amp; B),Isabela Tintoreras AM / Wetlands PM (A &amp; B),Mosquera AM / North Seymour PM (A) (B OUT solo Mosquera) (C IN solo North Seymour),Floreana Post Office Bay AM / Punta Cormorant PM (A &amp; C),South Plaza AM  / Santa Fe PM (A &amp; C),Santa Cruz Bachas Beach / Transfer to airport AM (A) (C solo Bachan &amp; overnight en Hotel),Santa Cruz Charles Darwin Station / Transfer to airport AM (C ),,,]</v>
      </c>
      <c r="C4" s="3" t="s">
        <v>199</v>
      </c>
      <c r="F4" s="13" t="s">
        <v>366</v>
      </c>
      <c r="G4" s="13" t="s">
        <v>367</v>
      </c>
      <c r="H4" s="13" t="s">
        <v>368</v>
      </c>
      <c r="I4" s="13" t="s">
        <v>369</v>
      </c>
      <c r="J4" s="13" t="s">
        <v>370</v>
      </c>
      <c r="K4" s="13" t="s">
        <v>371</v>
      </c>
      <c r="L4" s="13" t="s">
        <v>372</v>
      </c>
      <c r="M4" s="13" t="s">
        <v>373</v>
      </c>
      <c r="N4" s="13" t="s">
        <v>374</v>
      </c>
    </row>
    <row r="5" spans="1:17" ht="62.4">
      <c r="A5">
        <v>4</v>
      </c>
      <c r="B5" t="str">
        <f t="shared" si="0"/>
        <v>[,,,San Cristobal Transfer to boat / Check dive Isla Lobos,Santa Cruz Punta Carrión AM / Seymour PM,Wolf AM / PM,Darwin AM / PM,Darwin AM / Wolf PM,Isabela Cabo Marshall (Ene-Jun)  AMPM / Fernandina Cabo Douglas &amp; Isabela Punta Vicente Roca (Jul-Dic) AMPM,Santiago Roca Cousin AM / Santa Cruz visita tierra PM,Santa Cruz Breeding Center / Transfer to airport,,,]</v>
      </c>
      <c r="C5" s="3" t="s">
        <v>86</v>
      </c>
      <c r="G5" s="13" t="s">
        <v>348</v>
      </c>
      <c r="H5" s="13" t="s">
        <v>349</v>
      </c>
      <c r="I5" s="13" t="s">
        <v>341</v>
      </c>
      <c r="J5" s="13" t="s">
        <v>335</v>
      </c>
      <c r="K5" s="13" t="s">
        <v>350</v>
      </c>
      <c r="L5" s="13" t="s">
        <v>351</v>
      </c>
      <c r="M5" s="13" t="s">
        <v>394</v>
      </c>
      <c r="N5" s="13" t="s">
        <v>352</v>
      </c>
    </row>
    <row r="6" spans="1:17" ht="46.8">
      <c r="A6">
        <v>5</v>
      </c>
      <c r="B6" t="str">
        <f t="shared" si="0"/>
        <v>[Española,Santa Cruz (Bachas) / Bartolomé,Rábida / Santiago (Egas Port),Genovesa,Mosquera Islet / Santa Cruz (Highlands),North Seymour / Santiago (Sullivan Bay),Isabela (Vicente Roca Point) / Fernandina (Espinoza Point),Isabela (Tagus Cove / Urbina Bay),Isabela (Elizabeth Bay / Moreno Point),Santa Cruz (Charles Darwin Station / Highlands),Santa Fe / South Plaza,Floreana,San Cristobal (Interpretation Center / Lobos Island / Kicker Rock),San Cristobal (Pitt Point / Witch Hill)]</v>
      </c>
      <c r="C6" s="2" t="s">
        <v>137</v>
      </c>
      <c r="D6" s="13" t="s">
        <v>81</v>
      </c>
      <c r="E6" s="13" t="s">
        <v>140</v>
      </c>
      <c r="F6" s="13" t="s">
        <v>141</v>
      </c>
      <c r="G6" s="13" t="s">
        <v>41</v>
      </c>
      <c r="H6" s="13" t="s">
        <v>142</v>
      </c>
      <c r="I6" s="13" t="s">
        <v>143</v>
      </c>
      <c r="J6" s="13" t="s">
        <v>118</v>
      </c>
      <c r="K6" s="13" t="s">
        <v>78</v>
      </c>
      <c r="L6" s="13" t="s">
        <v>112</v>
      </c>
      <c r="M6" s="13" t="s">
        <v>119</v>
      </c>
      <c r="N6" s="13" t="s">
        <v>129</v>
      </c>
      <c r="O6" s="13" t="s">
        <v>80</v>
      </c>
      <c r="P6" s="13" t="s">
        <v>144</v>
      </c>
      <c r="Q6" s="13" t="s">
        <v>120</v>
      </c>
    </row>
    <row r="7" spans="1:17" ht="93.6">
      <c r="A7">
        <v>6</v>
      </c>
      <c r="B7" t="str">
        <f t="shared" si="0"/>
        <v>[South Plaza  AM / Santa Fe PM (8D7N A),San Cristobal Pitt Point AM / Witch Hill PM  (8D7N A),San Cristobal Breeding Center AM / Lobos Island / Kicker Rock PM (8D7N A),Española Punta Suáez AM / Gardner Bay &amp; Islote Gardner PM (8D7N A),Floreana Post Office Bay / Baroness Viewpoint AM + Cormorant Point / Champion islet PM (8D7N A),Santa Cruz  Twin Craters / Transfer to airport AM (8D7N A OUT)
Baltra Transfer to boat / Santa Cruz Highlands / Tortoise Breeding Center PM (8D7N B IN),Isabela Tintoreras + Sierra Negra AM / Wetlands + Breeding Center PM (8D7N B),Isabela Moreno Point AM / Elizabeth Bay PM (8D7N B),Fernandina Espinoza Point AM / Isabela Vicente Roca Point PM (8D7N B),Santiago Egas Port AM / Espumilla Beach +  Buccaneer Cove PM (8D7N B),Bartholomew island AM / Santiago Sullivan Bay PM (8D7N B),Santiago Chinese Hat AM / Santa Cruz Dragon Hill PM (8D7N B),Baltra Transfer to boat / Santa Cruz Bachas Beach PM (8D7N A IN)
North Seymour island / Transfer to airport AM (8D7N B OUT),Genovesa El Barranco AM / Darwin Bay PM (8D7N A)]</v>
      </c>
      <c r="C7" s="2" t="s">
        <v>485</v>
      </c>
      <c r="D7" s="13" t="s">
        <v>494</v>
      </c>
      <c r="E7" s="13" t="s">
        <v>495</v>
      </c>
      <c r="F7" s="13" t="s">
        <v>496</v>
      </c>
      <c r="G7" s="13" t="s">
        <v>497</v>
      </c>
      <c r="H7" s="13" t="s">
        <v>498</v>
      </c>
      <c r="I7" s="13" t="s">
        <v>499</v>
      </c>
      <c r="J7" s="13" t="s">
        <v>500</v>
      </c>
      <c r="K7" s="13" t="s">
        <v>501</v>
      </c>
      <c r="L7" s="13" t="s">
        <v>502</v>
      </c>
      <c r="M7" s="13" t="s">
        <v>503</v>
      </c>
      <c r="N7" s="13" t="s">
        <v>504</v>
      </c>
      <c r="O7" s="13" t="s">
        <v>505</v>
      </c>
      <c r="P7" s="13" t="s">
        <v>506</v>
      </c>
      <c r="Q7" s="13" t="s">
        <v>507</v>
      </c>
    </row>
    <row r="8" spans="1:17" ht="78">
      <c r="A8">
        <v>7</v>
      </c>
      <c r="B8" t="str">
        <f t="shared" si="0"/>
        <v>[Española Punta Suárez AM / Española Gardner Bay + Gardner Islet + Osborn Islet PM (C ),San Cristóbal Centro de Interpretación / Traslado aeropuerto AM (C ) - San Cristóbal Transfer barco / Isla Lobos PM (A),Santa Fe AM / Plazas Sur PM (A),Seymour Norte AM / Islote Mosquera PM (A),Genovesa Darwin Bay AM / Barranco PM (A),Santa Cruz Highlands AM / Transfer Baltra (A)  -  Baltra transfer barco / Estación Charles Darwin PM (B),Isabela Punta Moreno AM / Elizabeht Bay PM (B),Isabela Urbina Bay AM / Tagus Cove PM (B),Fernandina Punta Espinosa AM / Isabela Punta Vicente Roca PM (B),Santiago Puerto Egas AM / Rábida  PM (B),Santa Cruz Black Turtle Cove AM / Transfer aeropuerto (B) - Baltra traslado barco / Santa Cruz Bachas Beach PM (C ),Santiago Sullivan Bay AM / Bartolomé PM (C ),Santa Cruz Highlands AM / Estación Charles Darwin PM (C ),Floreana Cormorant Point + Devil's Crown AM / Post Office Bay PM (C )]</v>
      </c>
      <c r="C8" s="3" t="s">
        <v>196</v>
      </c>
      <c r="D8" s="13" t="s">
        <v>301</v>
      </c>
      <c r="E8" s="13" t="s">
        <v>302</v>
      </c>
      <c r="F8" s="13" t="s">
        <v>289</v>
      </c>
      <c r="G8" s="13" t="s">
        <v>290</v>
      </c>
      <c r="H8" s="13" t="s">
        <v>291</v>
      </c>
      <c r="I8" s="13" t="s">
        <v>292</v>
      </c>
      <c r="J8" s="13" t="s">
        <v>293</v>
      </c>
      <c r="K8" s="13" t="s">
        <v>294</v>
      </c>
      <c r="L8" s="13" t="s">
        <v>295</v>
      </c>
      <c r="M8" s="13" t="s">
        <v>296</v>
      </c>
      <c r="N8" s="13" t="s">
        <v>297</v>
      </c>
      <c r="O8" s="13" t="s">
        <v>298</v>
      </c>
      <c r="P8" s="13" t="s">
        <v>299</v>
      </c>
      <c r="Q8" s="13" t="s">
        <v>300</v>
      </c>
    </row>
    <row r="9" spans="1:17" ht="46.8">
      <c r="A9">
        <v>8</v>
      </c>
      <c r="B9" t="str">
        <f t="shared" si="0"/>
        <v>[Isabela (Tintorera - Sierra Negra) / Breeding Center,Isabela (Moreno Point - Urbina Bay),Fernandina  (Espinoza Point) Isabela (Vicente Roca Point),Rabida / Bartolomé,San Cristobal (Kicker Rock / Witch Hill / Giant Tortoise Reserve,San Cristobal Interpretation Center / Breeding Center,Española (Suarez Point - Gardner Bay - Gardner y Osborn Islets),Floreana (Cormorant Point / Post Office Bay, Baroness Lockout),Mosquera / Santa Cruz (Charles Darwin Station),Genovesa,Santiago (Buccaneer Cove y Espumilla Beach / Egas Port),Santa Cruz (Bachas / Twins and Highlands),San Cristobal (Isla Lobos /  El Junco Lagoon),North Seymour /  Santa Cruz (Dragon Hill)]</v>
      </c>
      <c r="C9" s="2" t="s">
        <v>57</v>
      </c>
      <c r="D9" s="13" t="s">
        <v>60</v>
      </c>
      <c r="E9" s="13" t="s">
        <v>61</v>
      </c>
      <c r="F9" s="13" t="s">
        <v>62</v>
      </c>
      <c r="G9" s="13" t="s">
        <v>63</v>
      </c>
      <c r="H9" s="13" t="s">
        <v>64</v>
      </c>
      <c r="I9" s="13" t="s">
        <v>65</v>
      </c>
      <c r="J9" s="13" t="s">
        <v>66</v>
      </c>
      <c r="K9" s="13" t="s">
        <v>67</v>
      </c>
      <c r="L9" s="13" t="s">
        <v>68</v>
      </c>
      <c r="M9" s="13" t="s">
        <v>41</v>
      </c>
      <c r="N9" s="13" t="s">
        <v>69</v>
      </c>
      <c r="O9" s="13" t="s">
        <v>70</v>
      </c>
      <c r="P9" s="13" t="s">
        <v>71</v>
      </c>
      <c r="Q9" s="13" t="s">
        <v>72</v>
      </c>
    </row>
    <row r="10" spans="1:17" ht="46.8">
      <c r="A10">
        <v>9</v>
      </c>
      <c r="B10" t="str">
        <f t="shared" si="0"/>
        <v>[Genovesa,Los Gemelos - Santiago (Sullivan),Isabela (Humedales, Sierra Negra, Centro Interpretación),Isabela (Elizabeth y Urbina Bay) ,Isabela (Tagus Cove) Fernandina Pta Espinoza),Santiago (Caleta Bucanero y Playa Espumilla),Islote Mosquera - Santa Cruz (Dragon Hill),San Cristóbal (Kicker Rock, Witch Hill, Isla Lobos),Española (Gardner Bay) - Orborn y Gardner Islets - Española Suarez Point,Santa Fe - Santa Cruz (Charles Darwin Station),South Plaza - Bartolomé, Floreana (Devil's Crowm- Cormorant Point The  Varoness Overlook, Post Office),Santiago (Chiness Hut) - North Seymour,Santa Cruz (Black Turtle Cove - Las Bachas)]</v>
      </c>
      <c r="C10" s="2" t="s">
        <v>39</v>
      </c>
      <c r="D10" s="13" t="s">
        <v>41</v>
      </c>
      <c r="E10" s="13" t="s">
        <v>43</v>
      </c>
      <c r="F10" s="13" t="s">
        <v>47</v>
      </c>
      <c r="G10" s="13" t="s">
        <v>42</v>
      </c>
      <c r="H10" s="13" t="s">
        <v>44</v>
      </c>
      <c r="I10" s="13" t="s">
        <v>45</v>
      </c>
      <c r="J10" s="13" t="s">
        <v>46</v>
      </c>
      <c r="K10" s="13" t="s">
        <v>48</v>
      </c>
      <c r="L10" s="13" t="s">
        <v>49</v>
      </c>
      <c r="M10" s="13" t="s">
        <v>50</v>
      </c>
      <c r="N10" s="13" t="s">
        <v>51</v>
      </c>
      <c r="O10" s="13" t="s">
        <v>52</v>
      </c>
      <c r="P10" s="13" t="s">
        <v>53</v>
      </c>
      <c r="Q10" s="13" t="s">
        <v>54</v>
      </c>
    </row>
    <row r="11" spans="1:17" ht="31.2">
      <c r="A11">
        <v>10</v>
      </c>
      <c r="B11" t="str">
        <f t="shared" si="0"/>
        <v>[Isabela (Urbina Bay / Tagus Cove),Bartolomé - Santiago (Sullivan Bay),Santa Cruz (Bachas) / Rábida,Santa Cruz ( Highlands / Charles Darwin Station),Española,San Cristobal (interpretation Center / Witch Hill,South Plaza / Punta Carrión Island / Mosquera Islet,Chinese Hat / Santiago (Egas Port),Genovesa,North Seymour / Santa Fe,Floreana,Santa Cruz (Highlands / Charles Darin Station),Santa Cruz (Black Turttle Cove) / Daphne Island,Isabela (Vicente Roca Point / Fernandina (Espinoza Point)]</v>
      </c>
      <c r="C11" s="2" t="s">
        <v>158</v>
      </c>
      <c r="D11" s="13" t="s">
        <v>82</v>
      </c>
      <c r="E11" s="13" t="s">
        <v>160</v>
      </c>
      <c r="F11" s="13" t="s">
        <v>161</v>
      </c>
      <c r="G11" s="13" t="s">
        <v>162</v>
      </c>
      <c r="H11" s="13" t="s">
        <v>81</v>
      </c>
      <c r="I11" s="13" t="s">
        <v>163</v>
      </c>
      <c r="J11" s="13" t="s">
        <v>164</v>
      </c>
      <c r="K11" s="13" t="s">
        <v>165</v>
      </c>
      <c r="L11" s="13" t="s">
        <v>41</v>
      </c>
      <c r="M11" s="13" t="s">
        <v>166</v>
      </c>
      <c r="N11" s="13" t="s">
        <v>80</v>
      </c>
      <c r="O11" s="13" t="s">
        <v>167</v>
      </c>
      <c r="P11" s="13" t="s">
        <v>168</v>
      </c>
      <c r="Q11" s="13" t="s">
        <v>136</v>
      </c>
    </row>
    <row r="12" spans="1:17" ht="31.2">
      <c r="A12">
        <v>11</v>
      </c>
      <c r="B12" t="str">
        <f t="shared" si="0"/>
        <v>[Daphne ,Santiago (Egas Port) / Rábida,Isabela (Elizabeth Bay / Tagus Cove),Santiago (Sullivan Bay) / Bartolomé,Santa Cruz (Bachas) / North Seymour,San Cristobal (Interpretation Center / Pitt Point),Santa Cruz (Charles Darwin Station),North Seymour,South Plaza / Santa Fe,San Cristobal (Pitt Point / Interpretation Center),Floreana,Isabela (Elizabeth Bay / Moreno Point),Santa Cruz (Charles Darwin Station ),Española]</v>
      </c>
      <c r="C12" s="2" t="s">
        <v>184</v>
      </c>
      <c r="D12" s="13" t="s">
        <v>191</v>
      </c>
      <c r="E12" s="13" t="s">
        <v>177</v>
      </c>
      <c r="F12" s="13" t="s">
        <v>186</v>
      </c>
      <c r="G12" s="13" t="s">
        <v>156</v>
      </c>
      <c r="H12" s="13" t="s">
        <v>187</v>
      </c>
      <c r="I12" s="13" t="s">
        <v>188</v>
      </c>
      <c r="J12" s="13" t="s">
        <v>135</v>
      </c>
      <c r="K12" s="13" t="s">
        <v>117</v>
      </c>
      <c r="L12" s="13" t="s">
        <v>84</v>
      </c>
      <c r="M12" s="13" t="s">
        <v>189</v>
      </c>
      <c r="N12" s="13" t="s">
        <v>80</v>
      </c>
      <c r="O12" s="13" t="s">
        <v>112</v>
      </c>
      <c r="P12" s="13" t="s">
        <v>190</v>
      </c>
      <c r="Q12" s="13" t="s">
        <v>81</v>
      </c>
    </row>
    <row r="13" spans="1:17" ht="46.8">
      <c r="A13">
        <v>12</v>
      </c>
      <c r="B13" t="str">
        <f t="shared" si="0"/>
        <v>[San Cristóbal Transfer to boat / Isla Lobos PM,Santa Cruz Punta Carrión AM / North Seymour land visit PM,Darwin island,Darwin island,Wolf island,Isabela Vicente Roca Point AM / Fernandina Cape Douglas PM,Santiago Cousin's Rock AM / Santa Cruz Twin Craters &amp; Fausto Llerena PM,San Cristóbal Interpretation Center / Transfer to airport,,,,,,]</v>
      </c>
      <c r="C13" s="3" t="s">
        <v>201</v>
      </c>
      <c r="D13" s="13" t="s">
        <v>380</v>
      </c>
      <c r="E13" s="13" t="s">
        <v>381</v>
      </c>
      <c r="F13" s="13" t="s">
        <v>391</v>
      </c>
      <c r="G13" s="13" t="s">
        <v>391</v>
      </c>
      <c r="H13" s="13" t="s">
        <v>382</v>
      </c>
      <c r="I13" s="13" t="s">
        <v>392</v>
      </c>
      <c r="J13" s="13" t="s">
        <v>395</v>
      </c>
      <c r="K13" s="13" t="s">
        <v>396</v>
      </c>
    </row>
    <row r="14" spans="1:17" ht="46.8">
      <c r="A14">
        <v>13</v>
      </c>
      <c r="B14" t="str">
        <f t="shared" si="0"/>
        <v>[,,,,,,San Cristóbal Transfer to boat / Isla Lobos PM,Bartolomé land visit &amp; dive AM / Santiago Cousin's Rock PM,Wolf island,Darwin island,Darwin island AM / Wolf island PM,Fernandina Cabo Douglas AM / Isabela Vicente Roca Point PM,Pinzón &amp; Islote Dumb AM / Santa Cruz Highlands PM,San Cristóbal Centro de Interpretacion / Transfer to airport]</v>
      </c>
      <c r="C14" s="3" t="s">
        <v>202</v>
      </c>
      <c r="J14" s="13" t="s">
        <v>380</v>
      </c>
      <c r="K14" s="13" t="s">
        <v>406</v>
      </c>
      <c r="L14" s="13" t="s">
        <v>382</v>
      </c>
      <c r="M14" s="13" t="s">
        <v>391</v>
      </c>
      <c r="N14" s="13" t="s">
        <v>407</v>
      </c>
      <c r="O14" s="13" t="s">
        <v>408</v>
      </c>
      <c r="P14" s="13" t="s">
        <v>409</v>
      </c>
      <c r="Q14" s="13" t="s">
        <v>410</v>
      </c>
    </row>
    <row r="15" spans="1:17" ht="78">
      <c r="A15">
        <v>14</v>
      </c>
      <c r="B15" t="str">
        <f t="shared" si="0"/>
        <v>[Isabela (Tintoreras Islet / Cuevas de Sucre / Centro de Crianza Arnaldo Turpiza am ) /Santa Cruz navegación pm,Santa Cruz (Gemelos am) / Transfer Baltra aeropuerto - Oeste / Baltra transfer barco am / Santa Cruz (Highlands &amp; ECCD pm) - Este,Floreana (Asilo de la Paz am / Punta Cormorant &amp; Corona del Diablo pm) - Este,Española (Punta Suáez am / Gardner Bay &amp; Islote Gardner pm) - Este,San Cristóbal (Punta Pitt am / Isla Lobos &amp; Kicker Rock pm) - Este,Santa Fé am / Plazas Sur pm - Este,Seymour Norte am / Bartolomé pm - Este,Islote Sombrero Chino am / Santa Cruz (Cerro Dragón pm) - Este,Santa Cruz (Caleta Tortuga Negra) / Transfer Baltra am - Este / Baltra transfer barco - Santa Cruz (Bachas pm) - Oeste,Genovesa (Prince Phillip´s Setps am / Bahía Darwin pm) - Oeste,Santiago (Bahía James am / Espumilla Beach &amp; Bucaneer Cove pm) - Oeste,Isabela (Punta Vicente Roca am / Tagus Cove pm) - Oeste,Fernandina (Espinosa Point am) / Isabela (Urbina Bay pm) - Oeste,Isabela (Elizabeth Bay am / Punta Moreno pm) - Oeste]</v>
      </c>
      <c r="C15" s="3" t="s">
        <v>194</v>
      </c>
      <c r="D15" s="13" t="s">
        <v>261</v>
      </c>
      <c r="E15" s="13" t="s">
        <v>262</v>
      </c>
      <c r="F15" s="13" t="s">
        <v>249</v>
      </c>
      <c r="G15" s="13" t="s">
        <v>250</v>
      </c>
      <c r="H15" s="13" t="s">
        <v>251</v>
      </c>
      <c r="I15" s="13" t="s">
        <v>252</v>
      </c>
      <c r="J15" s="13" t="s">
        <v>253</v>
      </c>
      <c r="K15" s="13" t="s">
        <v>254</v>
      </c>
      <c r="L15" s="13" t="s">
        <v>255</v>
      </c>
      <c r="M15" s="13" t="s">
        <v>256</v>
      </c>
      <c r="N15" s="13" t="s">
        <v>257</v>
      </c>
      <c r="O15" s="13" t="s">
        <v>258</v>
      </c>
      <c r="P15" s="13" t="s">
        <v>259</v>
      </c>
      <c r="Q15" s="13" t="s">
        <v>260</v>
      </c>
    </row>
    <row r="16" spans="1:17" ht="62.4">
      <c r="A16">
        <v>15</v>
      </c>
      <c r="B16" t="str">
        <f t="shared" si="0"/>
        <v>[Isabela (Tintoreras islet am / Humedales pm) - Oeste,Santa Cruz (Cerro Dragón am / Punta Carrión pm) - Oeste,Santa Cruz (Highlands am) / Transfer aeropuerto - Oeste / Baltra transfer barco am / Santa Cruz (Parte alta pm) - Este,Floreana (Post Office Bay am / Punta Cormorant &amp; Corona del Diablo pm) - Este,Española (Suarez Point am / Gardner Bay pm) - Este,San Cristóbal (Kicker Rock am / Centro de Interpretación Gianny Arismendi pm) - Este,Santa Fe am / Plazas Sur pm - Este,Genovesa (Prince Phillip´s Steps am / Darwin Bay pm) -Este,Santiago (Sullivan Bay am) / Rábida pm - Este,Santa Cruz (Caleta Tortuga Negra am) / Transfer aeropueto - Este / Transfer barco am / Santa Cruz (Bachas pm) - Oeste,Seymour Norte am / Bartolomé pm - Oeste,Santiago (Puerto Egas am / Espumilla Beach &amp; Bucaneer Cove pm) - Oeste,Isabela (Tagus Cove am) / Fernandina (Punta Espinoza pm) - Oeste,Isabela (Punta Moreno am / Elizabeth Bay pm) - Oeste]</v>
      </c>
      <c r="C16" s="3" t="s">
        <v>195</v>
      </c>
      <c r="D16" s="13" t="s">
        <v>281</v>
      </c>
      <c r="E16" s="13" t="s">
        <v>282</v>
      </c>
      <c r="F16" s="13" t="s">
        <v>283</v>
      </c>
      <c r="G16" s="13" t="s">
        <v>270</v>
      </c>
      <c r="H16" s="13" t="s">
        <v>271</v>
      </c>
      <c r="I16" s="13" t="s">
        <v>272</v>
      </c>
      <c r="J16" s="13" t="s">
        <v>273</v>
      </c>
      <c r="K16" s="13" t="s">
        <v>274</v>
      </c>
      <c r="L16" s="13" t="s">
        <v>275</v>
      </c>
      <c r="M16" s="13" t="s">
        <v>276</v>
      </c>
      <c r="N16" s="13" t="s">
        <v>277</v>
      </c>
      <c r="O16" s="13" t="s">
        <v>278</v>
      </c>
      <c r="P16" s="13" t="s">
        <v>279</v>
      </c>
      <c r="Q16" s="13" t="s">
        <v>280</v>
      </c>
    </row>
    <row r="17" spans="1:17" ht="93.6">
      <c r="A17">
        <v>16</v>
      </c>
      <c r="B17" t="str">
        <f t="shared" si="0"/>
        <v>[San Cristóbal Kicker Rock AM / Transfer to airport (8D B OUT)
San Cristobal Transfer to boat AM / El Junco Lagoon PM (8D A IN),Floreana Post office Bay + Baroness Viewing Point AM / Cormorant Point  + Devil´s Crown PM  (8D A),Española Suarez Point + Garner Bay + Osborn Islet, Gardner Bay PM (8D A),Santa Cruz Twin Craters AM / Fausto Llerena Breeding Center PM (8D A),Genovesa  El Barranco AM / Darwin Bay PM (8D A),Rabida island AM / Chiness Hat PM (8D A),San Cristobal Witch Hill AM / Lobos island PM (8D A),San Cristobal Gianni Arismendi Interpretation Center / Transfer to airport AM (8D A OUT)
San Cristóbal  Transfer to boat / David Rodriguez Breeding Center PM (8D B IN) ,North Seymour  AM / Santa Cruz Black Turtle Cove PM (8D B),Bartolomé  AM / Santiago Egas Port PM (8D B),Isabela Tagus Cove AM  / Urbina Bay PM (8D B),Fernandina Espinoza Point  AM / isabela Vicente Roca Point PM (8D B),Santiago Buccaneer Cove + Espumilla beach AM  / Sullivan bay PM (8D B),Santa Cruz Bachas Beach AM / Tortoise Breeding Center PM (8D B)]</v>
      </c>
      <c r="C17" s="2" t="s">
        <v>74</v>
      </c>
      <c r="D17" s="13" t="s">
        <v>536</v>
      </c>
      <c r="E17" s="13" t="s">
        <v>523</v>
      </c>
      <c r="F17" s="13" t="s">
        <v>524</v>
      </c>
      <c r="G17" s="13" t="s">
        <v>525</v>
      </c>
      <c r="H17" s="13" t="s">
        <v>526</v>
      </c>
      <c r="I17" s="13" t="s">
        <v>527</v>
      </c>
      <c r="J17" s="13" t="s">
        <v>528</v>
      </c>
      <c r="K17" s="13" t="s">
        <v>529</v>
      </c>
      <c r="L17" s="13" t="s">
        <v>530</v>
      </c>
      <c r="M17" s="13" t="s">
        <v>531</v>
      </c>
      <c r="N17" s="13" t="s">
        <v>532</v>
      </c>
      <c r="O17" s="13" t="s">
        <v>533</v>
      </c>
      <c r="P17" s="13" t="s">
        <v>534</v>
      </c>
      <c r="Q17" s="13" t="s">
        <v>535</v>
      </c>
    </row>
    <row r="18" spans="1:17" ht="31.2">
      <c r="A18">
        <v>17</v>
      </c>
      <c r="B18" t="str">
        <f t="shared" si="0"/>
        <v>[San Cristóbal Transfer to boat / Isla Lobos PM,Santa Cruz Punta Carrión AM / North Seymour land visit PM,Wolf island,Wolf island AM / Darwin island PM,Darwin island ,Wolf island,Santiago Cousin's Rock AM / Santa Cruz Highlands PM,San Cristóbal Transfer to airport,,,,,,]</v>
      </c>
      <c r="C18" s="3" t="s">
        <v>200</v>
      </c>
      <c r="D18" s="13" t="s">
        <v>380</v>
      </c>
      <c r="E18" s="13" t="s">
        <v>381</v>
      </c>
      <c r="F18" s="13" t="s">
        <v>382</v>
      </c>
      <c r="G18" s="13" t="s">
        <v>383</v>
      </c>
      <c r="H18" s="13" t="s">
        <v>384</v>
      </c>
      <c r="I18" s="13" t="s">
        <v>382</v>
      </c>
      <c r="J18" s="13" t="s">
        <v>393</v>
      </c>
      <c r="K18" s="13" t="s">
        <v>385</v>
      </c>
    </row>
    <row r="19" spans="1:17" ht="93.6">
      <c r="A19">
        <v>18</v>
      </c>
      <c r="B19" t="str">
        <f t="shared" si="0"/>
        <v>[Santiago Egas Port AM  / Bartolomé PM (8D B),Baltra Transfer to boat / Santa Cruz Black Turtle Cove PM (8D A IN)
North Seymour AM / Transfer to airport (8D B OUT),Genovesa Barranco AM  / Darwin Bay PM (8D A),Santiago Sullivan Bay AM / Rábida PM  (8D A),Santa Cruz  Breeding Center AM / Highlands PM (8D A),Santa Cruz  Dragon Hill  AM / Bachas Beach PM (8D A),Floreana Post Office Bay AM / Cormorant Point + Devil's Crown PM (8D A),Española Suárez Point AM / Gardner Bay PM (8D A),San Cristobal  Gianni Arismendi Interpretation Center  AM / Transfer to airport (8D A OUT)
San Cristóbal Transfer to boat / Breeding Center or Puerto Chino PM (8D B IN),Santa Fe AM / South plaza PM (8D B),Santa Cruz Fausto Lleran Breeding Center  AM / Twin Craters  PM (8D B),Isabela Moreno Point AM /  Elizabeth Bay PM (8D B),Isabela Urbina Bay AM  / Tagus Cove PM (8D B),Fernandina Espinoza Point AM  / Isabela Viente Roca Point PM (8D B)]</v>
      </c>
      <c r="C19" s="2" t="s">
        <v>79</v>
      </c>
      <c r="D19" s="13" t="s">
        <v>564</v>
      </c>
      <c r="E19" s="13" t="s">
        <v>565</v>
      </c>
      <c r="F19" s="13" t="s">
        <v>552</v>
      </c>
      <c r="G19" s="13" t="s">
        <v>553</v>
      </c>
      <c r="H19" s="13" t="s">
        <v>554</v>
      </c>
      <c r="I19" s="13" t="s">
        <v>555</v>
      </c>
      <c r="J19" s="13" t="s">
        <v>556</v>
      </c>
      <c r="K19" s="13" t="s">
        <v>557</v>
      </c>
      <c r="L19" s="13" t="s">
        <v>558</v>
      </c>
      <c r="M19" s="13" t="s">
        <v>559</v>
      </c>
      <c r="N19" s="13" t="s">
        <v>560</v>
      </c>
      <c r="O19" s="13" t="s">
        <v>561</v>
      </c>
      <c r="P19" s="13" t="s">
        <v>562</v>
      </c>
      <c r="Q19" s="13" t="s">
        <v>563</v>
      </c>
    </row>
    <row r="20" spans="1:17" ht="31.2">
      <c r="A20">
        <v>19</v>
      </c>
      <c r="B20" t="str">
        <f t="shared" si="0"/>
        <v>[Isabela - Oeste,ISABELA, FERNANDINA - OESTE,ISABELA - OESTE,SANTIAGO - OESTE,SEYMOUR NORTE, SANTA CRUZ - OESTE,BALTRA - OESTE / PUERTO AYORA - ESTE,ESPAÑOLA - ESTE,SAN CRISTÓBAL - ESTE,SANTA FE,  PLAZAS - ESTE,GENOVESA - ESTE,SANTIAGO, BARTOLOMÉ - ESTE,RÁBIDA, SOMBRERO CHINO - ESTE,BALTRA - ESTE / PUERTO AYORA - OESTE ,FLOREANA - OESTE]</v>
      </c>
      <c r="C20" s="2" t="s">
        <v>17</v>
      </c>
      <c r="D20" s="13" t="s">
        <v>209</v>
      </c>
      <c r="E20" s="13" t="s">
        <v>30</v>
      </c>
      <c r="F20" s="13" t="s">
        <v>29</v>
      </c>
      <c r="G20" s="13" t="s">
        <v>31</v>
      </c>
      <c r="H20" s="13" t="s">
        <v>32</v>
      </c>
      <c r="I20" s="13" t="s">
        <v>33</v>
      </c>
      <c r="J20" s="13" t="s">
        <v>21</v>
      </c>
      <c r="K20" s="13" t="s">
        <v>22</v>
      </c>
      <c r="L20" s="13" t="s">
        <v>23</v>
      </c>
      <c r="M20" s="13" t="s">
        <v>24</v>
      </c>
      <c r="N20" s="13" t="s">
        <v>25</v>
      </c>
      <c r="O20" s="13" t="s">
        <v>26</v>
      </c>
      <c r="P20" s="13" t="s">
        <v>27</v>
      </c>
      <c r="Q20" s="13" t="s">
        <v>28</v>
      </c>
    </row>
    <row r="21" spans="1:17" ht="46.8">
      <c r="A21">
        <v>20</v>
      </c>
      <c r="B21" t="str">
        <f t="shared" si="0"/>
        <v>[,,,,Baltra Transfer to boat / Santa Cruz Bachas PM (7D SE IN),San Cristobal Punta Pitt  AM / Cerro Colorado Breeding Center PM,Española Gardner Bay AM / Punta Suárez PM,Floreana  Punta Cormorant AM / Post Office Bay PM,Isabela  Moreno Point AM / Fernandina Mangle Point PM,Eden Islet AM / North Seymour PM,Baltra Transfer to airport (7D SE OUT),,,]</v>
      </c>
      <c r="C21" s="2" t="s">
        <v>133</v>
      </c>
      <c r="H21" s="13" t="s">
        <v>588</v>
      </c>
      <c r="I21" s="13" t="s">
        <v>589</v>
      </c>
      <c r="J21" s="13" t="s">
        <v>590</v>
      </c>
      <c r="K21" s="13" t="s">
        <v>591</v>
      </c>
      <c r="L21" s="13" t="s">
        <v>592</v>
      </c>
      <c r="M21" s="13" t="s">
        <v>593</v>
      </c>
      <c r="N21" s="13" t="s">
        <v>594</v>
      </c>
    </row>
    <row r="22" spans="1:17" ht="46.8">
      <c r="A22">
        <v>21</v>
      </c>
      <c r="B22" t="str">
        <f t="shared" si="0"/>
        <v>[,,,,Baltra Transfer to boat / North Seymour PM (7D IN),Isabela Vicente Roca Point AM  / Fernandina Espinoza Point PM,Isabela Urbina Bay AM / Tagus Cove PM,Rabida Red Beach AM / Santa Cruz Dragon Hill PM,Santa Cruz Charles Darwin Research StationAM  / Highlands PM,Floreana Post Office Bay AM / Punta Cormorant + Champion islet PM,Baltra Transfer to airport (7D W OUT),,,]</v>
      </c>
      <c r="C22" s="2" t="s">
        <v>115</v>
      </c>
      <c r="H22" s="13" t="s">
        <v>570</v>
      </c>
      <c r="I22" s="13" t="s">
        <v>571</v>
      </c>
      <c r="J22" s="13" t="s">
        <v>572</v>
      </c>
      <c r="K22" s="13" t="s">
        <v>573</v>
      </c>
      <c r="L22" s="13" t="s">
        <v>574</v>
      </c>
      <c r="M22" s="13" t="s">
        <v>575</v>
      </c>
      <c r="N22" s="13" t="s">
        <v>576</v>
      </c>
    </row>
    <row r="23" spans="1:17" ht="46.8">
      <c r="A23">
        <v>22</v>
      </c>
      <c r="B23" t="str">
        <f t="shared" si="0"/>
        <v>[Eden Islet / Santa Cruz (Highlands),Genovesa,Santa Cruz (Dragon Hill) / Santa Fe,Santa Cruz (Bachas / Mosquera Islet),Santiago (Egas Port) / Rábida,Isabela (Urbina Bay / Tagus Cove),Fernandina (Espinoza Point) / Isabela (Vicente Roca Point),Santa Cruz (Highlands) / Bartolomé,South Plaza / North Seymour,San Cristobal (Pitt Point / Witch Hill),San Cristobal (Cerro Colorado Breeding Center / Interpretation Center),Española,Floreana,Santa Cruz (Charles Darwin Station / Highlands)]</v>
      </c>
      <c r="C23" s="2" t="s">
        <v>171</v>
      </c>
      <c r="D23" s="13" t="s">
        <v>174</v>
      </c>
      <c r="E23" s="13" t="s">
        <v>41</v>
      </c>
      <c r="F23" s="13" t="s">
        <v>175</v>
      </c>
      <c r="G23" s="13" t="s">
        <v>176</v>
      </c>
      <c r="H23" s="13" t="s">
        <v>177</v>
      </c>
      <c r="I23" s="13" t="s">
        <v>82</v>
      </c>
      <c r="J23" s="13" t="s">
        <v>85</v>
      </c>
      <c r="K23" s="13" t="s">
        <v>178</v>
      </c>
      <c r="L23" s="13" t="s">
        <v>179</v>
      </c>
      <c r="M23" s="13" t="s">
        <v>120</v>
      </c>
      <c r="N23" s="13" t="s">
        <v>180</v>
      </c>
      <c r="O23" s="13" t="s">
        <v>81</v>
      </c>
      <c r="P23" s="13" t="s">
        <v>80</v>
      </c>
      <c r="Q23" s="13" t="s">
        <v>119</v>
      </c>
    </row>
    <row r="24" spans="1:17" ht="93.6">
      <c r="A24">
        <v>23</v>
      </c>
      <c r="B24" t="str">
        <f t="shared" si="0"/>
        <v>[Bartholomew am / Chinese Hat islet pm - Este,Rabida am / Santa Cruz (Drangon Hill pm) - Este,Santa Cruz (Highlands am /  Fausto Llerena Breeding Center pm) - Este,South Plaza am  / Santa Fe pm,Española (Suarez Point am / Gardner Bay &amp; Osborn islet pm) - Este,Santa Cruz (Pitt Craters am) / Transfer to airport - Este /  Baltra arrival &amp; Transfer to boat am / Santa Cruz Highlands &amp; Fausto Llerena Breeding center pm - Oeste,Floreana (Cormorant Point &amp; Devil´s Crown am / Post Office Bay pm) - Oeste,Floreana (Black beach am / Asilo de la Paz pm) - Oeste,Isabela (Moreno Point am / Urbina Bay pm) - Oeste,Isabela (Tagus Cove am) / Fernandina (Espinoza Point pm) - Oeste,Santiago (Egas Port am / Bucaneer Cove &amp; Espumilla Beach pm) - Oeste,Santiago (Sullivan Bay am) / North Seymour pm - Oeste,Mosquera islet am / Transfer to Baltra - Oeste / Baltra arrival &amp; Transfer to boat am  / Santa Cruz (Black Turtle Cove pm) - Este,Genovesa (Darwin Bay am / Barranco pm) - Este]</v>
      </c>
      <c r="C24" s="3" t="s">
        <v>357</v>
      </c>
      <c r="D24" s="13" t="s">
        <v>230</v>
      </c>
      <c r="E24" s="13" t="s">
        <v>231</v>
      </c>
      <c r="F24" s="13" t="s">
        <v>232</v>
      </c>
      <c r="G24" s="13" t="s">
        <v>233</v>
      </c>
      <c r="H24" s="13" t="s">
        <v>234</v>
      </c>
      <c r="I24" s="13" t="s">
        <v>236</v>
      </c>
      <c r="J24" s="13" t="s">
        <v>237</v>
      </c>
      <c r="K24" s="13" t="s">
        <v>238</v>
      </c>
      <c r="L24" s="13" t="s">
        <v>239</v>
      </c>
      <c r="M24" s="13" t="s">
        <v>240</v>
      </c>
      <c r="N24" s="13" t="s">
        <v>241</v>
      </c>
      <c r="O24" s="13" t="s">
        <v>242</v>
      </c>
      <c r="P24" s="13" t="s">
        <v>243</v>
      </c>
      <c r="Q24" s="13" t="s">
        <v>235</v>
      </c>
    </row>
    <row r="25" spans="1:17" ht="93.6">
      <c r="A25">
        <v>24</v>
      </c>
      <c r="B25" t="str">
        <f t="shared" si="0"/>
        <v>[Floreana Post Office Bay AM / Cormorant Point &amp; Devil's Crown PM (8dB &amp; 4d &amp; 6dB),Santa Cruz Black Turtle Cove AM / Bartolomé PM (8dB) (5d IN solo Bartolomé) (4d &amp; 6dB OUT solo Black Turtle Cove),Genovesa Darwin Bay AM / El Barranco PM (8dB &amp; 5d),Santiago Espumilla Beach &amp; Bucaneer Cove AM / Puerto Egas PM (8dB &amp; 5d),Seymour Norte AM / Santa Cruz Highlands PM (8dB &amp; 5d),Baltra transfer to boat / Chinese Hat PM (8dA &amp; 6dA) - Mosquera Islet / Transfer to airport AM (8dB &amp; 5d),Isabela Vicente Roca Point AM / Fernandina Espinoza Point PM (8dA &amp; 6dA),Isabela Tagus Cove AM / Urbina Bay PM (8dA &amp; 6dA),Isabela Elizabeth Bay  AM / Moreno Point PM (8dA &amp; 6dA),Santa Cruz Charles Darwin Station AM / Highlands PM (8dA &amp; 6dA),South Plaza AM  / Santa Fe PM (8dA) (6dB IN solo Santa Fe) (6dA OUT solo South Plaza),Española Suarez Point AM / Gardner Bay &amp; Osborn Islet PM (8dA &amp; 6dB),San Cristóbal Centro de Interpretación / Transfer to airport AM (8dA) - San Cristóbal transfer to boat / Isla Lobos &amp; Kicker Rock PM (8dB &amp; 4d) (6dB itinerario completo),San Cristobal Pitt Point AM / Witch Hill PM (8dB &amp; 4d &amp; 6dB)]</v>
      </c>
      <c r="C25" s="3" t="s">
        <v>197</v>
      </c>
      <c r="D25" s="13" t="s">
        <v>322</v>
      </c>
      <c r="E25" s="13" t="s">
        <v>323</v>
      </c>
      <c r="F25" s="13" t="s">
        <v>316</v>
      </c>
      <c r="G25" s="13" t="s">
        <v>317</v>
      </c>
      <c r="H25" s="13" t="s">
        <v>318</v>
      </c>
      <c r="I25" s="13" t="s">
        <v>324</v>
      </c>
      <c r="J25" s="13" t="s">
        <v>325</v>
      </c>
      <c r="K25" s="13" t="s">
        <v>326</v>
      </c>
      <c r="L25" s="13" t="s">
        <v>327</v>
      </c>
      <c r="M25" s="13" t="s">
        <v>328</v>
      </c>
      <c r="N25" s="13" t="s">
        <v>329</v>
      </c>
      <c r="O25" s="13" t="s">
        <v>319</v>
      </c>
      <c r="P25" s="13" t="s">
        <v>320</v>
      </c>
      <c r="Q25" s="13" t="s">
        <v>321</v>
      </c>
    </row>
    <row r="26" spans="1:17" ht="62.4">
      <c r="A26">
        <v>25</v>
      </c>
      <c r="B26" t="str">
        <f t="shared" si="0"/>
        <v>[Genovesa Prince Phillip's Steps AM / Darwin Bay PM (B),Santa Cruz Bachas Beach or Black Turtle Cove AM / Cerro Dragón PM (B),Isabela Punta Vicente Roca o Elizabeth Bay AM / Urbina Bay PM (B),Fernandina Punta Espinosa AM / Isabela Tagus Cove PM (B),Rabida AM / Santiago Puerto Egas or Santa Cruz Black Turtle Cove PM (B),Santa Cruz Breeding Center  ECCD AM / Highlands PM (B),San Cristóbal Transfer to boat / Leon Dormido PM (A) - Centro de Interpretación / Transfer to airport (B),San Cristóbal Punta Pitt AM / Cerro Brujo PM (A),Española Punta Suárez &amp; Orborn islet AM / Gardner bay  &amp; Gardner islet PM (A),Floreana Punta Cormorant &amp; Devil's Crown AM / Post Office Bay &amp; La Baronesa Point PM (A),Santa Cruz Highlands AM / Centro de Crianza ECCD PM (A),Sombrero Chino &amp; Santa Cruz Bachas Beach or Black Turtle Cove AM / Bartolomé PM (A),South Plazas AM / North Seymour PM (A),San Cristóbal Centro de Interpretacion / Transfer to airport (A &amp; B) ]</v>
      </c>
      <c r="C26" s="3" t="s">
        <v>204</v>
      </c>
      <c r="D26" s="13" t="s">
        <v>440</v>
      </c>
      <c r="E26" s="13" t="s">
        <v>441</v>
      </c>
      <c r="F26" s="13" t="s">
        <v>442</v>
      </c>
      <c r="G26" s="13" t="s">
        <v>443</v>
      </c>
      <c r="H26" s="13" t="s">
        <v>444</v>
      </c>
      <c r="I26" s="13" t="s">
        <v>445</v>
      </c>
      <c r="J26" s="13" t="s">
        <v>446</v>
      </c>
      <c r="K26" s="13" t="s">
        <v>433</v>
      </c>
      <c r="L26" s="13" t="s">
        <v>434</v>
      </c>
      <c r="M26" s="13" t="s">
        <v>436</v>
      </c>
      <c r="N26" s="13" t="s">
        <v>435</v>
      </c>
      <c r="O26" s="13" t="s">
        <v>437</v>
      </c>
      <c r="P26" s="13" t="s">
        <v>438</v>
      </c>
      <c r="Q26" s="13" t="s">
        <v>439</v>
      </c>
    </row>
    <row r="27" spans="1:17" ht="31.2">
      <c r="A27">
        <v>26</v>
      </c>
      <c r="B27" t="str">
        <f t="shared" si="0"/>
        <v>[Floreana (Black Beach / Asilo de la  Paz ),Isabela (Moreno Point - Urbina Bay),Isabela (Tagus Cove) / Fernandina (Espinosa Point),Santiago (Egas Port / Espumilla Beach/ Buccaneer Cove),Santiago (Sullivan Bay) / North Seymour,Mosquera Islet / Santa Cruz (Black Turttle Cove),Genovesa,Bartolome / Chinesse Hat,Rabida / Santa Cruz (Dragon Hill),Santa Cruz (Highlands / Charles Darwin Station),South Plaza  / Santa Fe,Española,Santa Cruz (Twin Craters / Highlands Breeding Center,Floreana]</v>
      </c>
      <c r="C27" s="2" t="s">
        <v>88</v>
      </c>
      <c r="D27" s="13" t="s">
        <v>90</v>
      </c>
      <c r="E27" s="13" t="s">
        <v>61</v>
      </c>
      <c r="F27" s="13" t="s">
        <v>91</v>
      </c>
      <c r="G27" s="13" t="s">
        <v>92</v>
      </c>
      <c r="H27" s="13" t="s">
        <v>93</v>
      </c>
      <c r="I27" s="13" t="s">
        <v>94</v>
      </c>
      <c r="J27" s="13" t="s">
        <v>41</v>
      </c>
      <c r="K27" s="13" t="s">
        <v>95</v>
      </c>
      <c r="L27" s="13" t="s">
        <v>96</v>
      </c>
      <c r="M27" s="13" t="s">
        <v>97</v>
      </c>
      <c r="N27" s="13" t="s">
        <v>98</v>
      </c>
      <c r="O27" s="13" t="s">
        <v>81</v>
      </c>
      <c r="P27" s="13" t="s">
        <v>99</v>
      </c>
      <c r="Q27" s="13" t="s">
        <v>80</v>
      </c>
    </row>
    <row r="28" spans="1:17" ht="78">
      <c r="A28">
        <v>27</v>
      </c>
      <c r="B28" t="str">
        <f t="shared" si="0"/>
        <v>[Santa Cruz Centro de Crianza Fausto Llerena AM / Parte Alta PM (8D B) ,Santiago Sullivan Bay AM / Bartolomé PM (8DB),Genovesa Darwin Bay AM / Prince Phillip's Steps PM (8D B),Santiago Egas Port AM / Espumilla Beach &amp; Bucaneer Cove PM (8D B),Baltra transfer to boat AM / North Seymour PM (8D A) 
Santa Cruz Punta Carrion &amp; Transfer to airport AM (8D B),Isabela Vicente Roca Point AM / Fernandina Punta Espinosa PM (8D A),Isabela Tagus Cove AM / Urbina Bay PM (8D A),Isabela Elizabeth Bay AM / Punta Moreno PM (8D A),Isabela Sierra Negra AM /  Humedales + Centro de Crianza Arnaldo Tupiza PM (8D A),Santa Cruz Centro de Crianza Fausto Llerena AM / Gemelos PM (8D A),Plazas Sur AM / Santa Fe PM (8D A),San Cristóbal Isla Lobos / Transfer to airport AM (8D A OUT) 
San Cristóbal transfer to boat AM / Centro de Interpretación &amp; Galapaguera PM (8D B IN),Española Gardner Bay &amp; Osborn Islet AM / Suarez Point PM (8D B),Floreana Cormorant Point + Devil's Crown AM / Post Office Bay PM (8D B)]</v>
      </c>
      <c r="C28" s="3" t="s">
        <v>182</v>
      </c>
      <c r="D28" s="13" t="s">
        <v>464</v>
      </c>
      <c r="E28" s="13" t="s">
        <v>465</v>
      </c>
      <c r="F28" s="13" t="s">
        <v>466</v>
      </c>
      <c r="G28" s="13" t="s">
        <v>467</v>
      </c>
      <c r="H28" s="13" t="s">
        <v>468</v>
      </c>
      <c r="I28" s="13" t="s">
        <v>469</v>
      </c>
      <c r="J28" s="13" t="s">
        <v>470</v>
      </c>
      <c r="K28" s="13" t="s">
        <v>471</v>
      </c>
      <c r="L28" s="13" t="s">
        <v>472</v>
      </c>
      <c r="M28" s="13" t="s">
        <v>473</v>
      </c>
      <c r="N28" s="13" t="s">
        <v>474</v>
      </c>
      <c r="O28" s="13" t="s">
        <v>475</v>
      </c>
      <c r="P28" s="13" t="s">
        <v>476</v>
      </c>
      <c r="Q28" s="13" t="s">
        <v>477</v>
      </c>
    </row>
    <row r="29" spans="1:17" ht="46.8">
      <c r="A29">
        <v>28</v>
      </c>
      <c r="B29" t="str">
        <f t="shared" si="0"/>
        <v>[Isabela (Punta Moreno am / Elizabethe Bay pm) - Oeste,Isabela (Urbina Bay am) / Fernandina (Punta Espinoza pm) - Oeste,Isabela (Tagus Cove am / Vicente Roca Point pm) - Oeste,Santiago (Espumilla Beach or Bucaneer Cove am / Puerto Egas pm) - Oeste,Santa Cruz (Bachas am) / North Seymour pm - Oeste,Transfer Baltra - Oeste / Santa Cruz (Breeding Center pm) - Este,Española (Garner Bay / Gardner Islet / Osborn Islet am / Suarez Point pm) - Este,San Cristobal (Lobos Island / Kicker Rock am / Pitt Point pm) - Este,Santa Fe am / South Plazas pm - Este,Genovesa (Darwin Bay am / El Barranco pm) - Este,Santiago (Sullivan Bay am) / Bartholomew Island pm - Este,Rabida Island am / Chinese Hat Islet pm,Transfer to Baltra - Este /  Transfer to boat / Twin Craters pm - Oeste,Floreana (Cormorant Point / Champion Islet am / Post Office Bay pm) - Oeste]</v>
      </c>
      <c r="C29" s="3" t="s">
        <v>193</v>
      </c>
      <c r="D29" s="13" t="s">
        <v>210</v>
      </c>
      <c r="E29" s="13" t="s">
        <v>211</v>
      </c>
      <c r="F29" s="13" t="s">
        <v>212</v>
      </c>
      <c r="G29" s="13" t="s">
        <v>213</v>
      </c>
      <c r="H29" s="13" t="s">
        <v>214</v>
      </c>
      <c r="I29" s="13" t="s">
        <v>215</v>
      </c>
      <c r="J29" s="13" t="s">
        <v>216</v>
      </c>
      <c r="K29" s="13" t="s">
        <v>217</v>
      </c>
      <c r="L29" s="13" t="s">
        <v>218</v>
      </c>
      <c r="M29" s="13" t="s">
        <v>219</v>
      </c>
      <c r="N29" s="13" t="s">
        <v>220</v>
      </c>
      <c r="O29" s="13" t="s">
        <v>221</v>
      </c>
      <c r="P29" s="13" t="s">
        <v>222</v>
      </c>
      <c r="Q29" s="13" t="s">
        <v>223</v>
      </c>
    </row>
    <row r="30" spans="1:17" ht="31.2">
      <c r="A30">
        <v>29</v>
      </c>
      <c r="B30" t="str">
        <f t="shared" si="0"/>
        <v>[Santa Cruz (Bachas),Santiago (Buccaneer Cove / Egas Port),Rábida / Bartolomé,Genovesa,Santa Cruz ( Giant Tortoise Reserve) / Mosquera Islet,San Cristobal (Cerro Colorado Breeding Center / Punta Pitt),Santa Fe / South Plaza,Santa Cruz (Charles Darwin Station / Highlands),Española,Eden Islet / North Seymour,Santa Cruz (Dragon Hill),Isabela (Vicente Roca Point) / Fernandina (Espinoza Point),Santa Cruz (Charles Darwin Station / Highlands),Floreana]</v>
      </c>
      <c r="C30" s="2" t="s">
        <v>121</v>
      </c>
      <c r="D30" s="13" t="s">
        <v>124</v>
      </c>
      <c r="E30" s="13" t="s">
        <v>125</v>
      </c>
      <c r="F30" s="13" t="s">
        <v>126</v>
      </c>
      <c r="G30" s="13" t="s">
        <v>41</v>
      </c>
      <c r="H30" s="13" t="s">
        <v>127</v>
      </c>
      <c r="I30" s="13" t="s">
        <v>128</v>
      </c>
      <c r="J30" s="13" t="s">
        <v>129</v>
      </c>
      <c r="K30" s="13" t="s">
        <v>119</v>
      </c>
      <c r="L30" s="13" t="s">
        <v>81</v>
      </c>
      <c r="M30" s="13" t="s">
        <v>130</v>
      </c>
      <c r="N30" s="13" t="s">
        <v>131</v>
      </c>
      <c r="O30" s="13" t="s">
        <v>118</v>
      </c>
      <c r="P30" s="13" t="s">
        <v>119</v>
      </c>
      <c r="Q30" s="13" t="s">
        <v>80</v>
      </c>
    </row>
    <row r="31" spans="1:17" ht="46.8">
      <c r="A31">
        <v>30</v>
      </c>
      <c r="B31" t="str">
        <f t="shared" si="0"/>
        <v>[San Cristobal ( Interpretation Center / Lobos island),San Cristobal (Pitt Point, Witch Hill, Kicker Rock),Española,Floreana,North Seymour / Bartolomé,Genovesa,South Plaza / Santa Fe,Santa Cruz (The Twins / El Chato / Highlands Breeding Center),Chinesse Hat / Rábida,Santiago (Espumilla Beach/ Buccaneer Cove / Egas Port),Fernandina (Espinoza Point) / Isabela (Tagus Cove),Isabela (Elizabeth Bay / Moreno Point),Isabela (Tintoreras / Volcano Chico / Wall of Tears / Breeding Center),Santa Cruz (Highlands / Tortuga Bay)]</v>
      </c>
      <c r="C31" s="2" t="s">
        <v>103</v>
      </c>
      <c r="D31" s="13" t="s">
        <v>105</v>
      </c>
      <c r="E31" s="13" t="s">
        <v>106</v>
      </c>
      <c r="F31" s="13" t="s">
        <v>81</v>
      </c>
      <c r="G31" s="13" t="s">
        <v>80</v>
      </c>
      <c r="H31" s="13" t="s">
        <v>107</v>
      </c>
      <c r="I31" s="13" t="s">
        <v>41</v>
      </c>
      <c r="J31" s="13" t="s">
        <v>84</v>
      </c>
      <c r="K31" s="13" t="s">
        <v>108</v>
      </c>
      <c r="L31" s="13" t="s">
        <v>109</v>
      </c>
      <c r="M31" s="13" t="s">
        <v>110</v>
      </c>
      <c r="N31" s="13" t="s">
        <v>111</v>
      </c>
      <c r="O31" s="13" t="s">
        <v>112</v>
      </c>
      <c r="P31" s="13" t="s">
        <v>113</v>
      </c>
      <c r="Q31" s="13" t="s">
        <v>114</v>
      </c>
    </row>
    <row r="32" spans="1:17" ht="31.2">
      <c r="A32">
        <v>31</v>
      </c>
      <c r="B32" t="str">
        <f t="shared" si="0"/>
        <v>[,,,,,Baltra Transfer to boat / Santa Cruz Punta Carrión PM,Baltra north AM / Seymour land visit PM,Wolf island,Darwin island,Wolf island,Fernandina Cabo Douglas AM / Isabela Punta Vicente Roca PM,Santiago Cousin's Rock AM / Santa Cruz Highlands PM (dinner on own),Baltra transfer to airport,]</v>
      </c>
      <c r="C32" s="3" t="s">
        <v>203</v>
      </c>
      <c r="I32" s="13" t="s">
        <v>426</v>
      </c>
      <c r="J32" s="13" t="s">
        <v>427</v>
      </c>
      <c r="K32" s="13" t="s">
        <v>382</v>
      </c>
      <c r="L32" s="13" t="s">
        <v>391</v>
      </c>
      <c r="M32" s="13" t="s">
        <v>382</v>
      </c>
      <c r="N32" s="13" t="s">
        <v>339</v>
      </c>
      <c r="O32" s="13" t="s">
        <v>428</v>
      </c>
      <c r="P32" s="13" t="s">
        <v>337</v>
      </c>
    </row>
    <row r="33" spans="3:3">
      <c r="C33" s="3"/>
    </row>
    <row r="34" spans="3:3">
      <c r="C34" s="3"/>
    </row>
    <row r="71" spans="3:3">
      <c r="C71" s="3"/>
    </row>
    <row r="72" spans="3:3">
      <c r="C72" s="3"/>
    </row>
    <row r="73" spans="3:3">
      <c r="C73" s="3"/>
    </row>
    <row r="74" spans="3:3">
      <c r="C74" s="3"/>
    </row>
    <row r="75" spans="3:3">
      <c r="C75" s="3"/>
    </row>
    <row r="76" spans="3:3">
      <c r="C76" s="3"/>
    </row>
    <row r="77" spans="3:3">
      <c r="C77" s="3"/>
    </row>
    <row r="78" spans="3:3">
      <c r="C78" s="3"/>
    </row>
    <row r="79" spans="3:3">
      <c r="C79" s="3"/>
    </row>
    <row r="80" spans="3:3">
      <c r="C80" s="3"/>
    </row>
    <row r="81" spans="3:3">
      <c r="C81" s="3"/>
    </row>
  </sheetData>
  <sortState xmlns:xlrd2="http://schemas.microsoft.com/office/spreadsheetml/2017/richdata2" ref="C2:R82">
    <sortCondition ref="C2:C82"/>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CRUISE</vt:lpstr>
      <vt:lpstr>CRUISE_DETAIL</vt:lpstr>
      <vt:lpstr>ITINERARY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Mónica Páez Espinosa</dc:creator>
  <cp:lastModifiedBy>Jose Cuevas</cp:lastModifiedBy>
  <dcterms:created xsi:type="dcterms:W3CDTF">2021-09-23T20:34:52Z</dcterms:created>
  <dcterms:modified xsi:type="dcterms:W3CDTF">2022-04-26T22:11:14Z</dcterms:modified>
</cp:coreProperties>
</file>