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mc:AlternateContent xmlns:mc="http://schemas.openxmlformats.org/markup-compatibility/2006">
    <mc:Choice Requires="x15">
      <x15ac:absPath xmlns:x15ac="http://schemas.microsoft.com/office/spreadsheetml/2010/11/ac" url="C:\Users\Jose Cuevas\DEV\CRS\back\service\src\infra\imports\"/>
    </mc:Choice>
  </mc:AlternateContent>
  <xr:revisionPtr revIDLastSave="0" documentId="13_ncr:1_{F900C342-15B6-4192-8F3F-F2A52B67D9C1}" xr6:coauthVersionLast="47" xr6:coauthVersionMax="47" xr10:uidLastSave="{00000000-0000-0000-0000-000000000000}"/>
  <bookViews>
    <workbookView xWindow="28680" yWindow="-120" windowWidth="38640" windowHeight="15720" tabRatio="1000" xr2:uid="{00000000-000D-0000-FFFF-FFFF00000000}"/>
  </bookViews>
  <sheets>
    <sheet name="CRUISE" sheetId="4" r:id="rId1"/>
    <sheet name="CRUISE_DETAIL" sheetId="2" r:id="rId2"/>
    <sheet name="ITINERARY" sheetId="3"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3" l="1"/>
  <c r="Y3" i="4"/>
  <c r="B4" i="3"/>
  <c r="Y4" i="4"/>
  <c r="B5" i="3"/>
  <c r="Y5" i="4"/>
  <c r="B6" i="3"/>
  <c r="Y6" i="4"/>
  <c r="B7" i="3"/>
  <c r="Y7" i="4"/>
  <c r="B8" i="3"/>
  <c r="Y8" i="4"/>
  <c r="B9" i="3"/>
  <c r="Y9" i="4"/>
  <c r="B10" i="3"/>
  <c r="Y10" i="4"/>
  <c r="B11" i="3"/>
  <c r="Y11" i="4"/>
  <c r="B12" i="3"/>
  <c r="Y12" i="4"/>
  <c r="B13" i="3"/>
  <c r="Y13" i="4"/>
  <c r="B14" i="3"/>
  <c r="Y14" i="4"/>
  <c r="B15" i="3"/>
  <c r="Y15" i="4"/>
  <c r="B16" i="3"/>
  <c r="Y16" i="4"/>
  <c r="B17" i="3"/>
  <c r="Y17" i="4"/>
  <c r="B18" i="3"/>
  <c r="Y18" i="4"/>
  <c r="B19" i="3"/>
  <c r="Y19" i="4"/>
  <c r="B20" i="3"/>
  <c r="Y20" i="4"/>
  <c r="B21" i="3"/>
  <c r="Y21" i="4"/>
  <c r="B22" i="3"/>
  <c r="Y22" i="4"/>
  <c r="B23" i="3"/>
  <c r="Y23" i="4"/>
  <c r="B24" i="3"/>
  <c r="Y24" i="4"/>
  <c r="B25" i="3"/>
  <c r="Y25" i="4"/>
  <c r="B26" i="3"/>
  <c r="Y26" i="4"/>
  <c r="B27" i="3"/>
  <c r="Y27" i="4"/>
  <c r="B28" i="3"/>
  <c r="Y28" i="4"/>
  <c r="B29" i="3"/>
  <c r="Y29" i="4"/>
  <c r="B30" i="3"/>
  <c r="Y30" i="4"/>
  <c r="B31" i="3"/>
  <c r="Y31" i="4"/>
  <c r="B32" i="3"/>
  <c r="Y32" i="4"/>
  <c r="B2" i="3"/>
  <c r="Y2" i="4"/>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2" i="2"/>
  <c r="F77" i="2"/>
  <c r="F76" i="2"/>
  <c r="F75" i="2"/>
  <c r="F74" i="2"/>
  <c r="F73" i="2"/>
  <c r="F72" i="2"/>
  <c r="F71" i="2"/>
  <c r="F70" i="2"/>
  <c r="F69" i="2"/>
  <c r="F68" i="2"/>
  <c r="F67" i="2"/>
  <c r="F66" i="2"/>
  <c r="F60" i="2"/>
  <c r="F59" i="2"/>
  <c r="F58" i="2"/>
  <c r="F57" i="2"/>
  <c r="F56" i="2"/>
  <c r="F55" i="2"/>
  <c r="F54" i="2"/>
  <c r="F53" i="2"/>
  <c r="F52" i="2"/>
  <c r="F51" i="2"/>
  <c r="F49" i="2"/>
  <c r="F48" i="2"/>
  <c r="F47" i="2"/>
  <c r="F46" i="2"/>
  <c r="F45" i="2"/>
  <c r="F44" i="2"/>
  <c r="F43" i="2"/>
  <c r="F42" i="2"/>
  <c r="F41" i="2"/>
  <c r="F39" i="2"/>
  <c r="F38" i="2"/>
  <c r="F37" i="2"/>
  <c r="F36" i="2"/>
  <c r="F35" i="2"/>
  <c r="F34" i="2"/>
  <c r="F33" i="2"/>
  <c r="F32" i="2"/>
  <c r="F31" i="2"/>
  <c r="F30" i="2"/>
  <c r="F29" i="2"/>
  <c r="F28" i="2"/>
  <c r="F27" i="2"/>
  <c r="F17" i="2"/>
  <c r="F16" i="2"/>
  <c r="F15" i="2"/>
  <c r="F14" i="2"/>
  <c r="F13" i="2"/>
  <c r="F12" i="2"/>
  <c r="F11" i="2"/>
  <c r="F10" i="2"/>
  <c r="F9" i="2"/>
</calcChain>
</file>

<file path=xl/sharedStrings.xml><?xml version="1.0" encoding="utf-8"?>
<sst xmlns="http://schemas.openxmlformats.org/spreadsheetml/2006/main" count="1006" uniqueCount="629">
  <si>
    <t>LUNES</t>
  </si>
  <si>
    <t>MARTES</t>
  </si>
  <si>
    <t>MIERCOLES</t>
  </si>
  <si>
    <t>JUEVES</t>
  </si>
  <si>
    <t>VIERNES</t>
  </si>
  <si>
    <t>SABADO</t>
  </si>
  <si>
    <t>DOMINGO</t>
  </si>
  <si>
    <t>SI</t>
  </si>
  <si>
    <t>NO</t>
  </si>
  <si>
    <t>NATURALISTA</t>
  </si>
  <si>
    <t>BUCEO</t>
  </si>
  <si>
    <t>PUERTO BAQUERIZO MORENO</t>
  </si>
  <si>
    <t>PUERTO AYORA</t>
  </si>
  <si>
    <t>YATE MONOCASCO</t>
  </si>
  <si>
    <t>CATAMARÁN</t>
  </si>
  <si>
    <t>TRIMARÁN</t>
  </si>
  <si>
    <t>VELERO MONOCASCO</t>
  </si>
  <si>
    <t>INTEGRITY</t>
  </si>
  <si>
    <t>PARMARENT</t>
  </si>
  <si>
    <t>International Nature &amp; Cultural Adventures, INCA</t>
  </si>
  <si>
    <t>1 Suite + 2 Single  + 6 Standard</t>
  </si>
  <si>
    <t>ESPAÑOLA - ESTE</t>
  </si>
  <si>
    <t>SAN CRISTÓBAL - ESTE</t>
  </si>
  <si>
    <t>SANTA FE,  PLAZAS - ESTE</t>
  </si>
  <si>
    <t>GENOVESA - ESTE</t>
  </si>
  <si>
    <t>SANTIAGO, BARTOLOMÉ - ESTE</t>
  </si>
  <si>
    <t>RÁBIDA, SOMBRERO CHINO - ESTE</t>
  </si>
  <si>
    <t xml:space="preserve">BALTRA - ESTE / PUERTO AYORA - OESTE </t>
  </si>
  <si>
    <t>FLOREANA - OESTE</t>
  </si>
  <si>
    <t>ISABELA - OESTE</t>
  </si>
  <si>
    <t>ISABELA, FERNANDINA - OESTE</t>
  </si>
  <si>
    <t>SANTIAGO - OESTE</t>
  </si>
  <si>
    <t>SEYMOUR NORTE, SANTA CRUZ - OESTE</t>
  </si>
  <si>
    <t>BALTRA - OESTE / PUERTO AYORA - ESTE</t>
  </si>
  <si>
    <t>https://www.integritygalapagos.com/</t>
  </si>
  <si>
    <t>LUJO</t>
  </si>
  <si>
    <t>PRIMERA</t>
  </si>
  <si>
    <t>TURISTA SUPERIOR</t>
  </si>
  <si>
    <t>Christian Siebers</t>
  </si>
  <si>
    <t>Endemic</t>
  </si>
  <si>
    <t>Domingo - Domingo</t>
  </si>
  <si>
    <t>Genovesa</t>
  </si>
  <si>
    <t xml:space="preserve">Isabela (Elizabeth y Urbina Bay) </t>
  </si>
  <si>
    <t>Los Gemelos - Santiago (Sullivan)</t>
  </si>
  <si>
    <t>Isabela (Tagus Cove) Fernandina Pta Espinoza)</t>
  </si>
  <si>
    <t>Santiago (Caleta Bucanero y Playa Espumilla)</t>
  </si>
  <si>
    <t>Islote Mosquera - Santa Cruz (Dragon Hill)</t>
  </si>
  <si>
    <t>Isabela (Humedales, Sierra Negra, Centro Interpretación)</t>
  </si>
  <si>
    <t>San Cristóbal (Kicker Rock, Witch Hill, Isla Lobos)</t>
  </si>
  <si>
    <t>Española (Gardner Bay) - Orborn y Gardner Islets - Española Suarez Point</t>
  </si>
  <si>
    <t>Santa Fe - Santa Cruz (Charles Darwin Station)</t>
  </si>
  <si>
    <t>South Plaza - Bartolomé</t>
  </si>
  <si>
    <t xml:space="preserve"> Floreana (Devil's Crowm- Cormorant Point The  Varoness Overlook, Post Office)</t>
  </si>
  <si>
    <t>Santiago (Chiness Hut) - North Seymour</t>
  </si>
  <si>
    <t>Santa Cruz (Black Turtle Cove - Las Bachas)</t>
  </si>
  <si>
    <t>https://www.goldengalapagoscruises.com/endemic-luxury-yacht/</t>
  </si>
  <si>
    <t>US$ 1027</t>
  </si>
  <si>
    <t>Elite</t>
  </si>
  <si>
    <t>4 Suites Upper + 4 Suites Main + 1 Single Cabin</t>
  </si>
  <si>
    <t xml:space="preserve">Sábado - Sábado </t>
  </si>
  <si>
    <t>Isabela (Tintorera - Sierra Negra) / Breeding Center</t>
  </si>
  <si>
    <t>Isabela (Moreno Point - Urbina Bay)</t>
  </si>
  <si>
    <t>Fernandina  (Espinoza Point) Isabela (Vicente Roca Point)</t>
  </si>
  <si>
    <t>Rabida / Bartolomé</t>
  </si>
  <si>
    <t>San Cristobal (Kicker Rock / Witch Hill / Giant Tortoise Reserve</t>
  </si>
  <si>
    <t>San Cristobal Interpretation Center / Breeding Center</t>
  </si>
  <si>
    <t>Española (Suarez Point - Gardner Bay - Gardner y Osborn Islets)</t>
  </si>
  <si>
    <t>Floreana (Cormorant Point / Post Office Bay, Baroness Lockout)</t>
  </si>
  <si>
    <t>Mosquera / Santa Cruz (Charles Darwin Station)</t>
  </si>
  <si>
    <t>Santiago (Buccaneer Cove y Espumilla Beach / Egas Port)</t>
  </si>
  <si>
    <t>Santa Cruz (Bachas / Twins and Highlands)</t>
  </si>
  <si>
    <t>San Cristobal (Isla Lobos /  El Junco Lagoon)</t>
  </si>
  <si>
    <t>North Seymour /  Santa Cruz (Dragon Hill)</t>
  </si>
  <si>
    <t>https://www.goldengalapagoscruises.com/elite-luxury-yacht/</t>
  </si>
  <si>
    <t>Grand Majestic</t>
  </si>
  <si>
    <t>https://www.royalgalapagos.com/product/grand-majestic/</t>
  </si>
  <si>
    <t>CATAMARAN</t>
  </si>
  <si>
    <t>Lunes - Lunes</t>
  </si>
  <si>
    <t>Isabela (Tagus Cove / Urbina Bay)</t>
  </si>
  <si>
    <t>Infinity</t>
  </si>
  <si>
    <t>Floreana</t>
  </si>
  <si>
    <t>Española</t>
  </si>
  <si>
    <t>Isabela (Urbina Bay / Tagus Cove)</t>
  </si>
  <si>
    <t>Sábado - Sábado</t>
  </si>
  <si>
    <t>South Plaza / Santa Fe</t>
  </si>
  <si>
    <t>Fernandina (Espinoza Point) / Isabela (Vicente Roca Point)</t>
  </si>
  <si>
    <t>Calipso</t>
  </si>
  <si>
    <t>Jueves - Jueves</t>
  </si>
  <si>
    <t>Passion</t>
  </si>
  <si>
    <t>5 Cabin Decks - 1 Master Suite</t>
  </si>
  <si>
    <t>Floreana (Black Beach / Asilo de la  Paz )</t>
  </si>
  <si>
    <t>Isabela (Tagus Cove) / Fernandina (Espinosa Point)</t>
  </si>
  <si>
    <t>Santiago (Egas Port / Espumilla Beach/ Buccaneer Cove)</t>
  </si>
  <si>
    <t>Santiago (Sullivan Bay) / North Seymour</t>
  </si>
  <si>
    <t>Mosquera Islet / Santa Cruz (Black Turttle Cove)</t>
  </si>
  <si>
    <t>Bartolome / Chinesse Hat</t>
  </si>
  <si>
    <t>Rabida / Santa Cruz (Dragon Hill)</t>
  </si>
  <si>
    <t>Santa Cruz (Highlands / Charles Darwin Station)</t>
  </si>
  <si>
    <t>South Plaza  / Santa Fe</t>
  </si>
  <si>
    <t>Santa Cruz (Twin Craters / Highlands Breeding Center</t>
  </si>
  <si>
    <t>https://www.passiongalapagoscruise.com/#/shome</t>
  </si>
  <si>
    <t>US$ 650</t>
  </si>
  <si>
    <t>http://www.galapagosstellamaris.com/en/</t>
  </si>
  <si>
    <t>Stella Maris</t>
  </si>
  <si>
    <t>3 Lower deck cabin , 2 main deck cabin, 1 upper deck suite</t>
  </si>
  <si>
    <t>San Cristobal ( Interpretation Center / Lobos island)</t>
  </si>
  <si>
    <t>San Cristobal (Pitt Point, Witch Hill, Kicker Rock)</t>
  </si>
  <si>
    <t>North Seymour / Bartolomé</t>
  </si>
  <si>
    <t>Santa Cruz (The Twins / El Chato / Highlands Breeding Center)</t>
  </si>
  <si>
    <t>Chinesse Hat / Rábida</t>
  </si>
  <si>
    <t>Santiago (Espumilla Beach/ Buccaneer Cove / Egas Port)</t>
  </si>
  <si>
    <t>Fernandina (Espinoza Point) / Isabela (Tagus Cove)</t>
  </si>
  <si>
    <t>Isabela (Elizabeth Bay / Moreno Point)</t>
  </si>
  <si>
    <t>Isabela (Tintoreras / Volcano Chico / Wall of Tears / Breeding Center)</t>
  </si>
  <si>
    <t>Santa Cruz (Highlands / Tortuga Bay)</t>
  </si>
  <si>
    <t>La Pinta</t>
  </si>
  <si>
    <t>https://www.lapintagalapagoscruise.com/</t>
  </si>
  <si>
    <t>North Seymour</t>
  </si>
  <si>
    <t>Isabela (Vicente Roca Point) / Fernandina (Espinoza Point)</t>
  </si>
  <si>
    <t>Santa Cruz (Charles Darwin Station / Highlands)</t>
  </si>
  <si>
    <t>San Cristobal (Pitt Point / Witch Hill)</t>
  </si>
  <si>
    <t>Santa Cruz II</t>
  </si>
  <si>
    <t>50 Cabins</t>
  </si>
  <si>
    <t>US$ 788 y US$ 823</t>
  </si>
  <si>
    <t>Santa Cruz (Bachas)</t>
  </si>
  <si>
    <t>Santiago (Buccaneer Cove / Egas Port)</t>
  </si>
  <si>
    <t>Rábida / Bartolomé</t>
  </si>
  <si>
    <t>Santa Cruz ( Giant Tortoise Reserve) / Mosquera Islet</t>
  </si>
  <si>
    <t>San Cristobal (Cerro Colorado Breeding Center / Punta Pitt)</t>
  </si>
  <si>
    <t>Santa Fe / South Plaza</t>
  </si>
  <si>
    <t>Eden Islet / North Seymour</t>
  </si>
  <si>
    <t>Santa Cruz (Dragon Hill)</t>
  </si>
  <si>
    <t>https://santacruzgalapagoscruise.com/</t>
  </si>
  <si>
    <t>Isabella II</t>
  </si>
  <si>
    <t>https://www.yachtisabela.com/</t>
  </si>
  <si>
    <t>Santa Cruz (Charles Darwin Station)</t>
  </si>
  <si>
    <t>Isabela (Vicente Roca Point / Fernandina (Espinoza Point)</t>
  </si>
  <si>
    <t>Camila</t>
  </si>
  <si>
    <t>US$ 852 y US$ 903</t>
  </si>
  <si>
    <t>4 main deck cabins, 4 upper deck cabins</t>
  </si>
  <si>
    <t>Santa Cruz (Bachas) / Bartolomé</t>
  </si>
  <si>
    <t>Rábida / Santiago (Egas Port)</t>
  </si>
  <si>
    <t>Mosquera Islet / Santa Cruz (Highlands)</t>
  </si>
  <si>
    <t>North Seymour / Santiago (Sullivan Bay)</t>
  </si>
  <si>
    <t>San Cristobal (Interpretation Center / Lobos Island / Kicker Rock)</t>
  </si>
  <si>
    <t>https://www.haugancruises.com/destinations/galapagos-islands</t>
  </si>
  <si>
    <t>Alya</t>
  </si>
  <si>
    <t>https://alyaonboard.com/#experiencesalya</t>
  </si>
  <si>
    <t>9 cabins</t>
  </si>
  <si>
    <t>Isabela (Moreno Point - Elizabeth Bay)</t>
  </si>
  <si>
    <t>Isabela (Urbina Bay) / Fernandina (Espinoza Point)</t>
  </si>
  <si>
    <t>Isabela ( Tagus Cove / Vicente Roca Point)</t>
  </si>
  <si>
    <t>Santiago (Espumilla Beach / Egas Port)</t>
  </si>
  <si>
    <t>Santa Cruz (Bachas / North Seymour</t>
  </si>
  <si>
    <t>San Cristobal (Interpretation Center / Lobos Island)</t>
  </si>
  <si>
    <t>Santa Cruz (Highlands / Black Turttle Cove)</t>
  </si>
  <si>
    <t>Santiago (Sullivan Bay) / Bartolomé</t>
  </si>
  <si>
    <t>Chinese Hat / Mosquera Islet</t>
  </si>
  <si>
    <t>Evolution</t>
  </si>
  <si>
    <t>16 Cabins</t>
  </si>
  <si>
    <t>Bartolomé - Santiago (Sullivan Bay)</t>
  </si>
  <si>
    <t>Santa Cruz (Bachas) / Rábida</t>
  </si>
  <si>
    <t>Santa Cruz ( Highlands / Charles Darwin Station)</t>
  </si>
  <si>
    <t>San Cristobal (interpretation Center / Witch Hill</t>
  </si>
  <si>
    <t>South Plaza / Punta Carrión Island / Mosquera Islet</t>
  </si>
  <si>
    <t>Chinese Hat / Santiago (Egas Port)</t>
  </si>
  <si>
    <t>North Seymour / Santa Fe</t>
  </si>
  <si>
    <t>Santa Cruz (Highlands / Charles Darin Station)</t>
  </si>
  <si>
    <t>Santa Cruz (Black Turttle Cove) / Daphne Island</t>
  </si>
  <si>
    <t>https://www.quasarex.com/galapagos/mv-evolution</t>
  </si>
  <si>
    <t>US$ 870</t>
  </si>
  <si>
    <t>Legend</t>
  </si>
  <si>
    <t>https://galapagoslegend.com/</t>
  </si>
  <si>
    <t>56 Cabins</t>
  </si>
  <si>
    <t>Eden Islet / Santa Cruz (Highlands)</t>
  </si>
  <si>
    <t>Santa Cruz (Dragon Hill) / Santa Fe</t>
  </si>
  <si>
    <t>Santa Cruz (Bachas / Mosquera Islet)</t>
  </si>
  <si>
    <t>Santiago (Egas Port) / Rábida</t>
  </si>
  <si>
    <t>Santa Cruz (Highlands) / Bartolomé</t>
  </si>
  <si>
    <t>South Plaza / North Seymour</t>
  </si>
  <si>
    <t>San Cristobal (Cerro Colorado Breeding Center / Interpretation Center)</t>
  </si>
  <si>
    <t>US$ 438</t>
  </si>
  <si>
    <t>Petrel</t>
  </si>
  <si>
    <t>https://www.celebritycruises.com/int/cruise-ships/celebrity-flora</t>
  </si>
  <si>
    <t>Flora</t>
  </si>
  <si>
    <t>47 Cabins</t>
  </si>
  <si>
    <t>Isabela (Elizabeth Bay / Tagus Cove)</t>
  </si>
  <si>
    <t>Santa Cruz (Bachas) / North Seymour</t>
  </si>
  <si>
    <t>San Cristobal (Interpretation Center / Pitt Point)</t>
  </si>
  <si>
    <t>San Cristobal (Pitt Point / Interpretation Center)</t>
  </si>
  <si>
    <t>Santa Cruz (Charles Darwin Station )</t>
  </si>
  <si>
    <t xml:space="preserve">Daphne </t>
  </si>
  <si>
    <t>US$ 1035</t>
  </si>
  <si>
    <t>Reina Silvia</t>
  </si>
  <si>
    <t>Grace</t>
  </si>
  <si>
    <t>Grand Daphne</t>
  </si>
  <si>
    <t>Eco Galaxy</t>
  </si>
  <si>
    <t>Ocean Spray</t>
  </si>
  <si>
    <t>Aggressor III</t>
  </si>
  <si>
    <t>Blue Spirit</t>
  </si>
  <si>
    <t>Humboldt Explorer</t>
  </si>
  <si>
    <t>Galapagos Master</t>
  </si>
  <si>
    <t>Galapagos Sky Diving</t>
  </si>
  <si>
    <t>Tiburón Explorer</t>
  </si>
  <si>
    <t>Origin</t>
  </si>
  <si>
    <t>Royal Galápagos</t>
  </si>
  <si>
    <t>2 Double cabin (2 Twin or convertible 1 King) + 4  Triple cabin (2 Twin or convertible 1 King)+ 1 bunk bed)</t>
  </si>
  <si>
    <t>Celebrity Cruises</t>
  </si>
  <si>
    <t>Sábado - Sábado Rutas Este &amp; Oeste</t>
  </si>
  <si>
    <t>Isabela - Oeste</t>
  </si>
  <si>
    <t>Isabela (Punta Moreno am / Elizabethe Bay pm) - Oeste</t>
  </si>
  <si>
    <t>Isabela (Urbina Bay am) / Fernandina (Punta Espinoza pm) - Oeste</t>
  </si>
  <si>
    <t>Isabela (Tagus Cove am / Vicente Roca Point pm) - Oeste</t>
  </si>
  <si>
    <t>Santiago (Espumilla Beach or Bucaneer Cove am / Puerto Egas pm) - Oeste</t>
  </si>
  <si>
    <t>Santa Cruz (Bachas am) / North Seymour pm - Oeste</t>
  </si>
  <si>
    <t>Transfer Baltra - Oeste / Santa Cruz (Breeding Center pm) - Este</t>
  </si>
  <si>
    <t>Española (Garner Bay / Gardner Islet / Osborn Islet am / Suarez Point pm) - Este</t>
  </si>
  <si>
    <t>San Cristobal (Lobos Island / Kicker Rock am / Pitt Point pm) - Este</t>
  </si>
  <si>
    <t>Santa Fe am / South Plazas pm - Este</t>
  </si>
  <si>
    <t>Genovesa (Darwin Bay am / El Barranco pm) - Este</t>
  </si>
  <si>
    <t>Santiago (Sullivan Bay am) / Bartholomew Island pm - Este</t>
  </si>
  <si>
    <t>Rabida Island am / Chinese Hat Islet pm</t>
  </si>
  <si>
    <t>Transfer to Baltra - Este /  Transfer to boat / Twin Craters pm - Oeste</t>
  </si>
  <si>
    <t>Floreana (Cormorant Point / Champion Islet am / Post Office Bay pm) - Oeste</t>
  </si>
  <si>
    <t>https://reinasilvia-cruise.com/</t>
  </si>
  <si>
    <t>US$ 7306,25 CHARTER</t>
  </si>
  <si>
    <t>Jaime Asencio</t>
  </si>
  <si>
    <t>Federico Angermeyer</t>
  </si>
  <si>
    <t>Andando Tours</t>
  </si>
  <si>
    <t xml:space="preserve">4 Double cabins (1 double lower berth + 1 single upper berth) +  2 Double cabins (2 lower berths) + 6 single cabins </t>
  </si>
  <si>
    <t>Bartholomew am / Chinese Hat islet pm - Este</t>
  </si>
  <si>
    <t>Rabida am / Santa Cruz (Drangon Hill pm) - Este</t>
  </si>
  <si>
    <t>Santa Cruz (Highlands am /  Fausto Llerena Breeding Center pm) - Este</t>
  </si>
  <si>
    <t>South Plaza am  / Santa Fe pm</t>
  </si>
  <si>
    <t>Española (Suarez Point am / Gardner Bay &amp; Osborn islet pm) - Este</t>
  </si>
  <si>
    <t>Genovesa (Darwin Bay am / Barranco pm) - Este</t>
  </si>
  <si>
    <t>Santa Cruz (Pitt Craters am) / Transfer to airport - Este /  Baltra arrival &amp; Transfer to boat am / Santa Cruz Highlands &amp; Fausto Llerena Breeding center pm - Oeste</t>
  </si>
  <si>
    <t>Floreana (Cormorant Point &amp; Devil´s Crown am / Post Office Bay pm) - Oeste</t>
  </si>
  <si>
    <t>Floreana (Black beach am / Asilo de la Paz pm) - Oeste</t>
  </si>
  <si>
    <t>Isabela (Moreno Point am / Urbina Bay pm) - Oeste</t>
  </si>
  <si>
    <t>Isabela (Tagus Cove am) / Fernandina (Espinoza Point pm) - Oeste</t>
  </si>
  <si>
    <t>Santiago (Egas Port am / Bucaneer Cove &amp; Espumilla Beach pm) - Oeste</t>
  </si>
  <si>
    <t>Santiago (Sullivan Bay am) / North Seymour pm - Oeste</t>
  </si>
  <si>
    <t>Mosquera islet am / Transfer to Baltra - Oeste / Baltra arrival &amp; Transfer to boat am  / Santa Cruz (Black Turtle Cove pm) - Este</t>
  </si>
  <si>
    <t>https://www.visitgalapagos.travel/sailing-cruises/mary-anne/</t>
  </si>
  <si>
    <t>US$ 525</t>
  </si>
  <si>
    <t>Quasar Expeditions</t>
  </si>
  <si>
    <t>1 Grace Kelly Suite + 2 Master Suites + 2 Twin Suites + 4 Staterooms</t>
  </si>
  <si>
    <t>Martes - Martes Rutas Este &amp; Oeste</t>
  </si>
  <si>
    <t>Floreana (Asilo de la Paz am / Punta Cormorant &amp; Corona del Diablo pm) - Este</t>
  </si>
  <si>
    <t>Española (Punta Suáez am / Gardner Bay &amp; Islote Gardner pm) - Este</t>
  </si>
  <si>
    <t>San Cristóbal (Punta Pitt am / Isla Lobos &amp; Kicker Rock pm) - Este</t>
  </si>
  <si>
    <t>Santa Fé am / Plazas Sur pm - Este</t>
  </si>
  <si>
    <t>Seymour Norte am / Bartolomé pm - Este</t>
  </si>
  <si>
    <t>Islote Sombrero Chino am / Santa Cruz (Cerro Dragón pm) - Este</t>
  </si>
  <si>
    <t>Santa Cruz (Caleta Tortuga Negra) / Transfer Baltra am - Este / Baltra transfer barco - Santa Cruz (Bachas pm) - Oeste</t>
  </si>
  <si>
    <t>Genovesa (Prince Phillip´s Setps am / Bahía Darwin pm) - Oeste</t>
  </si>
  <si>
    <t>Santiago (Bahía James am / Espumilla Beach &amp; Bucaneer Cove pm) - Oeste</t>
  </si>
  <si>
    <t>Isabela (Punta Vicente Roca am / Tagus Cove pm) - Oeste</t>
  </si>
  <si>
    <t>Fernandina (Espinosa Point am) / Isabela (Urbina Bay pm) - Oeste</t>
  </si>
  <si>
    <t>Isabela (Elizabeth Bay am / Punta Moreno pm) - Oeste</t>
  </si>
  <si>
    <t>Isabela (Tintoreras Islet / Cuevas de Sucre / Centro de Crianza Arnaldo Turpiza am ) /Santa Cruz navegación pm</t>
  </si>
  <si>
    <t>Santa Cruz (Gemelos am) / Transfer Baltra aeropuerto - Oeste / Baltra transfer barco am / Santa Cruz (Highlands &amp; ECCD pm) - Este</t>
  </si>
  <si>
    <t>https://www.quasarex.com/galapagos/my-grace</t>
  </si>
  <si>
    <t>US$ 900 STATEROOM</t>
  </si>
  <si>
    <t>Carlos Malo</t>
  </si>
  <si>
    <t>Daphne Cruises</t>
  </si>
  <si>
    <t>GTC</t>
  </si>
  <si>
    <t>4 Standard Cabins (2 twin or 1 king bed) + 1 Standard Cabin (1 queen bed) + 2 Superior Cabins (2 twin or 1 king bed) + 1 Suite (1 king size bed)</t>
  </si>
  <si>
    <t>Miércoles - Miércoles Rutas Este &amp; Oeste +  Sábado - Miércoles  (Este) + Miércoles - Sábado (Este)</t>
  </si>
  <si>
    <t>Floreana (Post Office Bay am / Punta Cormorant &amp; Corona del Diablo pm) - Este</t>
  </si>
  <si>
    <t>Española (Suarez Point am / Gardner Bay pm) - Este</t>
  </si>
  <si>
    <t>San Cristóbal (Kicker Rock am / Centro de Interpretación Gianny Arismendi pm) - Este</t>
  </si>
  <si>
    <t>Santa Fe am / Plazas Sur pm - Este</t>
  </si>
  <si>
    <t>Genovesa (Prince Phillip´s Steps am / Darwin Bay pm) -Este</t>
  </si>
  <si>
    <t>Santiago (Sullivan Bay am) / Rábida pm - Este</t>
  </si>
  <si>
    <t>Santa Cruz (Caleta Tortuga Negra am) / Transfer aeropueto - Este / Transfer barco am / Santa Cruz (Bachas pm) - Oeste</t>
  </si>
  <si>
    <t>Seymour Norte am / Bartolomé pm - Oeste</t>
  </si>
  <si>
    <t>Santiago (Puerto Egas am / Espumilla Beach &amp; Bucaneer Cove pm) - Oeste</t>
  </si>
  <si>
    <t>Isabela (Tagus Cove am) / Fernandina (Punta Espinoza pm) - Oeste</t>
  </si>
  <si>
    <t>Isabela (Punta Moreno am / Elizabeth Bay pm) - Oeste</t>
  </si>
  <si>
    <t>Isabela (Tintoreras islet am / Humedales pm) - Oeste</t>
  </si>
  <si>
    <t>Santa Cruz (Cerro Dragón am / Punta Carrión pm) - Oeste</t>
  </si>
  <si>
    <t>Santa Cruz (Highlands am) / Transfer aeropuerto - Oeste / Baltra transfer barco am / Santa Cruz (Parte alta pm) - Este</t>
  </si>
  <si>
    <t>https://granddaphnegalapagos.com/</t>
  </si>
  <si>
    <t>US$ 616,25 STANDARD CABIN</t>
  </si>
  <si>
    <t>Alexis Gordillo Granda</t>
  </si>
  <si>
    <t>Galagents</t>
  </si>
  <si>
    <t>Martes - Sábado (A) + Sábado - Jueves (B) + Jueves - Martes (C )</t>
  </si>
  <si>
    <t>Santa Fe AM / Plazas Sur PM (A)</t>
  </si>
  <si>
    <t>Seymour Norte AM / Islote Mosquera PM (A)</t>
  </si>
  <si>
    <t>Genovesa Darwin Bay AM / Barranco PM (A)</t>
  </si>
  <si>
    <t>Santa Cruz Highlands AM / Transfer Baltra (A)  -  Baltra transfer barco / Estación Charles Darwin PM (B)</t>
  </si>
  <si>
    <t>Isabela Punta Moreno AM / Elizabeht Bay PM (B)</t>
  </si>
  <si>
    <t>Isabela Urbina Bay AM / Tagus Cove PM (B)</t>
  </si>
  <si>
    <t>Fernandina Punta Espinosa AM / Isabela Punta Vicente Roca PM (B)</t>
  </si>
  <si>
    <t>Santiago Puerto Egas AM / Rábida  PM (B)</t>
  </si>
  <si>
    <t>Santa Cruz Black Turtle Cove AM / Transfer aeropuerto (B) - Baltra traslado barco / Santa Cruz Bachas Beach PM (C )</t>
  </si>
  <si>
    <t>Santiago Sullivan Bay AM / Bartolomé PM (C )</t>
  </si>
  <si>
    <t>Santa Cruz Highlands AM / Estación Charles Darwin PM (C )</t>
  </si>
  <si>
    <t>Floreana Cormorant Point + Devil's Crown AM / Post Office Bay PM (C )</t>
  </si>
  <si>
    <t>Española Punta Suárez AM / Española Gardner Bay + Gardner Islet + Osborn Islet PM (C )</t>
  </si>
  <si>
    <t>San Cristóbal Centro de Interpretación / Traslado aeropuerto AM (C ) - San Cristóbal Transfer barco / Isla Lobos PM (A)</t>
  </si>
  <si>
    <t>https://www.galagents.com/ecogalaxy-catamaran/</t>
  </si>
  <si>
    <t>US$ 545</t>
  </si>
  <si>
    <t>Eduardo Johjones Puente</t>
  </si>
  <si>
    <t>Eduardo Diez Cordovez</t>
  </si>
  <si>
    <t>Iguana Tours Cruceros Marítimos S.A.</t>
  </si>
  <si>
    <t>8 Standard Cabins (2 Twin or 1 King) + Additional sofa bed at no extra cost</t>
  </si>
  <si>
    <t>https://galapagospetrel.com/</t>
  </si>
  <si>
    <t>Galapagos Renaissance</t>
  </si>
  <si>
    <t>Rita Freire Vinueza</t>
  </si>
  <si>
    <t>Octavio Chauca Ballesteros</t>
  </si>
  <si>
    <t>Galapagos Golden Cruises</t>
  </si>
  <si>
    <t>8 Suites (2 twin or 1 king) Interconected suites available</t>
  </si>
  <si>
    <t>Sábado - Sábado (A &amp; B) +  Martes - Sábado + Sábado - Martes +  Jueves - Martes (A&amp;B)</t>
  </si>
  <si>
    <t>Genovesa Darwin Bay AM / El Barranco PM (8dB &amp; 5d)</t>
  </si>
  <si>
    <t>Santiago Espumilla Beach &amp; Bucaneer Cove AM / Puerto Egas PM (8dB &amp; 5d)</t>
  </si>
  <si>
    <t>Seymour Norte AM / Santa Cruz Highlands PM (8dB &amp; 5d)</t>
  </si>
  <si>
    <t>Española Suarez Point AM / Gardner Bay &amp; Osborn Islet PM (8dA &amp; 6dB)</t>
  </si>
  <si>
    <t>San Cristóbal Centro de Interpretación / Transfer to airport AM (8dA) - San Cristóbal transfer to boat / Isla Lobos &amp; Kicker Rock PM (8dB &amp; 4d) (6dB itinerario completo)</t>
  </si>
  <si>
    <t>San Cristobal Pitt Point AM / Witch Hill PM (8dB &amp; 4d &amp; 6dB)</t>
  </si>
  <si>
    <t>Floreana Post Office Bay AM / Cormorant Point &amp; Devil's Crown PM (8dB &amp; 4d &amp; 6dB)</t>
  </si>
  <si>
    <t>Santa Cruz Black Turtle Cove AM / Bartolomé PM (8dB) (5d IN solo Bartolomé) (4d &amp; 6dB OUT solo Black Turtle Cove)</t>
  </si>
  <si>
    <t>Baltra transfer to boat / Chinese Hat PM (8dA &amp; 6dA) - Mosquera Islet / Transfer to airport AM (8dB &amp; 5d)</t>
  </si>
  <si>
    <t>Isabela Vicente Roca Point AM / Fernandina Espinoza Point PM (8dA &amp; 6dA)</t>
  </si>
  <si>
    <t>Isabela Tagus Cove AM / Urbina Bay PM (8dA &amp; 6dA)</t>
  </si>
  <si>
    <t>Isabela Elizabeth Bay  AM / Moreno Point PM (8dA &amp; 6dA)</t>
  </si>
  <si>
    <t>Santa Cruz Charles Darwin Station AM / Highlands PM (8dA &amp; 6dA)</t>
  </si>
  <si>
    <t>South Plaza AM  / Santa Fe PM (8dA) (6dB IN solo Santa Fe) (6dA OUT solo South Plaza)</t>
  </si>
  <si>
    <t>US$ 920</t>
  </si>
  <si>
    <t>https://www.goldengalapagoscruises.com/ocean-spray-luxury-yacht/</t>
  </si>
  <si>
    <t>Galascuba</t>
  </si>
  <si>
    <t>Agressor Adventures</t>
  </si>
  <si>
    <t>4 Master Stateroom (3 with 2 twin or queen combinable + 1 with 2 twins combinable) + 4 Deluxe  (2 twin combinable)</t>
  </si>
  <si>
    <t>Darwin AM / PM</t>
  </si>
  <si>
    <t xml:space="preserve">US$ 850 </t>
  </si>
  <si>
    <t>Baltra transfer to airport</t>
  </si>
  <si>
    <t>Santiago Cousins Rocks AM / Santa Cruz visita tierra PM</t>
  </si>
  <si>
    <t>Fernandina Cabo Douglas AM / Isabela Punta Vicente Roca PM</t>
  </si>
  <si>
    <t xml:space="preserve">Isabela Cabo Marshal AM / PM </t>
  </si>
  <si>
    <t>Wolf AM / PM</t>
  </si>
  <si>
    <t>Santa Cruz Punta Carrión &amp; Bartolomé Punta AM / Bartolomé land visit PM</t>
  </si>
  <si>
    <t xml:space="preserve">Baltra Transfer to boat / Santa Cruz Punta Carrión &amp; Canal de Itabaca PM </t>
  </si>
  <si>
    <t>https://www.aggressor.com/destination/Galapagos</t>
  </si>
  <si>
    <t>Carlos Zapata Erazo</t>
  </si>
  <si>
    <t>Calipso Galapagos Expedition Diving</t>
  </si>
  <si>
    <t>6 Double Cabins on the Upper Deck + 2 Double Cabins on the Main Deck (2 twins or 1 King)</t>
  </si>
  <si>
    <t>San Cristobal Transfer to boat / Check dive Isla Lobos</t>
  </si>
  <si>
    <t>Santa Cruz Punta Carrión AM / Seymour PM</t>
  </si>
  <si>
    <t>Darwin AM / Wolf PM</t>
  </si>
  <si>
    <t>Isabela Cabo Marshall (Ene-Jun)  AMPM / Fernandina Cabo Douglas &amp; Isabela Punta Vicente Roca (Jul-Dic) AMPM</t>
  </si>
  <si>
    <t>Santa Cruz Breeding Center / Transfer to airport</t>
  </si>
  <si>
    <t>https://calipsodive.com/</t>
  </si>
  <si>
    <t>US$ 712 + US$ 150 nitrox</t>
  </si>
  <si>
    <t>Antonio Saman Cerasuolo</t>
  </si>
  <si>
    <t>Cruz del Sur Crusur Cia. Ltda.</t>
  </si>
  <si>
    <t>Marie Anne</t>
  </si>
  <si>
    <t>Jaime Ortiz Cobos</t>
  </si>
  <si>
    <t>REPREGAL</t>
  </si>
  <si>
    <t>Blue Spirit Galapatours</t>
  </si>
  <si>
    <t>Charles Wittmer García</t>
  </si>
  <si>
    <t>10 Matrimonial Cabins</t>
  </si>
  <si>
    <t xml:space="preserve">Miércoles - Miércoles (A) +  Miércoles - Domingo (B) + Domingo - Jueves (C ) </t>
  </si>
  <si>
    <t>Plácido Ortega Ortega</t>
  </si>
  <si>
    <t>Islas Galápagos Turismo y Vapores Cia. Ltda.</t>
  </si>
  <si>
    <t>Baltra Transfer to boat /  Santa Cruz Highlands PM (A) (B solo highlands)</t>
  </si>
  <si>
    <t>Santiago Sullivan Bay AM / Rábida PM (A &amp; B)</t>
  </si>
  <si>
    <t>Isabela Punta Vicente Roca AM / Fernandina Punta Espinosa PM (A &amp; B)</t>
  </si>
  <si>
    <t>Isabela Tintoreras AM / Wetlands PM (A &amp; B)</t>
  </si>
  <si>
    <t>Mosquera AM / North Seymour PM (A) (B OUT solo Mosquera) (C IN solo North Seymour)</t>
  </si>
  <si>
    <t>Floreana Post Office Bay AM / Punta Cormorant PM (A &amp; C)</t>
  </si>
  <si>
    <t>South Plaza AM  / Santa Fe PM (A &amp; C)</t>
  </si>
  <si>
    <t>Santa Cruz Bachas Beach / Transfer to airport AM (A) (C solo Bachan &amp; overnight en Hotel)</t>
  </si>
  <si>
    <t>Santa Cruz Charles Darwin Station / Transfer to airport AM (C )</t>
  </si>
  <si>
    <t>https://bluespirit.world/</t>
  </si>
  <si>
    <t>US$ 929</t>
  </si>
  <si>
    <t>Jorge Araujo</t>
  </si>
  <si>
    <t>Humboldt Explorer Galapagos Diving Cruises</t>
  </si>
  <si>
    <t>8 Double cabins most of them can be arranged to provide 2 twin beds or 1 large bed</t>
  </si>
  <si>
    <t>San Cristóbal Transfer to boat / Isla Lobos PM</t>
  </si>
  <si>
    <t>Santa Cruz Punta Carrión AM / North Seymour land visit PM</t>
  </si>
  <si>
    <t>Wolf island</t>
  </si>
  <si>
    <t>Wolf island AM / Darwin island PM</t>
  </si>
  <si>
    <t xml:space="preserve">Darwin island </t>
  </si>
  <si>
    <t>San Cristóbal Transfer to airport</t>
  </si>
  <si>
    <t>https://www.humboldtexplorer.com/</t>
  </si>
  <si>
    <t>US$ 750 shared + 80% SSP</t>
  </si>
  <si>
    <t>Luis Alcides Gordillo Mora</t>
  </si>
  <si>
    <t>Galapagos Travel Center GTC</t>
  </si>
  <si>
    <t>Most twin cabins can be arranged to provide one king bed</t>
  </si>
  <si>
    <t>Darwin island</t>
  </si>
  <si>
    <t>Isabela Vicente Roca Point AM / Fernandina Cape Douglas PM</t>
  </si>
  <si>
    <t>Santiago Cousin's Rock AM / Santa Cruz Highlands PM</t>
  </si>
  <si>
    <t>Santiago Roca Cousin AM / Santa Cruz visita tierra PM</t>
  </si>
  <si>
    <t>Santiago Cousin's Rock AM / Santa Cruz Twin Craters &amp; Fausto Llerena PM</t>
  </si>
  <si>
    <t>San Cristóbal Interpretation Center / Transfer to airport</t>
  </si>
  <si>
    <t>https://www.galapagosislands.com/cruises/yacht/galapagos-master</t>
  </si>
  <si>
    <t>US$ 781</t>
  </si>
  <si>
    <t>Federico Angermeyer Kubler</t>
  </si>
  <si>
    <t>Angermeyer Cruises</t>
  </si>
  <si>
    <t>Stellamaris Cia. Ltda</t>
  </si>
  <si>
    <t>Stellamaris Cia. Ltda.</t>
  </si>
  <si>
    <t>Filibon S.A.</t>
  </si>
  <si>
    <t>Ecoventura</t>
  </si>
  <si>
    <t>4 Master Stateroom (2 twins or 1 king size bed) + 4 Deluxe Stateroom (2 twins or 1 king size bed)</t>
  </si>
  <si>
    <t>Bartolomé land visit &amp; dive AM / Santiago Cousin's Rock PM</t>
  </si>
  <si>
    <t>Darwin island AM / Wolf island PM</t>
  </si>
  <si>
    <t>Fernandina Cabo Douglas AM / Isabela Vicente Roca Point PM</t>
  </si>
  <si>
    <t>Pinzón &amp; Islote Dumb AM / Santa Cruz Highlands PM</t>
  </si>
  <si>
    <t>San Cristóbal Centro de Interpretacion / Transfer to airport</t>
  </si>
  <si>
    <t>https://www.galapagossky.com/galapagos/</t>
  </si>
  <si>
    <t>US$ 950 MASTER CABIN / US$ 912 DELUXE CABIN</t>
  </si>
  <si>
    <t>Interlago Cia. Ltda.</t>
  </si>
  <si>
    <t>ETICA</t>
  </si>
  <si>
    <t>Metropolitan Touring</t>
  </si>
  <si>
    <t>Etica Empresa Turística Internacional C.A.</t>
  </si>
  <si>
    <t>Angel Abelardo Revelo Chávez</t>
  </si>
  <si>
    <t>Haugan Cruises</t>
  </si>
  <si>
    <t>Galpacifico</t>
  </si>
  <si>
    <t>Galpacifico Turs S.A.</t>
  </si>
  <si>
    <t>Galápagos Corporación Turística</t>
  </si>
  <si>
    <t>Go Galápagos</t>
  </si>
  <si>
    <t>Klein Tours</t>
  </si>
  <si>
    <t>Each stateroom has twin beds that can be converted to comfortable queen beds for couples</t>
  </si>
  <si>
    <t>Saturday - Saturday</t>
  </si>
  <si>
    <t>Baltra Transfer to boat / Santa Cruz Punta Carrión PM</t>
  </si>
  <si>
    <t>Baltra north AM / Seymour land visit PM</t>
  </si>
  <si>
    <t>Santiago Cousin's Rock AM / Santa Cruz Highlands PM (dinner on own)</t>
  </si>
  <si>
    <t>https://www.humboldtexplorer.com/tiburon-explorer</t>
  </si>
  <si>
    <t>US$ 862</t>
  </si>
  <si>
    <t>Alex Santiago Dunn Suárez</t>
  </si>
  <si>
    <t>Sunday - Sunday (A) + Sunday - Sunday (B)</t>
  </si>
  <si>
    <t>San Cristóbal Punta Pitt AM / Cerro Brujo PM (A)</t>
  </si>
  <si>
    <t>Española Punta Suárez &amp; Orborn islet AM / Gardner bay  &amp; Gardner islet PM (A)</t>
  </si>
  <si>
    <t>Santa Cruz Highlands AM / Centro de Crianza ECCD PM (A)</t>
  </si>
  <si>
    <t>Floreana Punta Cormorant &amp; Devil's Crown AM / Post Office Bay &amp; La Baronesa Point PM (A)</t>
  </si>
  <si>
    <t>Sombrero Chino &amp; Santa Cruz Bachas Beach or Black Turtle Cove AM / Bartolomé PM (A)</t>
  </si>
  <si>
    <t>South Plazas AM / North Seymour PM (A)</t>
  </si>
  <si>
    <t xml:space="preserve">San Cristóbal Centro de Interpretacion / Transfer to airport (A &amp; B) </t>
  </si>
  <si>
    <t>Genovesa Prince Phillip's Steps AM / Darwin Bay PM (B)</t>
  </si>
  <si>
    <t>Santa Cruz Bachas Beach or Black Turtle Cove AM / Cerro Dragón PM (B)</t>
  </si>
  <si>
    <t>Isabela Punta Vicente Roca o Elizabeth Bay AM / Urbina Bay PM (B)</t>
  </si>
  <si>
    <t>Fernandina Punta Espinosa AM / Isabela Tagus Cove PM (B)</t>
  </si>
  <si>
    <t>Rabida AM / Santiago Puerto Egas or Santa Cruz Black Turtle Cove PM (B)</t>
  </si>
  <si>
    <t>Santa Cruz Breeding Center  ECCD AM / Highlands PM (B)</t>
  </si>
  <si>
    <t>San Cristóbal Transfer to boat / Leon Dormido PM (A) - Centro de Interpretación / Transfer to airport (B)</t>
  </si>
  <si>
    <t>https://www.ecoventura.com/our-fleet/</t>
  </si>
  <si>
    <t>US$ 1,056 based on double occupancy</t>
  </si>
  <si>
    <t>Standard Cabin 4D3N</t>
  </si>
  <si>
    <t>Charter 4D3N</t>
  </si>
  <si>
    <t>Suite 4D3N</t>
  </si>
  <si>
    <t>Standard Cabin 5D4N</t>
  </si>
  <si>
    <t>Suite 5D4N</t>
  </si>
  <si>
    <t>Charter 5D4N</t>
  </si>
  <si>
    <t>Standard Cabin 8D7N</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</si>
  <si>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</si>
  <si>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Standard Cabin 6D5N A &amp; B</t>
  </si>
  <si>
    <t>Suite 6D5N A &amp; B</t>
  </si>
  <si>
    <t>Charter 6D5N A &amp; B</t>
  </si>
  <si>
    <t>VIP Lounge airport access at Galapagos, Migration Control Card (TCT) and Galapagos National Park fee includes only if tickets are issued by Galapagos Renaissance</t>
  </si>
  <si>
    <t>Standard Cabin 8D7N A &amp; B</t>
  </si>
  <si>
    <t>Suite 8D7N A &amp; B</t>
  </si>
  <si>
    <t>Charter 8D7N A &amp; B</t>
  </si>
  <si>
    <t xml:space="preserve">Santa Cruz Centro de Crianza Fausto Llerena AM / Parte Alta PM (8D B) </t>
  </si>
  <si>
    <t>Santiago Sullivan Bay AM / Bartolomé PM (8DB)</t>
  </si>
  <si>
    <t>Genovesa Darwin Bay AM / Prince Phillip's Steps PM (8D B)</t>
  </si>
  <si>
    <t>Santiago Egas Port AM / Espumilla Beach &amp; Bucaneer Cove PM (8D B)</t>
  </si>
  <si>
    <t>Baltra transfer to boat AM / North Seymour PM (8D A) 
Santa Cruz Punta Carrion &amp; Transfer to airport AM (8D B)</t>
  </si>
  <si>
    <t>Isabela Vicente Roca Point AM / Fernandina Punta Espinosa PM (8D A)</t>
  </si>
  <si>
    <t>Isabela Tagus Cove AM / Urbina Bay PM (8D A)</t>
  </si>
  <si>
    <t>Isabela Elizabeth Bay AM / Punta Moreno PM (8D A)</t>
  </si>
  <si>
    <t>Isabela Sierra Negra AM /  Humedales + Centro de Crianza Arnaldo Tupiza PM (8D A)</t>
  </si>
  <si>
    <t>Santa Cruz Centro de Crianza Fausto Llerena AM / Gemelos PM (8D A)</t>
  </si>
  <si>
    <t>Plazas Sur AM / Santa Fe PM (8D A)</t>
  </si>
  <si>
    <t>San Cristóbal Isla Lobos / Transfer to airport AM (8D A OUT) 
San Cristóbal transfer to boat AM / Centro de Interpretación &amp; Galapaguera PM (8D B IN)</t>
  </si>
  <si>
    <t>Española Gardner Bay &amp; Osborn Islet AM / Suarez Point PM (8D B)</t>
  </si>
  <si>
    <t>Floreana Cormorant Point + Devil's Crown AM / Post Office Bay PM (8D B)</t>
  </si>
  <si>
    <t>Viernes - Viernes ( 8D A &amp; B)</t>
  </si>
  <si>
    <t>Suite 4D A</t>
  </si>
  <si>
    <t>Standard 4D A</t>
  </si>
  <si>
    <t>Charter 4D A</t>
  </si>
  <si>
    <t>Suite 5D A</t>
  </si>
  <si>
    <t>Standard 5D A</t>
  </si>
  <si>
    <t>Charter 5D A</t>
  </si>
  <si>
    <t>Cormorant I</t>
  </si>
  <si>
    <t>Main Deck: 2 Suites 409 ft² / 38 m². 2 Double Staterooms 258 ft² / 24 m²
Upper Deck: 4 Connected Cabins 258 ft² / 24 m²</t>
  </si>
  <si>
    <t>Suite 8D A &amp; B</t>
  </si>
  <si>
    <t>Standard 8D A &amp; B</t>
  </si>
  <si>
    <t>Charter 8D A &amp; B</t>
  </si>
  <si>
    <t>https://www.royalgalapagos.com/product/cormorant/</t>
  </si>
  <si>
    <t>All meals and excursions
Transfers in the islands
Bilingual National Park guide
Use of underwater camera</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</si>
  <si>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</si>
  <si>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Sábado - Sábado 8D/N A &amp; B</t>
  </si>
  <si>
    <t>South Plaza  AM / Santa Fe PM (8D7N A)</t>
  </si>
  <si>
    <t>San Cristobal Pitt Point AM / Witch Hill PM  (8D7N A)</t>
  </si>
  <si>
    <t>San Cristobal Breeding Center AM / Lobos Island / Kicker Rock PM (8D7N A)</t>
  </si>
  <si>
    <t>Española Punta Suáez AM / Gardner Bay &amp; Islote Gardner PM (8D7N A)</t>
  </si>
  <si>
    <t>Floreana Post Office Bay / Baroness Viewpoint AM + Cormorant Point / Champion islet PM (8D7N A)</t>
  </si>
  <si>
    <t>Santa Cruz  Twin Craters / Transfer to airport AM (8D7N A OUT)
Baltra Transfer to boat / Santa Cruz Highlands / Tortoise Breeding Center PM (8D7N B IN)</t>
  </si>
  <si>
    <t>Isabela Tintoreras + Sierra Negra AM / Wetlands + Breeding Center PM (8D7N B)</t>
  </si>
  <si>
    <t>Isabela Moreno Point AM / Elizabeth Bay PM (8D7N B)</t>
  </si>
  <si>
    <t>Fernandina Espinoza Point AM / Isabela Vicente Roca Point PM (8D7N B)</t>
  </si>
  <si>
    <t>Santiago Egas Port AM / Espumilla Beach +  Buccaneer Cove PM (8D7N B)</t>
  </si>
  <si>
    <t>Bartholomew island AM / Santiago Sullivan Bay PM (8D7N B)</t>
  </si>
  <si>
    <t>Santiago Chinese Hat AM / Santa Cruz Dragon Hill PM (8D7N B)</t>
  </si>
  <si>
    <t>Baltra Transfer to boat / Santa Cruz Bachas Beach PM (8D7N A IN)
North Seymour island / Transfer to airport AM (8D7N B OUT)</t>
  </si>
  <si>
    <t>Genovesa El Barranco AM / Darwin Bay PM (8D7N A)</t>
  </si>
  <si>
    <t>Lower Deck: 6 Staterooms
Cabins 1 &amp; 2: 170 ft² / 15.75 m²
Cabin 3: 181 ft² / 16.85 m²
Cabin 4: 176 ft² / 16.30 m²
Cabin 5: 148 ft² / 13.75 m²
Cabin 6: 145 ft² / 13.50 m²
Main Deck: 1 Stateroom,1 Master Suite with his and her bathrooms
Cabin 7: 132 ft² / 12.25 m²
Master Suite: 420 ft² / 39 m²</t>
  </si>
  <si>
    <r>
      <t>Charter Regular Season 4D3N</t>
    </r>
    <r>
      <rPr>
        <sz val="12"/>
        <color theme="1"/>
        <rFont val="Calibri (Cuerpo)"/>
      </rPr>
      <t xml:space="preserve"> A</t>
    </r>
  </si>
  <si>
    <t>Charter High Season 4D3N A</t>
  </si>
  <si>
    <t>Charter Regular Season 5D4N A</t>
  </si>
  <si>
    <t>Charter High Season 5D4N A</t>
  </si>
  <si>
    <t>Charter High Season 8D7N A &amp; B</t>
  </si>
  <si>
    <t>Charter Regular Season 8D7N A &amp; B</t>
  </si>
  <si>
    <t>Charter Christmas &amp; New Year 8D7N A&amp;B</t>
  </si>
  <si>
    <t>Master Suite 4D3N A</t>
  </si>
  <si>
    <t>State Room 4D3N A</t>
  </si>
  <si>
    <t>Master Suite 5D4N A</t>
  </si>
  <si>
    <t>State Room 5D4N A</t>
  </si>
  <si>
    <t>Master Suite 8D7N A &amp; B</t>
  </si>
  <si>
    <t>State Room 8D7N A &amp; B</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</si>
  <si>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</si>
  <si>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Floreana Post office Bay + Baroness Viewing Point AM / Cormorant Point  + Devil´s Crown PM  (8D A)</t>
  </si>
  <si>
    <t>Española Suarez Point + Garner Bay + Osborn Islet, Gardner Bay PM (8D A)</t>
  </si>
  <si>
    <t>Santa Cruz Twin Craters AM / Fausto Llerena Breeding Center PM (8D A)</t>
  </si>
  <si>
    <t>Genovesa  El Barranco AM / Darwin Bay PM (8D A)</t>
  </si>
  <si>
    <t>Rabida island AM / Chiness Hat PM (8D A)</t>
  </si>
  <si>
    <t>San Cristobal Witch Hill AM / Lobos island PM (8D A)</t>
  </si>
  <si>
    <t xml:space="preserve">San Cristobal Gianni Arismendi Interpretation Center / Transfer to airport AM (8D A OUT)
San Cristóbal  Transfer to boat / David Rodriguez Breeding Center PM (8D B IN) </t>
  </si>
  <si>
    <t>North Seymour  AM / Santa Cruz Black Turtle Cove PM (8D B)</t>
  </si>
  <si>
    <t>Bartolomé  AM / Santiago Egas Port PM (8D B)</t>
  </si>
  <si>
    <t>Isabela Tagus Cove AM  / Urbina Bay PM (8D B)</t>
  </si>
  <si>
    <t>Fernandina Espinoza Point  AM / isabela Vicente Roca Point PM (8D B)</t>
  </si>
  <si>
    <t>Santiago Buccaneer Cove + Espumilla beach AM  / Sullivan bay PM (8D B)</t>
  </si>
  <si>
    <t>Santa Cruz Bachas Beach AM / Tortoise Breeding Center PM (8D B)</t>
  </si>
  <si>
    <t>San Cristóbal Kicker Rock AM / Transfer to airport (8D B OUT)
San Cristobal Transfer to boat AM / El Junco Lagoon PM (8D A IN)</t>
  </si>
  <si>
    <t xml:space="preserve">Lunes - Lunes 8D7N  A &amp; B </t>
  </si>
  <si>
    <t>Main Deck: 6 double cabins (237ft² / 22m², 226ft² / 21m² and 270ft² / 25m²)
Upper Deck: 2 double cabins (247.5ft² / 23m²), 2 double Suites (360.6ft² / 33.5m² and 376.7ft² / 35m²).
All cabins with private balconies, hot water and air-conditioning</t>
  </si>
  <si>
    <t>Standard Cabin 4D3N A</t>
  </si>
  <si>
    <t>Suite 4D3N A</t>
  </si>
  <si>
    <t>Charter 4D3N A</t>
  </si>
  <si>
    <t>Standard Cabin 5D4N  A</t>
  </si>
  <si>
    <t>Suite  5D4N A</t>
  </si>
  <si>
    <t>Charter 5D4N  A</t>
  </si>
  <si>
    <t>Standard Cabin 8D7N  A &amp; B</t>
  </si>
  <si>
    <t>Suite  8D7N  A &amp; B</t>
  </si>
  <si>
    <t>Charter 8D7N  A &amp; B</t>
  </si>
  <si>
    <t>All meals and excursions
Transfers in the islands
Bilingual National Park guide</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</si>
  <si>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</si>
  <si>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https://infinity-galapagos.com/</t>
  </si>
  <si>
    <t>Martes - Martes 8D7N  A &amp; B</t>
  </si>
  <si>
    <t>Genovesa Barranco AM  / Darwin Bay PM (8D A)</t>
  </si>
  <si>
    <t>Santiago Sullivan Bay AM / Rábida PM  (8D A)</t>
  </si>
  <si>
    <t>Santa Cruz  Breeding Center AM / Highlands PM (8D A)</t>
  </si>
  <si>
    <t>Santa Cruz  Dragon Hill  AM / Bachas Beach PM (8D A)</t>
  </si>
  <si>
    <t>Floreana Post Office Bay AM / Cormorant Point + Devil's Crown PM (8D A)</t>
  </si>
  <si>
    <t>Española Suárez Point AM / Gardner Bay PM (8D A)</t>
  </si>
  <si>
    <t>San Cristobal  Gianni Arismendi Interpretation Center  AM / Transfer to airport (8D A OUT)
San Cristóbal Transfer to boat / Breeding Center or Puerto Chino PM (8D B IN)</t>
  </si>
  <si>
    <t>Santa Fe AM / South plaza PM (8D B)</t>
  </si>
  <si>
    <t>Santa Cruz Fausto Lleran Breeding Center  AM / Twin Craters  PM (8D B)</t>
  </si>
  <si>
    <t>Isabela Moreno Point AM /  Elizabeth Bay PM (8D B)</t>
  </si>
  <si>
    <t>Isabela Urbina Bay AM  / Tagus Cove PM (8D B)</t>
  </si>
  <si>
    <t>Fernandina Espinoza Point AM  / Isabela Viente Roca Point PM (8D B)</t>
  </si>
  <si>
    <t>Santiago Egas Port AM  / Bartolomé PM (8D B)</t>
  </si>
  <si>
    <t>Baltra Transfer to boat / Santa Cruz Black Turtle Cove PM (8D A IN)
North Seymour AM / Transfer to airport (8D B OUT)</t>
  </si>
  <si>
    <t>20 Luxury Cabins (Twin/Doubles) + 4 Luxury Plus Cabins (Triples)</t>
  </si>
  <si>
    <t>Luxury or Luxury Plus Cabins  5D4N E &amp; N</t>
  </si>
  <si>
    <t>Luxury or Luxury Plus Cabins  7D6N  W</t>
  </si>
  <si>
    <t>Viernes - Jueves 7D6N W</t>
  </si>
  <si>
    <t>Baltra Transfer to boat / North Seymour PM (7D IN)</t>
  </si>
  <si>
    <t>Isabela Vicente Roca Point AM  / Fernandina Espinoza Point PM</t>
  </si>
  <si>
    <t>Isabela Urbina Bay AM / Tagus Cove PM</t>
  </si>
  <si>
    <t>Rabida Red Beach AM / Santa Cruz Dragon Hill PM</t>
  </si>
  <si>
    <t>Santa Cruz Charles Darwin Research StationAM  / Highlands PM</t>
  </si>
  <si>
    <t>Floreana Post Office Bay AM / Punta Cormorant + Champion islet PM</t>
  </si>
  <si>
    <t>Baltra Transfer to airport (7D W OUT)</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</si>
  <si>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</si>
  <si>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Owner's Cabin 5D4N N &amp; W</t>
  </si>
  <si>
    <t>Standard Cabin 5D4N  N &amp; W</t>
  </si>
  <si>
    <t>Owner's Cabin 7D6N  SE</t>
  </si>
  <si>
    <t>Standard Cabin 7D6N  SE</t>
  </si>
  <si>
    <t>Classic Cabin  5D4N  N &amp; W</t>
  </si>
  <si>
    <t>Classic Family Cabin  5D4N  N &amp; W</t>
  </si>
  <si>
    <t>Classic Cabin  7D6N  SE</t>
  </si>
  <si>
    <t>Classic Family Cabin  7D6N  SE</t>
  </si>
  <si>
    <t>16 Classic Twin and 2 Classic Double cabins, as well as the 1 Standard cabin, all of which are arrayed around outer corridors. On the Main Deck, guests will find the one Owner’s Cabin</t>
  </si>
  <si>
    <t>Viernes - Jueves 7D6N SE</t>
  </si>
  <si>
    <t>Baltra Transfer to boat / Santa Cruz Bachas PM (7D SE IN)</t>
  </si>
  <si>
    <t>San Cristobal Punta Pitt  AM / Cerro Colorado Breeding Center PM</t>
  </si>
  <si>
    <t>Española Gardner Bay AM / Punta Suárez PM</t>
  </si>
  <si>
    <t>Floreana  Punta Cormorant AM / Post Office Bay PM</t>
  </si>
  <si>
    <t>Isabela  Moreno Point AM / Fernandina Mangle Point PM</t>
  </si>
  <si>
    <t>Eden Islet AM / North Seymour PM</t>
  </si>
  <si>
    <t>Baltra Transfer to airport (7D SE OUT)</t>
  </si>
  <si>
    <r>
      <t xml:space="preserve">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6)  Regardless the number of cabins occupied, the ship’s authorized maximum operating capacity cannot exceed 48 guests.    
7)  Local tax (VAT) not included 
</t>
    </r>
    <r>
      <rPr>
        <b/>
        <sz val="12"/>
        <color theme="1"/>
        <rFont val="Calibri"/>
        <family val="2"/>
        <scheme val="minor"/>
      </rPr>
      <t xml:space="preserve">During Peak Season: </t>
    </r>
    <r>
      <rPr>
        <sz val="12"/>
        <color theme="1"/>
        <rFont val="Calibri"/>
        <family val="2"/>
        <scheme val="minor"/>
      </rPr>
      <t xml:space="preserve">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t>
    </r>
    <r>
      <rPr>
        <b/>
        <sz val="12"/>
        <color theme="1"/>
        <rFont val="Calibri"/>
        <family val="2"/>
        <scheme val="minor"/>
      </rPr>
      <t>Peak Season:</t>
    </r>
    <r>
      <rPr>
        <sz val="12"/>
        <color theme="1"/>
        <rFont val="Calibri"/>
        <family val="2"/>
        <scheme val="minor"/>
      </rPr>
      <t xml:space="preserve"> Dec 23 - 29 &amp; Dec 29 - Jan 02</t>
    </r>
  </si>
  <si>
    <r>
      <t xml:space="preserve">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t>
    </r>
    <r>
      <rPr>
        <b/>
        <sz val="12"/>
        <color theme="1"/>
        <rFont val="Calibri"/>
        <family val="2"/>
        <scheme val="minor"/>
      </rPr>
      <t xml:space="preserve">During Peak Season: </t>
    </r>
    <r>
      <rPr>
        <sz val="12"/>
        <color theme="1"/>
        <rFont val="Calibri"/>
        <family val="2"/>
        <scheme val="minor"/>
      </rPr>
      <t xml:space="preserve">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t>
    </r>
    <r>
      <rPr>
        <b/>
        <sz val="12"/>
        <color theme="1"/>
        <rFont val="Calibri"/>
        <family val="2"/>
        <scheme val="minor"/>
      </rPr>
      <t>Peak Season:</t>
    </r>
    <r>
      <rPr>
        <sz val="12"/>
        <color theme="1"/>
        <rFont val="Calibri"/>
        <family val="2"/>
        <scheme val="minor"/>
      </rPr>
      <t xml:space="preserve"> Dec 22 - 26, Dec 26 - 30  &amp; Dec 30 - Jan 05</t>
    </r>
  </si>
  <si>
    <t>cruise_name</t>
  </si>
  <si>
    <t>cruise_type</t>
  </si>
  <si>
    <t>cruise_category</t>
  </si>
  <si>
    <t>description</t>
  </si>
  <si>
    <t>comercial_name</t>
  </si>
  <si>
    <t>arrival_port</t>
  </si>
  <si>
    <t>modality</t>
  </si>
  <si>
    <t>pax</t>
  </si>
  <si>
    <t>web_page</t>
  </si>
  <si>
    <t>included</t>
  </si>
  <si>
    <t>information</t>
  </si>
  <si>
    <t>medic</t>
  </si>
  <si>
    <t>tc</t>
  </si>
  <si>
    <t>internet</t>
  </si>
  <si>
    <t>cost</t>
  </si>
  <si>
    <t>wetsuits</t>
  </si>
  <si>
    <t>restrictions</t>
  </si>
  <si>
    <t>cruise_format</t>
  </si>
  <si>
    <t>cruise_itinerary</t>
  </si>
  <si>
    <t>cabine_type</t>
  </si>
  <si>
    <t>cabine_spec</t>
  </si>
  <si>
    <t>net_rate</t>
  </si>
  <si>
    <t>operator_name</t>
  </si>
  <si>
    <t>guide_number</t>
  </si>
  <si>
    <t>staff_number</t>
  </si>
  <si>
    <t>additional_services</t>
  </si>
  <si>
    <t>id</t>
  </si>
  <si>
    <t>cruise_id</t>
  </si>
  <si>
    <t>quantity</t>
  </si>
  <si>
    <t>owner_name</t>
  </si>
  <si>
    <t>BARCO</t>
  </si>
  <si>
    <t>PAYLOAD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</si>
</sst>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43" formatCode="_ * #,##0.00_ ;_ * \-#,##0.00_ ;_ * &quot;-&quot;??_ ;_ @_ "/>
  </numFmts>
  <fonts count="7">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ont>
    <font>
      <u/>
      <sz val="12"/>
      <color theme="10"/>
      <name val="Calibri"/>
      <family val="2"/>
      <scheme val="minor"/>
    </font>
    <font>
      <sz val="12"/>
      <color theme="1"/>
      <name val="Calibri (Cuerpo)"/>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0" fontId="5" fillId="0" borderId="0" applyNumberFormat="0" applyFill="0" applyBorder="0" applyAlignment="0" applyProtection="0"/>
    <xf numFmtId="44" fontId="1" fillId="0" borderId="0" applyFont="0" applyFill="0" applyBorder="0" applyAlignment="0" applyProtection="0"/>
  </cellStyleXfs>
  <cellXfs count="22">
    <xf numFmtId="0" fontId="0" fillId="0" borderId="0" xfId="0"/>
    <xf numFmtId="0" fontId="0" fillId="2" borderId="0" xfId="0" applyFill="1" applyAlignment="1">
      <alignment horizontal="center" vertical="center"/>
    </xf>
    <xf numFmtId="0" fontId="0" fillId="2" borderId="0" xfId="0" applyFill="1" applyAlignment="1">
      <alignment vertical="center"/>
    </xf>
    <xf numFmtId="0" fontId="4" fillId="2" borderId="0" xfId="0" applyFont="1" applyFill="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5" fillId="2" borderId="0" xfId="2" applyFill="1" applyAlignment="1">
      <alignment horizontal="center" vertical="center" wrapText="1"/>
    </xf>
    <xf numFmtId="0" fontId="0" fillId="3" borderId="0" xfId="0" applyFill="1" applyAlignment="1">
      <alignment vertical="center" wrapText="1"/>
    </xf>
    <xf numFmtId="0" fontId="0" fillId="3" borderId="0" xfId="0" applyFill="1" applyAlignment="1">
      <alignment vertical="center"/>
    </xf>
    <xf numFmtId="0" fontId="0" fillId="3" borderId="0" xfId="0" applyFill="1" applyAlignment="1">
      <alignment horizontal="center" vertical="center"/>
    </xf>
    <xf numFmtId="44" fontId="0" fillId="3" borderId="0" xfId="3" applyFont="1" applyFill="1" applyAlignment="1">
      <alignment vertical="center"/>
    </xf>
    <xf numFmtId="0" fontId="6" fillId="3" borderId="0" xfId="0" applyFont="1" applyFill="1" applyAlignment="1">
      <alignment vertical="center" wrapText="1"/>
    </xf>
    <xf numFmtId="43" fontId="0" fillId="3" borderId="0" xfId="1" applyFont="1" applyFill="1" applyAlignment="1">
      <alignment vertical="center" wrapText="1"/>
    </xf>
    <xf numFmtId="0" fontId="0" fillId="4" borderId="0" xfId="0" applyFill="1" applyAlignment="1">
      <alignment horizontal="center" vertical="center" wrapText="1"/>
    </xf>
    <xf numFmtId="0" fontId="3" fillId="4"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cellXfs>
  <cellStyles count="4">
    <cellStyle name="Comma" xfId="1" builtinId="3"/>
    <cellStyle name="Currency" xfId="3" builtinId="4"/>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finity-galapagos.com/" TargetMode="External"/><Relationship Id="rId2" Type="http://schemas.openxmlformats.org/officeDocument/2006/relationships/hyperlink" Target="https://www.royalgalapagos.com/product/cormorant/" TargetMode="External"/><Relationship Id="rId1" Type="http://schemas.openxmlformats.org/officeDocument/2006/relationships/hyperlink" Target="https://www.royalgalapagos.com/product/grand-majestic/" TargetMode="External"/><Relationship Id="rId5" Type="http://schemas.openxmlformats.org/officeDocument/2006/relationships/hyperlink" Target="https://www.lapintagalapagoscruise.com/" TargetMode="External"/><Relationship Id="rId4" Type="http://schemas.openxmlformats.org/officeDocument/2006/relationships/hyperlink" Target="https://www.yachtisabe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CB24-EC57-4A0D-975D-9742AEAFFAA2}">
  <dimension ref="A1:Y32"/>
  <sheetViews>
    <sheetView tabSelected="1" workbookViewId="0">
      <selection activeCell="A2" sqref="A2"/>
    </sheetView>
  </sheetViews>
  <sheetFormatPr defaultRowHeight="28.2" customHeight="1"/>
  <cols>
    <col min="2" max="2" width="18.59765625" bestFit="1" customWidth="1"/>
    <col min="3" max="3" width="19.3984375" bestFit="1" customWidth="1"/>
    <col min="4" max="4" width="16.69921875" bestFit="1" customWidth="1"/>
    <col min="5" max="5" width="8.19921875" bestFit="1" customWidth="1"/>
    <col min="6" max="6" width="24.796875" bestFit="1" customWidth="1"/>
    <col min="7" max="7" width="32.69921875" bestFit="1" customWidth="1"/>
    <col min="8" max="8" width="31.796875" bestFit="1" customWidth="1"/>
    <col min="9" max="9" width="26.69921875" bestFit="1" customWidth="1"/>
    <col min="10" max="10" width="12.3984375" bestFit="1" customWidth="1"/>
    <col min="11" max="11" width="3.8984375" bestFit="1" customWidth="1"/>
    <col min="12" max="12" width="44.69921875" bestFit="1" customWidth="1"/>
    <col min="13" max="13" width="18.19921875" bestFit="1" customWidth="1"/>
    <col min="14" max="14" width="85.69921875" bestFit="1" customWidth="1"/>
    <col min="15" max="15" width="13.5" bestFit="1" customWidth="1"/>
    <col min="16" max="16" width="12.3984375" bestFit="1" customWidth="1"/>
    <col min="17" max="17" width="6" bestFit="1" customWidth="1"/>
    <col min="18" max="18" width="2.5" bestFit="1" customWidth="1"/>
    <col min="19" max="19" width="7.8984375" bestFit="1" customWidth="1"/>
    <col min="20" max="20" width="4.3984375" bestFit="1" customWidth="1"/>
    <col min="21" max="21" width="8" bestFit="1" customWidth="1"/>
    <col min="22" max="22" width="9.09765625" bestFit="1" customWidth="1"/>
    <col min="23" max="23" width="10.5" bestFit="1" customWidth="1"/>
    <col min="24" max="24" width="31.796875" bestFit="1" customWidth="1"/>
    <col min="25" max="25" width="255.69921875" bestFit="1" customWidth="1"/>
  </cols>
  <sheetData>
    <row r="1" spans="1:25" ht="28.2" customHeight="1">
      <c r="A1" t="s">
        <v>623</v>
      </c>
      <c r="B1" s="19" t="s">
        <v>597</v>
      </c>
      <c r="C1" s="19" t="s">
        <v>598</v>
      </c>
      <c r="D1" s="19" t="s">
        <v>599</v>
      </c>
      <c r="E1" s="15" t="s">
        <v>600</v>
      </c>
      <c r="F1" s="19" t="s">
        <v>626</v>
      </c>
      <c r="G1" s="19" t="s">
        <v>619</v>
      </c>
      <c r="H1" s="15" t="s">
        <v>601</v>
      </c>
      <c r="I1" s="19" t="s">
        <v>602</v>
      </c>
      <c r="J1" s="19" t="s">
        <v>603</v>
      </c>
      <c r="K1" s="19" t="s">
        <v>604</v>
      </c>
      <c r="L1" s="15" t="s">
        <v>605</v>
      </c>
      <c r="M1" s="19" t="s">
        <v>606</v>
      </c>
      <c r="N1" s="15" t="s">
        <v>607</v>
      </c>
      <c r="O1" s="19" t="s">
        <v>620</v>
      </c>
      <c r="P1" s="19" t="s">
        <v>621</v>
      </c>
      <c r="Q1" s="19" t="s">
        <v>608</v>
      </c>
      <c r="R1" s="15" t="s">
        <v>609</v>
      </c>
      <c r="S1" s="15" t="s">
        <v>610</v>
      </c>
      <c r="T1" s="15" t="s">
        <v>611</v>
      </c>
      <c r="U1" s="15" t="s">
        <v>612</v>
      </c>
      <c r="V1" s="15" t="s">
        <v>622</v>
      </c>
      <c r="W1" s="19" t="s">
        <v>613</v>
      </c>
      <c r="X1" s="18" t="s">
        <v>614</v>
      </c>
      <c r="Y1" s="18" t="s">
        <v>615</v>
      </c>
    </row>
    <row r="2" spans="1:25" ht="28.2" customHeight="1">
      <c r="A2">
        <v>1</v>
      </c>
      <c r="B2" s="3" t="s">
        <v>198</v>
      </c>
      <c r="C2" s="2" t="s">
        <v>13</v>
      </c>
      <c r="D2" s="2" t="s">
        <v>36</v>
      </c>
      <c r="E2" s="2"/>
      <c r="F2" s="2" t="s">
        <v>332</v>
      </c>
      <c r="G2" s="2" t="s">
        <v>332</v>
      </c>
      <c r="H2" s="2" t="s">
        <v>333</v>
      </c>
      <c r="I2" s="2" t="s">
        <v>12</v>
      </c>
      <c r="J2" s="2" t="s">
        <v>10</v>
      </c>
      <c r="K2" s="1">
        <v>16</v>
      </c>
      <c r="L2" s="1" t="s">
        <v>344</v>
      </c>
      <c r="M2" s="2"/>
      <c r="N2" s="4"/>
      <c r="O2" s="1">
        <v>1</v>
      </c>
      <c r="P2" s="1"/>
      <c r="Q2" s="1" t="s">
        <v>8</v>
      </c>
      <c r="R2" s="5"/>
      <c r="S2" s="5"/>
      <c r="T2" s="5"/>
      <c r="U2" s="5"/>
      <c r="V2" s="1"/>
      <c r="W2" s="1"/>
      <c r="X2" s="7" t="s">
        <v>87</v>
      </c>
      <c r="Y2" s="7" t="str">
        <f>+LOOKUP(B2,ITINERARY!C$2:C$32,ITINERARY!B$2:B$32)</f>
        <v>[,,,Baltra Transfer to boat / Santa Cruz Punta Carrión &amp; Canal de Itabaca PM ,Santa Cruz Punta Carrión &amp; Bartolomé Punta AM / Bartolomé land visit PM,Wolf AM / PM,Darwin AM / PM,Isabela Cabo Marshal AM / PM ,Fernandina Cabo Douglas AM / Isabela Punta Vicente Roca PM,Santiago Cousins Rocks AM / Santa Cruz visita tierra PM,Baltra transfer to airport,,,]</v>
      </c>
    </row>
    <row r="3" spans="1:25" ht="28.2" customHeight="1">
      <c r="A3">
        <v>2</v>
      </c>
      <c r="B3" s="2" t="s">
        <v>146</v>
      </c>
      <c r="C3" s="2" t="s">
        <v>76</v>
      </c>
      <c r="D3" s="2" t="s">
        <v>35</v>
      </c>
      <c r="E3" s="2"/>
      <c r="F3" s="2" t="s">
        <v>286</v>
      </c>
      <c r="G3" s="2" t="s">
        <v>287</v>
      </c>
      <c r="H3" s="2" t="s">
        <v>287</v>
      </c>
      <c r="I3" s="2" t="s">
        <v>12</v>
      </c>
      <c r="J3" s="2" t="s">
        <v>9</v>
      </c>
      <c r="K3" s="1">
        <v>16</v>
      </c>
      <c r="L3" s="5" t="s">
        <v>147</v>
      </c>
      <c r="M3" s="2"/>
      <c r="N3" s="4"/>
      <c r="O3" s="1">
        <v>1</v>
      </c>
      <c r="P3" s="1"/>
      <c r="Q3" s="1"/>
      <c r="R3" s="5"/>
      <c r="S3" s="5"/>
      <c r="T3" s="5"/>
      <c r="U3" s="5"/>
      <c r="V3" s="1"/>
      <c r="W3" s="1"/>
      <c r="X3" s="8" t="s">
        <v>77</v>
      </c>
      <c r="Y3" s="7" t="str">
        <f>+LOOKUP(B3,ITINERARY!C$2:C$32,ITINERARY!B$2:B$32)</f>
        <v>[Santa Cruz (Charles Darwin Station / Highlands),Isabela (Moreno Point - Elizabeth Bay),Isabela (Urbina Bay) / Fernandina (Espinoza Point),Isabela ( Tagus Cove / Vicente Roca Point),Santiago (Espumilla Beach / Egas Port),Santa Cruz (Bachas / North Seymour,South Plaza / Santa Fe,San Cristobal (Interpretation Center / Lobos Island),Española,Floreana,Santa Cruz (Highlands / Black Turttle Cove),Genovesa,Santiago (Sullivan Bay) / Bartolomé,Chinese Hat / Mosquera Islet]</v>
      </c>
    </row>
    <row r="4" spans="1:25" ht="28.2" customHeight="1">
      <c r="A4">
        <v>3</v>
      </c>
      <c r="B4" s="3" t="s">
        <v>199</v>
      </c>
      <c r="C4" s="2" t="s">
        <v>13</v>
      </c>
      <c r="D4" s="2" t="s">
        <v>36</v>
      </c>
      <c r="E4" s="2"/>
      <c r="F4" s="2" t="s">
        <v>361</v>
      </c>
      <c r="G4" s="2"/>
      <c r="H4" s="2" t="s">
        <v>360</v>
      </c>
      <c r="I4" s="2" t="s">
        <v>12</v>
      </c>
      <c r="J4" s="2" t="s">
        <v>9</v>
      </c>
      <c r="K4" s="1">
        <v>16</v>
      </c>
      <c r="L4" s="5" t="s">
        <v>375</v>
      </c>
      <c r="M4" s="2"/>
      <c r="N4" s="4"/>
      <c r="O4" s="1">
        <v>1</v>
      </c>
      <c r="P4" s="1"/>
      <c r="Q4" s="1"/>
      <c r="R4" s="5"/>
      <c r="S4" s="5"/>
      <c r="T4" s="5"/>
      <c r="U4" s="5"/>
      <c r="V4" s="1"/>
      <c r="W4" s="1"/>
      <c r="X4" s="7" t="s">
        <v>363</v>
      </c>
      <c r="Y4" s="7" t="str">
        <f>+LOOKUP(B4,ITINERARY!C$2:C$32,ITINERARY!B$2:B$32)</f>
        <v>[,,Baltra Transfer to boat /  Santa Cruz Highlands PM (A) (B solo highlands),Santiago Sullivan Bay AM / Rábida PM (A &amp; B),Isabela Punta Vicente Roca AM / Fernandina Punta Espinosa PM (A &amp; B),Isabela Tintoreras AM / Wetlands PM (A &amp; B),Mosquera AM / North Seymour PM (A) (B OUT solo Mosquera) (C IN solo North Seymour),Floreana Post Office Bay AM / Punta Cormorant PM (A &amp; C),South Plaza AM  / Santa Fe PM (A &amp; C),Santa Cruz Bachas Beach / Transfer to airport AM (A) (C solo Bachan &amp; overnight en Hotel),Santa Cruz Charles Darwin Station / Transfer to airport AM (C ),,,]</v>
      </c>
    </row>
    <row r="5" spans="1:25" ht="28.2" customHeight="1">
      <c r="A5">
        <v>4</v>
      </c>
      <c r="B5" s="3" t="s">
        <v>86</v>
      </c>
      <c r="C5" s="2" t="s">
        <v>13</v>
      </c>
      <c r="D5" s="2" t="s">
        <v>36</v>
      </c>
      <c r="E5" s="2"/>
      <c r="F5" s="2" t="s">
        <v>345</v>
      </c>
      <c r="G5" s="2"/>
      <c r="H5" s="2" t="s">
        <v>346</v>
      </c>
      <c r="I5" s="2" t="s">
        <v>11</v>
      </c>
      <c r="J5" s="2" t="s">
        <v>10</v>
      </c>
      <c r="K5" s="1">
        <v>16</v>
      </c>
      <c r="L5" s="5" t="s">
        <v>353</v>
      </c>
      <c r="M5" s="2"/>
      <c r="N5" s="4"/>
      <c r="O5" s="1">
        <v>1</v>
      </c>
      <c r="P5" s="1"/>
      <c r="Q5" s="1" t="s">
        <v>8</v>
      </c>
      <c r="R5" s="5"/>
      <c r="S5" s="5"/>
      <c r="T5" s="5"/>
      <c r="U5" s="5"/>
      <c r="V5" s="1"/>
      <c r="W5" s="1"/>
      <c r="X5" s="7" t="s">
        <v>87</v>
      </c>
      <c r="Y5" s="7" t="str">
        <f>+LOOKUP(B5,ITINERARY!C$2:C$32,ITINERARY!B$2:B$32)</f>
        <v>[,,,San Cristobal Transfer to boat / Check dive Isla Lobos,Santa Cruz Punta Carrión AM / Seymour PM,Wolf AM / PM,Darwin AM / PM,Darwin AM / Wolf PM,Isabela Cabo Marshall (Ene-Jun)  AMPM / Fernandina Cabo Douglas &amp; Isabela Punta Vicente Roca (Jul-Dic) AMPM,Santiago Roca Cousin AM / Santa Cruz visita tierra PM,Santa Cruz Breeding Center / Transfer to airport,,,]</v>
      </c>
    </row>
    <row r="6" spans="1:25" ht="28.2" customHeight="1">
      <c r="A6">
        <v>5</v>
      </c>
      <c r="B6" s="2" t="s">
        <v>137</v>
      </c>
      <c r="C6" s="2" t="s">
        <v>15</v>
      </c>
      <c r="D6" s="2" t="s">
        <v>35</v>
      </c>
      <c r="E6" s="2"/>
      <c r="F6" s="4" t="s">
        <v>417</v>
      </c>
      <c r="G6" s="2"/>
      <c r="H6" s="2" t="s">
        <v>418</v>
      </c>
      <c r="I6" s="2" t="s">
        <v>11</v>
      </c>
      <c r="J6" s="2" t="s">
        <v>9</v>
      </c>
      <c r="K6" s="1">
        <v>16</v>
      </c>
      <c r="L6" s="5" t="s">
        <v>145</v>
      </c>
      <c r="M6" s="2"/>
      <c r="N6" s="4"/>
      <c r="O6" s="1">
        <v>1</v>
      </c>
      <c r="P6" s="1"/>
      <c r="Q6" s="1"/>
      <c r="R6" s="5"/>
      <c r="S6" s="5"/>
      <c r="T6" s="5"/>
      <c r="U6" s="5"/>
      <c r="V6" s="1"/>
      <c r="W6" s="1"/>
      <c r="X6" s="8" t="s">
        <v>83</v>
      </c>
      <c r="Y6" s="7" t="str">
        <f>+LOOKUP(B6,ITINERARY!C$2:C$32,ITINERARY!B$2:B$32)</f>
        <v>[Española,Santa Cruz (Bachas) / Bartolomé,Rábida / Santiago (Egas Port),Genovesa,Mosquera Islet / Santa Cruz (Highlands),North Seymour / Santiago (Sullivan Bay),Isabela (Vicente Roca Point) / Fernandina (Espinoza Point),Isabela (Tagus Cove / Urbina Bay),Isabela (Elizabeth Bay / Moreno Point),Santa Cruz (Charles Darwin Station / Highlands),Santa Fe / South Plaza,Floreana,San Cristobal (Interpretation Center / Lobos Island / Kicker Rock),San Cristobal (Pitt Point / Witch Hill)]</v>
      </c>
    </row>
    <row r="7" spans="1:25" ht="28.2" customHeight="1">
      <c r="A7">
        <v>6</v>
      </c>
      <c r="B7" s="2" t="s">
        <v>485</v>
      </c>
      <c r="C7" s="2" t="s">
        <v>76</v>
      </c>
      <c r="D7" s="2" t="s">
        <v>35</v>
      </c>
      <c r="E7" s="2"/>
      <c r="F7" s="2" t="s">
        <v>364</v>
      </c>
      <c r="G7" s="2" t="s">
        <v>364</v>
      </c>
      <c r="H7" s="2" t="s">
        <v>205</v>
      </c>
      <c r="I7" s="2" t="s">
        <v>11</v>
      </c>
      <c r="J7" s="2" t="s">
        <v>9</v>
      </c>
      <c r="K7" s="1">
        <v>16</v>
      </c>
      <c r="L7" s="6" t="s">
        <v>490</v>
      </c>
      <c r="M7" s="4" t="s">
        <v>491</v>
      </c>
      <c r="N7" s="4" t="s">
        <v>492</v>
      </c>
      <c r="O7" s="1">
        <v>1</v>
      </c>
      <c r="P7" s="1">
        <v>10</v>
      </c>
      <c r="Q7" s="1" t="s">
        <v>8</v>
      </c>
      <c r="R7" s="5"/>
      <c r="S7" s="5"/>
      <c r="T7" s="5"/>
      <c r="U7" s="5"/>
      <c r="V7" s="1"/>
      <c r="W7" s="1"/>
      <c r="X7" s="8" t="s">
        <v>493</v>
      </c>
      <c r="Y7" s="7" t="str">
        <f>+LOOKUP(B7,ITINERARY!C$2:C$32,ITINERARY!B$2:B$32)</f>
        <v>[South Plaza  AM / Santa Fe PM (8D7N A),San Cristobal Pitt Point AM / Witch Hill PM  (8D7N A),San Cristobal Breeding Center AM / Lobos Island / Kicker Rock PM (8D7N A),Española Punta Suáez AM / Gardner Bay &amp; Islote Gardner PM (8D7N A),Floreana Post Office Bay / Baroness Viewpoint AM + Cormorant Point / Champion islet PM (8D7N A),Santa Cruz  Twin Craters / Transfer to airport AM (8D7N A OUT)
Baltra Transfer to boat / Santa Cruz Highlands / Tortoise Breeding Center PM (8D7N B IN),Isabela Tintoreras + Sierra Negra AM / Wetlands + Breeding Center PM (8D7N B),Isabela Moreno Point AM / Elizabeth Bay PM (8D7N B),Fernandina Espinoza Point AM / Isabela Vicente Roca Point PM (8D7N B),Santiago Egas Port AM / Espumilla Beach +  Buccaneer Cove PM (8D7N B),Bartholomew island AM / Santiago Sullivan Bay PM (8D7N B),Santiago Chinese Hat AM / Santa Cruz Dragon Hill PM (8D7N B),Baltra Transfer to boat / Santa Cruz Bachas Beach PM (8D7N A IN)
North Seymour island / Transfer to airport AM (8D7N B OUT),Genovesa El Barranco AM / Darwin Bay PM (8D7N A)]</v>
      </c>
    </row>
    <row r="8" spans="1:25" ht="28.2" customHeight="1">
      <c r="A8">
        <v>7</v>
      </c>
      <c r="B8" s="3" t="s">
        <v>196</v>
      </c>
      <c r="C8" s="2" t="s">
        <v>14</v>
      </c>
      <c r="D8" s="2" t="s">
        <v>36</v>
      </c>
      <c r="E8" s="2"/>
      <c r="F8" s="2" t="s">
        <v>286</v>
      </c>
      <c r="G8" s="2" t="s">
        <v>287</v>
      </c>
      <c r="H8" s="2" t="s">
        <v>287</v>
      </c>
      <c r="I8" s="2" t="s">
        <v>12</v>
      </c>
      <c r="J8" s="2" t="s">
        <v>9</v>
      </c>
      <c r="K8" s="1">
        <v>16</v>
      </c>
      <c r="L8" s="5" t="s">
        <v>303</v>
      </c>
      <c r="M8" s="2"/>
      <c r="N8" s="4"/>
      <c r="O8" s="1">
        <v>1</v>
      </c>
      <c r="P8" s="1">
        <v>8</v>
      </c>
      <c r="Q8" s="1" t="s">
        <v>8</v>
      </c>
      <c r="R8" s="5"/>
      <c r="S8" s="5"/>
      <c r="T8" s="5"/>
      <c r="U8" s="5"/>
      <c r="V8" s="1"/>
      <c r="W8" s="1"/>
      <c r="X8" s="7" t="s">
        <v>288</v>
      </c>
      <c r="Y8" s="7" t="str">
        <f>+LOOKUP(B8,ITINERARY!C$2:C$32,ITINERARY!B$2:B$32)</f>
        <v>[Española Punta Suárez AM / Española Gardner Bay + Gardner Islet + Osborn Islet PM (C ),San Cristóbal Centro de Interpretación / Traslado aeropuerto AM (C ) - San Cristóbal Transfer barco / Isla Lobos PM (A),Santa Fe AM / Plazas Sur PM (A),Seymour Norte AM / Islote Mosquera PM (A),Genovesa Darwin Bay AM / Barranco PM (A),Santa Cruz Highlands AM / Transfer Baltra (A)  -  Baltra transfer barco / Estación Charles Darwin PM (B),Isabela Punta Moreno AM / Elizabeht Bay PM (B),Isabela Urbina Bay AM / Tagus Cove PM (B),Fernandina Punta Espinosa AM / Isabela Punta Vicente Roca PM (B),Santiago Puerto Egas AM / Rábida  PM (B),Santa Cruz Black Turtle Cove AM / Transfer aeropuerto (B) - Baltra traslado barco / Santa Cruz Bachas Beach PM (C ),Santiago Sullivan Bay AM / Bartolomé PM (C ),Santa Cruz Highlands AM / Estación Charles Darwin PM (C ),Floreana Cormorant Point + Devil's Crown AM / Post Office Bay PM (C )]</v>
      </c>
    </row>
    <row r="9" spans="1:25" ht="28.2" customHeight="1">
      <c r="A9">
        <v>8</v>
      </c>
      <c r="B9" s="2" t="s">
        <v>57</v>
      </c>
      <c r="C9" s="2" t="s">
        <v>13</v>
      </c>
      <c r="D9" s="2" t="s">
        <v>35</v>
      </c>
      <c r="E9" s="2"/>
      <c r="F9" s="2" t="s">
        <v>311</v>
      </c>
      <c r="G9" s="2"/>
      <c r="H9" s="2" t="s">
        <v>313</v>
      </c>
      <c r="I9" s="2" t="s">
        <v>11</v>
      </c>
      <c r="J9" s="2" t="s">
        <v>9</v>
      </c>
      <c r="K9" s="1">
        <v>16</v>
      </c>
      <c r="L9" s="5" t="s">
        <v>73</v>
      </c>
      <c r="M9" s="2"/>
      <c r="N9" s="4"/>
      <c r="O9" s="1">
        <v>1</v>
      </c>
      <c r="P9" s="1"/>
      <c r="Q9" s="1"/>
      <c r="R9" s="5"/>
      <c r="S9" s="5"/>
      <c r="T9" s="5"/>
      <c r="U9" s="5"/>
      <c r="V9" s="1"/>
      <c r="W9" s="1"/>
      <c r="X9" s="8" t="s">
        <v>59</v>
      </c>
      <c r="Y9" s="7" t="str">
        <f>+LOOKUP(B9,ITINERARY!C$2:C$32,ITINERARY!B$2:B$32)</f>
        <v>[Isabela (Tintorera - Sierra Negra) / Breeding Center,Isabela (Moreno Point - Urbina Bay),Fernandina  (Espinoza Point) Isabela (Vicente Roca Point),Rabida / Bartolomé,San Cristobal (Kicker Rock / Witch Hill / Giant Tortoise Reserve,San Cristobal Interpretation Center / Breeding Center,Española (Suarez Point - Gardner Bay - Gardner y Osborn Islets),Floreana (Cormorant Point / Post Office Bay, Baroness Lockout),Mosquera / Santa Cruz (Charles Darwin Station),Genovesa,Santiago (Buccaneer Cove y Espumilla Beach / Egas Port),Santa Cruz (Bachas / Twins and Highlands),San Cristobal (Isla Lobos /  El Junco Lagoon),North Seymour /  Santa Cruz (Dragon Hill)]</v>
      </c>
    </row>
    <row r="10" spans="1:25" ht="28.2" customHeight="1">
      <c r="A10">
        <v>9</v>
      </c>
      <c r="B10" s="2" t="s">
        <v>39</v>
      </c>
      <c r="C10" s="2" t="s">
        <v>76</v>
      </c>
      <c r="D10" s="2" t="s">
        <v>35</v>
      </c>
      <c r="E10" s="2"/>
      <c r="F10" s="2" t="s">
        <v>226</v>
      </c>
      <c r="G10" s="2"/>
      <c r="H10" s="2" t="s">
        <v>313</v>
      </c>
      <c r="I10" s="2" t="s">
        <v>12</v>
      </c>
      <c r="J10" s="2" t="s">
        <v>9</v>
      </c>
      <c r="K10" s="1">
        <v>16</v>
      </c>
      <c r="L10" s="5" t="s">
        <v>55</v>
      </c>
      <c r="M10" s="2"/>
      <c r="N10" s="4"/>
      <c r="O10" s="1">
        <v>1</v>
      </c>
      <c r="P10" s="1"/>
      <c r="Q10" s="1"/>
      <c r="R10" s="5"/>
      <c r="S10" s="5"/>
      <c r="T10" s="5"/>
      <c r="U10" s="5"/>
      <c r="V10" s="1"/>
      <c r="W10" s="1"/>
      <c r="X10" s="8" t="s">
        <v>40</v>
      </c>
      <c r="Y10" s="7" t="str">
        <f>+LOOKUP(B10,ITINERARY!C$2:C$32,ITINERARY!B$2:B$32)</f>
        <v>[Genovesa,Los Gemelos - Santiago (Sullivan),Isabela (Humedales, Sierra Negra, Centro Interpretación),Isabela (Elizabeth y Urbina Bay) ,Isabela (Tagus Cove) Fernandina Pta Espinoza),Santiago (Caleta Bucanero y Playa Espumilla),Islote Mosquera - Santa Cruz (Dragon Hill),San Cristóbal (Kicker Rock, Witch Hill, Isla Lobos),Española (Gardner Bay) - Orborn y Gardner Islets - Española Suarez Point,Santa Fe - Santa Cruz (Charles Darwin Station),South Plaza - Bartolomé, Floreana (Devil's Crowm- Cormorant Point The  Varoness Overlook, Post Office),Santiago (Chiness Hut) - North Seymour,Santa Cruz (Black Turtle Cove - Las Bachas)]</v>
      </c>
    </row>
    <row r="11" spans="1:25" ht="28.2" customHeight="1">
      <c r="A11">
        <v>10</v>
      </c>
      <c r="B11" s="2" t="s">
        <v>158</v>
      </c>
      <c r="C11" s="2" t="s">
        <v>13</v>
      </c>
      <c r="D11" s="2" t="s">
        <v>35</v>
      </c>
      <c r="E11" s="2"/>
      <c r="F11" s="2" t="s">
        <v>420</v>
      </c>
      <c r="G11" s="2" t="s">
        <v>419</v>
      </c>
      <c r="H11" s="2" t="s">
        <v>246</v>
      </c>
      <c r="I11" s="2" t="s">
        <v>12</v>
      </c>
      <c r="J11" s="2" t="s">
        <v>9</v>
      </c>
      <c r="K11" s="1">
        <v>32</v>
      </c>
      <c r="L11" s="5" t="s">
        <v>169</v>
      </c>
      <c r="M11" s="2"/>
      <c r="N11" s="4"/>
      <c r="O11" s="1"/>
      <c r="P11" s="1"/>
      <c r="Q11" s="1"/>
      <c r="R11" s="5"/>
      <c r="S11" s="5"/>
      <c r="T11" s="5"/>
      <c r="U11" s="5"/>
      <c r="V11" s="1"/>
      <c r="W11" s="1"/>
      <c r="X11" s="8" t="s">
        <v>83</v>
      </c>
      <c r="Y11" s="7" t="str">
        <f>+LOOKUP(B11,ITINERARY!C$2:C$32,ITINERARY!B$2:B$32)</f>
        <v>[Isabela (Urbina Bay / Tagus Cove),Bartolomé - Santiago (Sullivan Bay),Santa Cruz (Bachas) / Rábida,Santa Cruz ( Highlands / Charles Darwin Station),Española,San Cristobal (interpretation Center / Witch Hill,South Plaza / Punta Carrión Island / Mosquera Islet,Chinese Hat / Santiago (Egas Port),Genovesa,North Seymour / Santa Fe,Floreana,Santa Cruz (Highlands / Charles Darin Station),Santa Cruz (Black Turttle Cove) / Daphne Island,Isabela (Vicente Roca Point / Fernandina (Espinoza Point)]</v>
      </c>
    </row>
    <row r="12" spans="1:25" ht="28.2" customHeight="1">
      <c r="A12">
        <v>11</v>
      </c>
      <c r="B12" s="2" t="s">
        <v>184</v>
      </c>
      <c r="C12" s="2" t="s">
        <v>13</v>
      </c>
      <c r="D12" s="2" t="s">
        <v>35</v>
      </c>
      <c r="E12" s="2"/>
      <c r="F12" s="4" t="s">
        <v>365</v>
      </c>
      <c r="G12" s="4" t="s">
        <v>365</v>
      </c>
      <c r="H12" s="2" t="s">
        <v>207</v>
      </c>
      <c r="I12" s="2" t="s">
        <v>12</v>
      </c>
      <c r="J12" s="2" t="s">
        <v>9</v>
      </c>
      <c r="K12" s="1">
        <v>94</v>
      </c>
      <c r="L12" s="5" t="s">
        <v>183</v>
      </c>
      <c r="M12" s="2"/>
      <c r="N12" s="4"/>
      <c r="O12" s="1"/>
      <c r="P12" s="1"/>
      <c r="Q12" s="1" t="s">
        <v>7</v>
      </c>
      <c r="R12" s="5"/>
      <c r="S12" s="5"/>
      <c r="T12" s="5"/>
      <c r="U12" s="5"/>
      <c r="V12" s="1"/>
      <c r="W12" s="1"/>
      <c r="X12" s="8"/>
      <c r="Y12" s="7" t="str">
        <f>+LOOKUP(B12,ITINERARY!C$2:C$32,ITINERARY!B$2:B$32)</f>
        <v>[Daphne ,Santiago (Egas Port) / Rábida,Isabela (Elizabeth Bay / Tagus Cove),Santiago (Sullivan Bay) / Bartolomé,Santa Cruz (Bachas) / North Seymour,San Cristobal (Interpretation Center / Pitt Point),Santa Cruz (Charles Darwin Station),North Seymour,South Plaza / Santa Fe,San Cristobal (Pitt Point / Interpretation Center),Floreana,Isabela (Elizabeth Bay / Moreno Point),Santa Cruz (Charles Darwin Station ),Española]</v>
      </c>
    </row>
    <row r="13" spans="1:25" ht="28.2" customHeight="1">
      <c r="A13">
        <v>12</v>
      </c>
      <c r="B13" s="3" t="s">
        <v>201</v>
      </c>
      <c r="C13" s="2" t="s">
        <v>13</v>
      </c>
      <c r="D13" s="2" t="s">
        <v>36</v>
      </c>
      <c r="E13" s="2"/>
      <c r="F13" s="2" t="s">
        <v>388</v>
      </c>
      <c r="G13" s="2"/>
      <c r="H13" s="2" t="s">
        <v>389</v>
      </c>
      <c r="I13" s="2" t="s">
        <v>11</v>
      </c>
      <c r="J13" s="2" t="s">
        <v>10</v>
      </c>
      <c r="K13" s="1">
        <v>16</v>
      </c>
      <c r="L13" s="5" t="s">
        <v>397</v>
      </c>
      <c r="M13" s="2"/>
      <c r="N13" s="4"/>
      <c r="O13" s="1">
        <v>2</v>
      </c>
      <c r="P13" s="1">
        <v>8</v>
      </c>
      <c r="Q13" s="1"/>
      <c r="R13" s="5"/>
      <c r="S13" s="5"/>
      <c r="T13" s="5"/>
      <c r="U13" s="5"/>
      <c r="V13" s="1"/>
      <c r="W13" s="1"/>
      <c r="X13" s="7" t="s">
        <v>77</v>
      </c>
      <c r="Y13" s="7" t="str">
        <f>+LOOKUP(B13,ITINERARY!C$2:C$32,ITINERARY!B$2:B$32)</f>
        <v>[San Cristóbal Transfer to boat / Isla Lobos PM,Santa Cruz Punta Carrión AM / North Seymour land visit PM,Darwin island,Darwin island,Wolf island,Isabela Vicente Roca Point AM / Fernandina Cape Douglas PM,Santiago Cousin's Rock AM / Santa Cruz Twin Craters &amp; Fausto Llerena PM,San Cristóbal Interpretation Center / Transfer to airport,,,,,,]</v>
      </c>
    </row>
    <row r="14" spans="1:25" ht="28.2" customHeight="1">
      <c r="A14">
        <v>13</v>
      </c>
      <c r="B14" s="3" t="s">
        <v>202</v>
      </c>
      <c r="C14" s="2" t="s">
        <v>13</v>
      </c>
      <c r="D14" s="2" t="s">
        <v>35</v>
      </c>
      <c r="E14" s="2"/>
      <c r="F14" s="2" t="s">
        <v>403</v>
      </c>
      <c r="G14" s="2" t="s">
        <v>404</v>
      </c>
      <c r="H14" s="2" t="s">
        <v>404</v>
      </c>
      <c r="I14" s="2" t="s">
        <v>11</v>
      </c>
      <c r="J14" s="2" t="s">
        <v>10</v>
      </c>
      <c r="K14" s="1">
        <v>16</v>
      </c>
      <c r="L14" s="5" t="s">
        <v>411</v>
      </c>
      <c r="M14" s="2"/>
      <c r="N14" s="4"/>
      <c r="O14" s="1">
        <v>2</v>
      </c>
      <c r="P14" s="1"/>
      <c r="Q14" s="1"/>
      <c r="R14" s="5" t="s">
        <v>7</v>
      </c>
      <c r="S14" s="5"/>
      <c r="T14" s="5"/>
      <c r="U14" s="5"/>
      <c r="V14" s="1"/>
      <c r="W14" s="1"/>
      <c r="X14" s="7" t="s">
        <v>40</v>
      </c>
      <c r="Y14" s="7" t="str">
        <f>+LOOKUP(B14,ITINERARY!C$2:C$32,ITINERARY!B$2:B$32)</f>
        <v>[,,,,,,San Cristóbal Transfer to boat / Isla Lobos PM,Bartolomé land visit &amp; dive AM / Santiago Cousin's Rock PM,Wolf island,Darwin island,Darwin island AM / Wolf island PM,Fernandina Cabo Douglas AM / Isabela Vicente Roca Point PM,Pinzón &amp; Islote Dumb AM / Santa Cruz Highlands PM,San Cristóbal Centro de Interpretacion / Transfer to airport]</v>
      </c>
    </row>
    <row r="15" spans="1:25" ht="28.2" customHeight="1">
      <c r="A15">
        <v>14</v>
      </c>
      <c r="B15" s="3" t="s">
        <v>194</v>
      </c>
      <c r="C15" s="2" t="s">
        <v>13</v>
      </c>
      <c r="D15" s="2" t="s">
        <v>35</v>
      </c>
      <c r="E15" s="2"/>
      <c r="F15" s="2" t="s">
        <v>306</v>
      </c>
      <c r="G15" s="2" t="s">
        <v>307</v>
      </c>
      <c r="H15" s="2" t="s">
        <v>246</v>
      </c>
      <c r="I15" s="2" t="s">
        <v>12</v>
      </c>
      <c r="J15" s="2" t="s">
        <v>9</v>
      </c>
      <c r="K15" s="1">
        <v>16</v>
      </c>
      <c r="L15" s="5" t="s">
        <v>263</v>
      </c>
      <c r="M15" s="2"/>
      <c r="N15" s="4"/>
      <c r="O15" s="1">
        <v>1</v>
      </c>
      <c r="P15" s="1"/>
      <c r="Q15" s="1"/>
      <c r="R15" s="5"/>
      <c r="S15" s="5"/>
      <c r="T15" s="5"/>
      <c r="U15" s="5"/>
      <c r="V15" s="1"/>
      <c r="W15" s="1"/>
      <c r="X15" s="8" t="s">
        <v>248</v>
      </c>
      <c r="Y15" s="7" t="str">
        <f>+LOOKUP(B15,ITINERARY!C$2:C$32,ITINERARY!B$2:B$32)</f>
        <v>[Isabela (Tintoreras Islet / Cuevas de Sucre / Centro de Crianza Arnaldo Turpiza am ) /Santa Cruz navegación pm,Santa Cruz (Gemelos am) / Transfer Baltra aeropuerto - Oeste / Baltra transfer barco am / Santa Cruz (Highlands &amp; ECCD pm) - Este,Floreana (Asilo de la Paz am / Punta Cormorant &amp; Corona del Diablo pm) - Este,Española (Punta Suáez am / Gardner Bay &amp; Islote Gardner pm) - Este,San Cristóbal (Punta Pitt am / Isla Lobos &amp; Kicker Rock pm) - Este,Santa Fé am / Plazas Sur pm - Este,Seymour Norte am / Bartolomé pm - Este,Islote Sombrero Chino am / Santa Cruz (Cerro Dragón pm) - Este,Santa Cruz (Caleta Tortuga Negra) / Transfer Baltra am - Este / Baltra transfer barco - Santa Cruz (Bachas pm) - Oeste,Genovesa (Prince Phillip´s Setps am / Bahía Darwin pm) - Oeste,Santiago (Bahía James am / Espumilla Beach &amp; Bucaneer Cove pm) - Oeste,Isabela (Punta Vicente Roca am / Tagus Cove pm) - Oeste,Fernandina (Espinosa Point am) / Isabela (Urbina Bay pm) - Oeste,Isabela (Elizabeth Bay am / Punta Moreno pm) - Oeste]</v>
      </c>
    </row>
    <row r="16" spans="1:25" ht="28.2" customHeight="1">
      <c r="A16">
        <v>15</v>
      </c>
      <c r="B16" s="3" t="s">
        <v>195</v>
      </c>
      <c r="C16" s="2" t="s">
        <v>13</v>
      </c>
      <c r="D16" s="2" t="s">
        <v>36</v>
      </c>
      <c r="E16" s="2"/>
      <c r="F16" s="2" t="s">
        <v>265</v>
      </c>
      <c r="G16" s="2" t="s">
        <v>266</v>
      </c>
      <c r="H16" s="2" t="s">
        <v>267</v>
      </c>
      <c r="I16" s="2" t="s">
        <v>12</v>
      </c>
      <c r="J16" s="2" t="s">
        <v>9</v>
      </c>
      <c r="K16" s="1">
        <v>16</v>
      </c>
      <c r="L16" s="5" t="s">
        <v>284</v>
      </c>
      <c r="M16" s="2"/>
      <c r="N16" s="4"/>
      <c r="O16" s="1">
        <v>1</v>
      </c>
      <c r="P16" s="1"/>
      <c r="Q16" s="1"/>
      <c r="R16" s="5"/>
      <c r="S16" s="5"/>
      <c r="T16" s="5"/>
      <c r="U16" s="5"/>
      <c r="V16" s="1"/>
      <c r="W16" s="1"/>
      <c r="X16" s="7" t="s">
        <v>269</v>
      </c>
      <c r="Y16" s="7" t="str">
        <f>+LOOKUP(B16,ITINERARY!C$2:C$32,ITINERARY!B$2:B$32)</f>
        <v>[Isabela (Tintoreras islet am / Humedales pm) - Oeste,Santa Cruz (Cerro Dragón am / Punta Carrión pm) - Oeste,Santa Cruz (Highlands am) / Transfer aeropuerto - Oeste / Baltra transfer barco am / Santa Cruz (Parte alta pm) - Este,Floreana (Post Office Bay am / Punta Cormorant &amp; Corona del Diablo pm) - Este,Española (Suarez Point am / Gardner Bay pm) - Este,San Cristóbal (Kicker Rock am / Centro de Interpretación Gianny Arismendi pm) - Este,Santa Fe am / Plazas Sur pm - Este,Genovesa (Prince Phillip´s Steps am / Darwin Bay pm) -Este,Santiago (Sullivan Bay am) / Rábida pm - Este,Santa Cruz (Caleta Tortuga Negra am) / Transfer aeropueto - Este / Transfer barco am / Santa Cruz (Bachas pm) - Oeste,Seymour Norte am / Bartolomé pm - Oeste,Santiago (Puerto Egas am / Espumilla Beach &amp; Bucaneer Cove pm) - Oeste,Isabela (Tagus Cove am) / Fernandina (Punta Espinoza pm) - Oeste,Isabela (Punta Moreno am / Elizabeth Bay pm) - Oeste]</v>
      </c>
    </row>
    <row r="17" spans="1:25" ht="28.2" customHeight="1">
      <c r="A17">
        <v>16</v>
      </c>
      <c r="B17" s="2" t="s">
        <v>74</v>
      </c>
      <c r="C17" s="2" t="s">
        <v>13</v>
      </c>
      <c r="D17" s="2" t="s">
        <v>35</v>
      </c>
      <c r="E17" s="2"/>
      <c r="F17" s="2" t="s">
        <v>355</v>
      </c>
      <c r="G17" s="2" t="s">
        <v>356</v>
      </c>
      <c r="H17" s="2" t="s">
        <v>205</v>
      </c>
      <c r="I17" s="2" t="s">
        <v>12</v>
      </c>
      <c r="J17" s="2" t="s">
        <v>9</v>
      </c>
      <c r="K17" s="1">
        <v>16</v>
      </c>
      <c r="L17" s="6" t="s">
        <v>75</v>
      </c>
      <c r="M17" s="4" t="s">
        <v>491</v>
      </c>
      <c r="N17" s="4" t="s">
        <v>522</v>
      </c>
      <c r="O17" s="1">
        <v>1</v>
      </c>
      <c r="P17" s="1">
        <v>9</v>
      </c>
      <c r="Q17" s="1" t="s">
        <v>8</v>
      </c>
      <c r="R17" s="5"/>
      <c r="S17" s="5"/>
      <c r="T17" s="5"/>
      <c r="U17" s="5"/>
      <c r="V17" s="1"/>
      <c r="W17" s="1"/>
      <c r="X17" s="8" t="s">
        <v>537</v>
      </c>
      <c r="Y17" s="7" t="str">
        <f>+LOOKUP(B17,ITINERARY!C$2:C$32,ITINERARY!B$2:B$32)</f>
        <v>[San Cristóbal Kicker Rock AM / Transfer to airport (8D B OUT)
San Cristobal Transfer to boat AM / El Junco Lagoon PM (8D A IN),Floreana Post office Bay + Baroness Viewing Point AM / Cormorant Point  + Devil´s Crown PM  (8D A),Española Suarez Point + Garner Bay + Osborn Islet, Gardner Bay PM (8D A),Santa Cruz Twin Craters AM / Fausto Llerena Breeding Center PM (8D A),Genovesa  El Barranco AM / Darwin Bay PM (8D A),Rabida island AM / Chiness Hat PM (8D A),San Cristobal Witch Hill AM / Lobos island PM (8D A),San Cristobal Gianni Arismendi Interpretation Center / Transfer to airport AM (8D A OUT)
San Cristóbal  Transfer to boat / David Rodriguez Breeding Center PM (8D B IN) ,North Seymour  AM / Santa Cruz Black Turtle Cove PM (8D B),Bartolomé  AM / Santiago Egas Port PM (8D B),Isabela Tagus Cove AM  / Urbina Bay PM (8D B),Fernandina Espinoza Point  AM / isabela Vicente Roca Point PM (8D B),Santiago Buccaneer Cove + Espumilla beach AM  / Sullivan bay PM (8D B),Santa Cruz Bachas Beach AM / Tortoise Breeding Center PM (8D B)]</v>
      </c>
    </row>
    <row r="18" spans="1:25" ht="28.2" customHeight="1">
      <c r="A18">
        <v>17</v>
      </c>
      <c r="B18" s="3" t="s">
        <v>200</v>
      </c>
      <c r="C18" s="2" t="s">
        <v>13</v>
      </c>
      <c r="D18" s="2" t="s">
        <v>36</v>
      </c>
      <c r="E18" s="2"/>
      <c r="F18" s="2" t="s">
        <v>377</v>
      </c>
      <c r="G18" s="2"/>
      <c r="H18" s="4" t="s">
        <v>378</v>
      </c>
      <c r="I18" s="2" t="s">
        <v>11</v>
      </c>
      <c r="J18" s="2" t="s">
        <v>10</v>
      </c>
      <c r="K18" s="1">
        <v>16</v>
      </c>
      <c r="L18" s="5" t="s">
        <v>386</v>
      </c>
      <c r="M18" s="2"/>
      <c r="N18" s="4"/>
      <c r="O18" s="1">
        <v>2</v>
      </c>
      <c r="P18" s="1">
        <v>7</v>
      </c>
      <c r="Q18" s="1"/>
      <c r="R18" s="5"/>
      <c r="S18" s="5"/>
      <c r="T18" s="5"/>
      <c r="U18" s="5"/>
      <c r="V18" s="1"/>
      <c r="W18" s="1"/>
      <c r="X18" s="7" t="s">
        <v>77</v>
      </c>
      <c r="Y18" s="7" t="str">
        <f>+LOOKUP(B18,ITINERARY!C$2:C$32,ITINERARY!B$2:B$32)</f>
        <v>[San Cristóbal Transfer to boat / Isla Lobos PM,Santa Cruz Punta Carrión AM / North Seymour land visit PM,Wolf island,Wolf island AM / Darwin island PM,Darwin island ,Wolf island,Santiago Cousin's Rock AM / Santa Cruz Highlands PM,San Cristóbal Transfer to airport,,,,,,]</v>
      </c>
    </row>
    <row r="19" spans="1:25" ht="28.2" customHeight="1">
      <c r="A19">
        <v>18</v>
      </c>
      <c r="B19" s="2" t="s">
        <v>79</v>
      </c>
      <c r="C19" s="2" t="s">
        <v>13</v>
      </c>
      <c r="D19" s="2" t="s">
        <v>35</v>
      </c>
      <c r="E19" s="2"/>
      <c r="F19" s="2" t="s">
        <v>358</v>
      </c>
      <c r="G19" s="2" t="s">
        <v>359</v>
      </c>
      <c r="H19" s="2" t="s">
        <v>205</v>
      </c>
      <c r="I19" s="2" t="s">
        <v>12</v>
      </c>
      <c r="J19" s="2" t="s">
        <v>9</v>
      </c>
      <c r="K19" s="1">
        <v>20</v>
      </c>
      <c r="L19" s="6" t="s">
        <v>550</v>
      </c>
      <c r="M19" s="4" t="s">
        <v>548</v>
      </c>
      <c r="N19" s="4" t="s">
        <v>549</v>
      </c>
      <c r="O19" s="1">
        <v>2</v>
      </c>
      <c r="P19" s="1">
        <v>11</v>
      </c>
      <c r="Q19" s="1" t="s">
        <v>8</v>
      </c>
      <c r="R19" s="5"/>
      <c r="S19" s="5"/>
      <c r="T19" s="5"/>
      <c r="U19" s="5"/>
      <c r="V19" s="1"/>
      <c r="W19" s="1"/>
      <c r="X19" s="8" t="s">
        <v>551</v>
      </c>
      <c r="Y19" s="7" t="str">
        <f>+LOOKUP(B19,ITINERARY!C$2:C$32,ITINERARY!B$2:B$32)</f>
        <v>[Santiago Egas Port AM  / Bartolomé PM (8D B),Baltra Transfer to boat / Santa Cruz Black Turtle Cove PM (8D A IN)
North Seymour AM / Transfer to airport (8D B OUT),Genovesa Barranco AM  / Darwin Bay PM (8D A),Santiago Sullivan Bay AM / Rábida PM  (8D A),Santa Cruz  Breeding Center AM / Highlands PM (8D A),Santa Cruz  Dragon Hill  AM / Bachas Beach PM (8D A),Floreana Post Office Bay AM / Cormorant Point + Devil's Crown PM (8D A),Española Suárez Point AM / Gardner Bay PM (8D A),San Cristobal  Gianni Arismendi Interpretation Center  AM / Transfer to airport (8D A OUT)
San Cristóbal Transfer to boat / Breeding Center or Puerto Chino PM (8D B IN),Santa Fe AM / South plaza PM (8D B),Santa Cruz Fausto Lleran Breeding Center  AM / Twin Craters  PM (8D B),Isabela Moreno Point AM /  Elizabeth Bay PM (8D B),Isabela Urbina Bay AM  / Tagus Cove PM (8D B),Fernandina Espinoza Point AM  / Isabela Viente Roca Point PM (8D B)]</v>
      </c>
    </row>
    <row r="20" spans="1:25" ht="28.2" customHeight="1">
      <c r="A20">
        <v>19</v>
      </c>
      <c r="B20" s="2" t="s">
        <v>17</v>
      </c>
      <c r="C20" s="2" t="s">
        <v>13</v>
      </c>
      <c r="D20" s="2" t="s">
        <v>35</v>
      </c>
      <c r="E20" s="2"/>
      <c r="F20" s="2" t="s">
        <v>38</v>
      </c>
      <c r="G20" s="2" t="s">
        <v>18</v>
      </c>
      <c r="H20" s="4" t="s">
        <v>19</v>
      </c>
      <c r="I20" s="2" t="s">
        <v>12</v>
      </c>
      <c r="J20" s="2" t="s">
        <v>9</v>
      </c>
      <c r="K20" s="1">
        <v>16</v>
      </c>
      <c r="L20" s="5" t="s">
        <v>34</v>
      </c>
      <c r="M20" s="2"/>
      <c r="N20" s="4"/>
      <c r="O20" s="1">
        <v>1</v>
      </c>
      <c r="P20" s="1"/>
      <c r="Q20" s="1" t="s">
        <v>8</v>
      </c>
      <c r="R20" s="5"/>
      <c r="S20" s="5"/>
      <c r="T20" s="5"/>
      <c r="U20" s="5"/>
      <c r="V20" s="1"/>
      <c r="W20" s="1"/>
      <c r="X20" s="8" t="s">
        <v>208</v>
      </c>
      <c r="Y20" s="7" t="str">
        <f>+LOOKUP(B20,ITINERARY!C$2:C$32,ITINERARY!B$2:B$32)</f>
        <v>[Isabela - Oeste,ISABELA, FERNANDINA - OESTE,ISABELA - OESTE,SANTIAGO - OESTE,SEYMOUR NORTE, SANTA CRUZ - OESTE,BALTRA - OESTE / PUERTO AYORA - ESTE,ESPAÑOLA - ESTE,SAN CRISTÓBAL - ESTE,SANTA FE,  PLAZAS - ESTE,GENOVESA - ESTE,SANTIAGO, BARTOLOMÉ - ESTE,RÁBIDA, SOMBRERO CHINO - ESTE,BALTRA - ESTE / PUERTO AYORA - OESTE ,FLOREANA - OESTE]</v>
      </c>
    </row>
    <row r="21" spans="1:25" ht="28.2" customHeight="1">
      <c r="A21">
        <v>20</v>
      </c>
      <c r="B21" s="2" t="s">
        <v>133</v>
      </c>
      <c r="C21" s="2" t="s">
        <v>13</v>
      </c>
      <c r="D21" s="2" t="s">
        <v>35</v>
      </c>
      <c r="E21" s="2"/>
      <c r="F21" s="4" t="s">
        <v>416</v>
      </c>
      <c r="G21" s="2" t="s">
        <v>414</v>
      </c>
      <c r="H21" s="2" t="s">
        <v>415</v>
      </c>
      <c r="I21" s="2" t="s">
        <v>12</v>
      </c>
      <c r="J21" s="2" t="s">
        <v>9</v>
      </c>
      <c r="K21" s="1">
        <v>40</v>
      </c>
      <c r="L21" s="6" t="s">
        <v>134</v>
      </c>
      <c r="M21" s="4" t="s">
        <v>577</v>
      </c>
      <c r="N21" s="4" t="s">
        <v>596</v>
      </c>
      <c r="O21" s="1"/>
      <c r="P21" s="1"/>
      <c r="Q21" s="1" t="s">
        <v>7</v>
      </c>
      <c r="R21" s="5"/>
      <c r="S21" s="5"/>
      <c r="T21" s="5"/>
      <c r="U21" s="5"/>
      <c r="V21" s="1"/>
      <c r="W21" s="1"/>
      <c r="X21" s="8" t="s">
        <v>587</v>
      </c>
      <c r="Y21" s="7" t="str">
        <f>+LOOKUP(B21,ITINERARY!C$2:C$32,ITINERARY!B$2:B$32)</f>
        <v>[,,,,Baltra Transfer to boat / Santa Cruz Bachas PM (7D SE IN),San Cristobal Punta Pitt  AM / Cerro Colorado Breeding Center PM,Española Gardner Bay AM / Punta Suárez PM,Floreana  Punta Cormorant AM / Post Office Bay PM,Isabela  Moreno Point AM / Fernandina Mangle Point PM,Eden Islet AM / North Seymour PM,Baltra Transfer to airport (7D SE OUT),,,]</v>
      </c>
    </row>
    <row r="22" spans="1:25" ht="28.2" customHeight="1">
      <c r="A22">
        <v>21</v>
      </c>
      <c r="B22" s="2" t="s">
        <v>115</v>
      </c>
      <c r="C22" s="2" t="s">
        <v>13</v>
      </c>
      <c r="D22" s="2" t="s">
        <v>35</v>
      </c>
      <c r="E22" s="2"/>
      <c r="F22" s="2" t="s">
        <v>413</v>
      </c>
      <c r="G22" s="2" t="s">
        <v>414</v>
      </c>
      <c r="H22" s="2" t="s">
        <v>415</v>
      </c>
      <c r="I22" s="2" t="s">
        <v>12</v>
      </c>
      <c r="J22" s="2" t="s">
        <v>9</v>
      </c>
      <c r="K22" s="1">
        <v>48</v>
      </c>
      <c r="L22" s="6" t="s">
        <v>116</v>
      </c>
      <c r="M22" s="4" t="s">
        <v>577</v>
      </c>
      <c r="N22" s="4" t="s">
        <v>595</v>
      </c>
      <c r="O22" s="1"/>
      <c r="P22" s="1"/>
      <c r="Q22" s="1" t="s">
        <v>7</v>
      </c>
      <c r="R22" s="5"/>
      <c r="S22" s="5"/>
      <c r="T22" s="5"/>
      <c r="U22" s="5"/>
      <c r="V22" s="1"/>
      <c r="W22" s="1"/>
      <c r="X22" s="8" t="s">
        <v>569</v>
      </c>
      <c r="Y22" s="7" t="str">
        <f>+LOOKUP(B22,ITINERARY!C$2:C$32,ITINERARY!B$2:B$32)</f>
        <v>[,,,,Baltra Transfer to boat / North Seymour PM (7D IN),Isabela Vicente Roca Point AM  / Fernandina Espinoza Point PM,Isabela Urbina Bay AM / Tagus Cove PM,Rabida Red Beach AM / Santa Cruz Dragon Hill PM,Santa Cruz Charles Darwin Research StationAM  / Highlands PM,Floreana Post Office Bay AM / Punta Cormorant + Champion islet PM,Baltra Transfer to airport (7D W OUT),,,]</v>
      </c>
    </row>
    <row r="23" spans="1:25" ht="28.2" customHeight="1">
      <c r="A23">
        <v>22</v>
      </c>
      <c r="B23" s="2" t="s">
        <v>171</v>
      </c>
      <c r="C23" s="2" t="s">
        <v>13</v>
      </c>
      <c r="D23" s="2" t="s">
        <v>35</v>
      </c>
      <c r="E23" s="2"/>
      <c r="F23" s="4" t="s">
        <v>421</v>
      </c>
      <c r="G23" s="2" t="s">
        <v>422</v>
      </c>
      <c r="H23" s="2" t="s">
        <v>423</v>
      </c>
      <c r="I23" s="2" t="s">
        <v>12</v>
      </c>
      <c r="J23" s="2" t="s">
        <v>9</v>
      </c>
      <c r="K23" s="1">
        <v>112</v>
      </c>
      <c r="L23" s="5" t="s">
        <v>172</v>
      </c>
      <c r="M23" s="2"/>
      <c r="N23" s="4"/>
      <c r="O23" s="1"/>
      <c r="P23" s="1"/>
      <c r="Q23" s="1"/>
      <c r="R23" s="5"/>
      <c r="S23" s="5"/>
      <c r="T23" s="5"/>
      <c r="U23" s="5"/>
      <c r="V23" s="1"/>
      <c r="W23" s="1"/>
      <c r="X23" s="8" t="s">
        <v>77</v>
      </c>
      <c r="Y23" s="7" t="str">
        <f>+LOOKUP(B23,ITINERARY!C$2:C$32,ITINERARY!B$2:B$32)</f>
        <v>[Eden Islet / Santa Cruz (Highlands),Genovesa,Santa Cruz (Dragon Hill) / Santa Fe,Santa Cruz (Bachas / Mosquera Islet),Santiago (Egas Port) / Rábida,Isabela (Urbina Bay / Tagus Cove),Fernandina (Espinoza Point) / Isabela (Vicente Roca Point),Santa Cruz (Highlands) / Bartolomé,South Plaza / North Seymour,San Cristobal (Pitt Point / Witch Hill),San Cristobal (Cerro Colorado Breeding Center / Interpretation Center),Española,Floreana,Santa Cruz (Charles Darwin Station / Highlands)]</v>
      </c>
    </row>
    <row r="24" spans="1:25" ht="28.2" customHeight="1">
      <c r="A24">
        <v>23</v>
      </c>
      <c r="B24" s="3" t="s">
        <v>357</v>
      </c>
      <c r="C24" s="2" t="s">
        <v>16</v>
      </c>
      <c r="D24" s="2" t="s">
        <v>37</v>
      </c>
      <c r="E24" s="2"/>
      <c r="F24" s="2" t="s">
        <v>227</v>
      </c>
      <c r="G24" s="2" t="s">
        <v>228</v>
      </c>
      <c r="H24" s="2" t="s">
        <v>228</v>
      </c>
      <c r="I24" s="2" t="s">
        <v>12</v>
      </c>
      <c r="J24" s="2" t="s">
        <v>9</v>
      </c>
      <c r="K24" s="1">
        <v>24</v>
      </c>
      <c r="L24" s="5" t="s">
        <v>244</v>
      </c>
      <c r="M24" s="2"/>
      <c r="N24" s="4"/>
      <c r="O24" s="1">
        <v>2</v>
      </c>
      <c r="P24" s="1">
        <v>6</v>
      </c>
      <c r="Q24" s="1"/>
      <c r="R24" s="5"/>
      <c r="S24" s="5"/>
      <c r="T24" s="5"/>
      <c r="U24" s="5"/>
      <c r="V24" s="1"/>
      <c r="W24" s="1"/>
      <c r="X24" s="8" t="s">
        <v>208</v>
      </c>
      <c r="Y24" s="7" t="str">
        <f>+LOOKUP(B24,ITINERARY!C$2:C$32,ITINERARY!B$2:B$32)</f>
        <v>[Bartholomew am / Chinese Hat islet pm - Este,Rabida am / Santa Cruz (Drangon Hill pm) - Este,Santa Cruz (Highlands am /  Fausto Llerena Breeding Center pm) - Este,South Plaza am  / Santa Fe pm,Española (Suarez Point am / Gardner Bay &amp; Osborn islet pm) - Este,Santa Cruz (Pitt Craters am) / Transfer to airport - Este /  Baltra arrival &amp; Transfer to boat am / Santa Cruz Highlands &amp; Fausto Llerena Breeding center pm - Oeste,Floreana (Cormorant Point &amp; Devil´s Crown am / Post Office Bay pm) - Oeste,Floreana (Black beach am / Asilo de la Paz pm) - Oeste,Isabela (Moreno Point am / Urbina Bay pm) - Oeste,Isabela (Tagus Cove am) / Fernandina (Espinoza Point pm) - Oeste,Santiago (Egas Port am / Bucaneer Cove &amp; Espumilla Beach pm) - Oeste,Santiago (Sullivan Bay am) / North Seymour pm - Oeste,Mosquera islet am / Transfer to Baltra - Oeste / Baltra arrival &amp; Transfer to boat am  / Santa Cruz (Black Turtle Cove pm) - Este,Genovesa (Darwin Bay am / Barranco pm) - Este]</v>
      </c>
    </row>
    <row r="25" spans="1:25" ht="28.2" customHeight="1">
      <c r="A25">
        <v>24</v>
      </c>
      <c r="B25" s="3" t="s">
        <v>197</v>
      </c>
      <c r="C25" s="2" t="s">
        <v>14</v>
      </c>
      <c r="D25" s="2" t="s">
        <v>36</v>
      </c>
      <c r="E25" s="2"/>
      <c r="F25" s="2" t="s">
        <v>312</v>
      </c>
      <c r="G25" s="2"/>
      <c r="H25" s="2" t="s">
        <v>313</v>
      </c>
      <c r="I25" s="2" t="s">
        <v>11</v>
      </c>
      <c r="J25" s="2" t="s">
        <v>9</v>
      </c>
      <c r="K25" s="1">
        <v>16</v>
      </c>
      <c r="L25" s="5" t="s">
        <v>331</v>
      </c>
      <c r="M25" s="2"/>
      <c r="N25" s="4"/>
      <c r="O25" s="1">
        <v>1</v>
      </c>
      <c r="P25" s="1"/>
      <c r="Q25" s="1" t="s">
        <v>8</v>
      </c>
      <c r="R25" s="5"/>
      <c r="S25" s="5"/>
      <c r="T25" s="5"/>
      <c r="U25" s="5"/>
      <c r="V25" s="1"/>
      <c r="W25" s="1"/>
      <c r="X25" s="7" t="s">
        <v>315</v>
      </c>
      <c r="Y25" s="7" t="str">
        <f>+LOOKUP(B25,ITINERARY!C$2:C$32,ITINERARY!B$2:B$32)</f>
        <v>[Floreana Post Office Bay AM / Cormorant Point &amp; Devil's Crown PM (8dB &amp; 4d &amp; 6dB),Santa Cruz Black Turtle Cove AM / Bartolomé PM (8dB) (5d IN solo Bartolomé) (4d &amp; 6dB OUT solo Black Turtle Cove),Genovesa Darwin Bay AM / El Barranco PM (8dB &amp; 5d),Santiago Espumilla Beach &amp; Bucaneer Cove AM / Puerto Egas PM (8dB &amp; 5d),Seymour Norte AM / Santa Cruz Highlands PM (8dB &amp; 5d),Baltra transfer to boat / Chinese Hat PM (8dA &amp; 6dA) - Mosquera Islet / Transfer to airport AM (8dB &amp; 5d),Isabela Vicente Roca Point AM / Fernandina Espinoza Point PM (8dA &amp; 6dA),Isabela Tagus Cove AM / Urbina Bay PM (8dA &amp; 6dA),Isabela Elizabeth Bay  AM / Moreno Point PM (8dA &amp; 6dA),Santa Cruz Charles Darwin Station AM / Highlands PM (8dA &amp; 6dA),South Plaza AM  / Santa Fe PM (8dA) (6dB IN solo Santa Fe) (6dA OUT solo South Plaza),Española Suarez Point AM / Gardner Bay &amp; Osborn Islet PM (8dA &amp; 6dB),San Cristóbal Centro de Interpretación / Transfer to airport AM (8dA) - San Cristóbal transfer to boat / Isla Lobos &amp; Kicker Rock PM (8dB &amp; 4d) (6dB itinerario completo),San Cristobal Pitt Point AM / Witch Hill PM (8dB &amp; 4d &amp; 6dB)]</v>
      </c>
    </row>
    <row r="26" spans="1:25" ht="28.2" customHeight="1">
      <c r="A26">
        <v>25</v>
      </c>
      <c r="B26" s="3" t="s">
        <v>204</v>
      </c>
      <c r="C26" s="2" t="s">
        <v>14</v>
      </c>
      <c r="D26" s="2" t="s">
        <v>35</v>
      </c>
      <c r="E26" s="2"/>
      <c r="F26" s="2" t="s">
        <v>431</v>
      </c>
      <c r="G26" s="2" t="s">
        <v>404</v>
      </c>
      <c r="H26" s="2" t="s">
        <v>404</v>
      </c>
      <c r="I26" s="2" t="s">
        <v>11</v>
      </c>
      <c r="J26" s="2" t="s">
        <v>9</v>
      </c>
      <c r="K26" s="1">
        <v>20</v>
      </c>
      <c r="L26" s="5" t="s">
        <v>447</v>
      </c>
      <c r="M26" s="2"/>
      <c r="N26" s="4"/>
      <c r="O26" s="1"/>
      <c r="P26" s="1"/>
      <c r="Q26" s="1"/>
      <c r="R26" s="5"/>
      <c r="S26" s="5"/>
      <c r="T26" s="5"/>
      <c r="U26" s="5"/>
      <c r="V26" s="1"/>
      <c r="W26" s="1"/>
      <c r="X26" s="7" t="s">
        <v>432</v>
      </c>
      <c r="Y26" s="7" t="str">
        <f>+LOOKUP(B26,ITINERARY!C$2:C$32,ITINERARY!B$2:B$32)</f>
        <v>[Genovesa Prince Phillip's Steps AM / Darwin Bay PM (B),Santa Cruz Bachas Beach or Black Turtle Cove AM / Cerro Dragón PM (B),Isabela Punta Vicente Roca o Elizabeth Bay AM / Urbina Bay PM (B),Fernandina Punta Espinosa AM / Isabela Tagus Cove PM (B),Rabida AM / Santiago Puerto Egas or Santa Cruz Black Turtle Cove PM (B),Santa Cruz Breeding Center  ECCD AM / Highlands PM (B),San Cristóbal Transfer to boat / Leon Dormido PM (A) - Centro de Interpretación / Transfer to airport (B),San Cristóbal Punta Pitt AM / Cerro Brujo PM (A),Española Punta Suárez &amp; Orborn islet AM / Gardner bay  &amp; Gardner islet PM (A),Floreana Punta Cormorant &amp; Devil's Crown AM / Post Office Bay &amp; La Baronesa Point PM (A),Santa Cruz Highlands AM / Centro de Crianza ECCD PM (A),Sombrero Chino &amp; Santa Cruz Bachas Beach or Black Turtle Cove AM / Bartolomé PM (A),South Plazas AM / North Seymour PM (A),San Cristóbal Centro de Interpretacion / Transfer to airport (A &amp; B) ]</v>
      </c>
    </row>
    <row r="27" spans="1:25" ht="28.2" customHeight="1">
      <c r="A27">
        <v>26</v>
      </c>
      <c r="B27" s="2" t="s">
        <v>88</v>
      </c>
      <c r="C27" s="2" t="s">
        <v>13</v>
      </c>
      <c r="D27" s="2" t="s">
        <v>35</v>
      </c>
      <c r="E27" s="2"/>
      <c r="F27" s="2" t="s">
        <v>399</v>
      </c>
      <c r="G27" s="2"/>
      <c r="H27" s="2" t="s">
        <v>400</v>
      </c>
      <c r="I27" s="2" t="s">
        <v>12</v>
      </c>
      <c r="J27" s="2" t="s">
        <v>9</v>
      </c>
      <c r="K27" s="1">
        <v>12</v>
      </c>
      <c r="L27" s="5" t="s">
        <v>100</v>
      </c>
      <c r="M27" s="2"/>
      <c r="N27" s="4"/>
      <c r="O27" s="1">
        <v>1</v>
      </c>
      <c r="P27" s="1"/>
      <c r="Q27" s="1"/>
      <c r="R27" s="5"/>
      <c r="S27" s="5"/>
      <c r="T27" s="5"/>
      <c r="U27" s="5"/>
      <c r="V27" s="1"/>
      <c r="W27" s="1"/>
      <c r="X27" s="8" t="s">
        <v>83</v>
      </c>
      <c r="Y27" s="7" t="str">
        <f>+LOOKUP(B27,ITINERARY!C$2:C$32,ITINERARY!B$2:B$32)</f>
        <v>[Floreana (Black Beach / Asilo de la  Paz ),Isabela (Moreno Point - Urbina Bay),Isabela (Tagus Cove) / Fernandina (Espinosa Point),Santiago (Egas Port / Espumilla Beach/ Buccaneer Cove),Santiago (Sullivan Bay) / North Seymour,Mosquera Islet / Santa Cruz (Black Turttle Cove),Genovesa,Bartolome / Chinesse Hat,Rabida / Santa Cruz (Dragon Hill),Santa Cruz (Highlands / Charles Darwin Station),South Plaza  / Santa Fe,Española,Santa Cruz (Twin Craters / Highlands Breeding Center,Floreana]</v>
      </c>
    </row>
    <row r="28" spans="1:25" ht="28.2" customHeight="1">
      <c r="A28">
        <v>27</v>
      </c>
      <c r="B28" s="3" t="s">
        <v>182</v>
      </c>
      <c r="C28" s="2" t="s">
        <v>14</v>
      </c>
      <c r="D28" s="2" t="s">
        <v>36</v>
      </c>
      <c r="E28" s="2"/>
      <c r="F28" s="2" t="s">
        <v>305</v>
      </c>
      <c r="G28" s="2" t="s">
        <v>305</v>
      </c>
      <c r="H28" s="2" t="s">
        <v>310</v>
      </c>
      <c r="I28" s="2" t="s">
        <v>11</v>
      </c>
      <c r="J28" s="2" t="s">
        <v>9</v>
      </c>
      <c r="K28" s="1">
        <v>16</v>
      </c>
      <c r="L28" s="5" t="s">
        <v>309</v>
      </c>
      <c r="M28" s="4" t="s">
        <v>456</v>
      </c>
      <c r="N28" s="4" t="s">
        <v>460</v>
      </c>
      <c r="O28" s="1">
        <v>1</v>
      </c>
      <c r="P28" s="1"/>
      <c r="Q28" s="1" t="s">
        <v>8</v>
      </c>
      <c r="R28" s="5"/>
      <c r="S28" s="5"/>
      <c r="T28" s="5"/>
      <c r="U28" s="5" t="s">
        <v>7</v>
      </c>
      <c r="V28" s="1"/>
      <c r="W28" s="1"/>
      <c r="X28" s="7" t="s">
        <v>478</v>
      </c>
      <c r="Y28" s="7" t="str">
        <f>+LOOKUP(B28,ITINERARY!C$2:C$32,ITINERARY!B$2:B$32)</f>
        <v>[Santa Cruz Centro de Crianza Fausto Llerena AM / Parte Alta PM (8D B) ,Santiago Sullivan Bay AM / Bartolomé PM (8DB),Genovesa Darwin Bay AM / Prince Phillip's Steps PM (8D B),Santiago Egas Port AM / Espumilla Beach &amp; Bucaneer Cove PM (8D B),Baltra transfer to boat AM / North Seymour PM (8D A) 
Santa Cruz Punta Carrion &amp; Transfer to airport AM (8D B),Isabela Vicente Roca Point AM / Fernandina Punta Espinosa PM (8D A),Isabela Tagus Cove AM / Urbina Bay PM (8D A),Isabela Elizabeth Bay AM / Punta Moreno PM (8D A),Isabela Sierra Negra AM /  Humedales + Centro de Crianza Arnaldo Tupiza PM (8D A),Santa Cruz Centro de Crianza Fausto Llerena AM / Gemelos PM (8D A),Plazas Sur AM / Santa Fe PM (8D A),San Cristóbal Isla Lobos / Transfer to airport AM (8D A OUT) 
San Cristóbal transfer to boat AM / Centro de Interpretación &amp; Galapaguera PM (8D B IN),Española Gardner Bay &amp; Osborn Islet AM / Suarez Point PM (8D B),Floreana Cormorant Point + Devil's Crown AM / Post Office Bay PM (8D B)]</v>
      </c>
    </row>
    <row r="29" spans="1:25" ht="28.2" customHeight="1">
      <c r="A29">
        <v>28</v>
      </c>
      <c r="B29" s="3" t="s">
        <v>193</v>
      </c>
      <c r="C29" s="2" t="s">
        <v>13</v>
      </c>
      <c r="D29" s="2" t="s">
        <v>36</v>
      </c>
      <c r="E29" s="2"/>
      <c r="F29" s="2" t="s">
        <v>38</v>
      </c>
      <c r="G29" s="2" t="s">
        <v>18</v>
      </c>
      <c r="H29" s="2" t="s">
        <v>205</v>
      </c>
      <c r="I29" s="2" t="s">
        <v>12</v>
      </c>
      <c r="J29" s="2" t="s">
        <v>9</v>
      </c>
      <c r="K29" s="1">
        <v>16</v>
      </c>
      <c r="L29" s="5" t="s">
        <v>224</v>
      </c>
      <c r="M29" s="2"/>
      <c r="N29" s="4"/>
      <c r="O29" s="1">
        <v>1</v>
      </c>
      <c r="P29" s="1"/>
      <c r="Q29" s="1"/>
      <c r="R29" s="5"/>
      <c r="S29" s="5"/>
      <c r="T29" s="5"/>
      <c r="U29" s="5"/>
      <c r="V29" s="1"/>
      <c r="W29" s="1"/>
      <c r="X29" s="8" t="s">
        <v>208</v>
      </c>
      <c r="Y29" s="7" t="str">
        <f>+LOOKUP(B29,ITINERARY!C$2:C$32,ITINERARY!B$2:B$32)</f>
        <v>[Isabela (Punta Moreno am / Elizabethe Bay pm) - Oeste,Isabela (Urbina Bay am) / Fernandina (Punta Espinoza pm) - Oeste,Isabela (Tagus Cove am / Vicente Roca Point pm) - Oeste,Santiago (Espumilla Beach or Bucaneer Cove am / Puerto Egas pm) - Oeste,Santa Cruz (Bachas am) / North Seymour pm - Oeste,Transfer Baltra - Oeste / Santa Cruz (Breeding Center pm) - Este,Española (Garner Bay / Gardner Islet / Osborn Islet am / Suarez Point pm) - Este,San Cristobal (Lobos Island / Kicker Rock am / Pitt Point pm) - Este,Santa Fe am / South Plazas pm - Este,Genovesa (Darwin Bay am / El Barranco pm) - Este,Santiago (Sullivan Bay am) / Bartholomew Island pm - Este,Rabida Island am / Chinese Hat Islet pm,Transfer to Baltra - Este /  Transfer to boat / Twin Craters pm - Oeste,Floreana (Cormorant Point / Champion Islet am / Post Office Bay pm) - Oeste]</v>
      </c>
    </row>
    <row r="30" spans="1:25" ht="28.2" customHeight="1">
      <c r="A30">
        <v>29</v>
      </c>
      <c r="B30" s="2" t="s">
        <v>121</v>
      </c>
      <c r="C30" s="2" t="s">
        <v>13</v>
      </c>
      <c r="D30" s="2" t="s">
        <v>35</v>
      </c>
      <c r="E30" s="2"/>
      <c r="F30" s="4" t="s">
        <v>416</v>
      </c>
      <c r="G30" s="2" t="s">
        <v>414</v>
      </c>
      <c r="H30" s="2" t="s">
        <v>415</v>
      </c>
      <c r="I30" s="2" t="s">
        <v>12</v>
      </c>
      <c r="J30" s="2" t="s">
        <v>9</v>
      </c>
      <c r="K30" s="1">
        <v>90</v>
      </c>
      <c r="L30" s="5" t="s">
        <v>132</v>
      </c>
      <c r="M30" s="2"/>
      <c r="N30" s="4"/>
      <c r="O30" s="1"/>
      <c r="P30" s="1"/>
      <c r="Q30" s="1"/>
      <c r="R30" s="5"/>
      <c r="S30" s="5"/>
      <c r="T30" s="5"/>
      <c r="U30" s="5"/>
      <c r="V30" s="1"/>
      <c r="W30" s="1"/>
      <c r="X30" s="8" t="s">
        <v>77</v>
      </c>
      <c r="Y30" s="7" t="str">
        <f>+LOOKUP(B30,ITINERARY!C$2:C$32,ITINERARY!B$2:B$32)</f>
        <v>[Santa Cruz (Bachas),Santiago (Buccaneer Cove / Egas Port),Rábida / Bartolomé,Genovesa,Santa Cruz ( Giant Tortoise Reserve) / Mosquera Islet,San Cristobal (Cerro Colorado Breeding Center / Punta Pitt),Santa Fe / South Plaza,Santa Cruz (Charles Darwin Station / Highlands),Española,Eden Islet / North Seymour,Santa Cruz (Dragon Hill),Isabela (Vicente Roca Point) / Fernandina (Espinoza Point),Santa Cruz (Charles Darwin Station / Highlands),Floreana]</v>
      </c>
    </row>
    <row r="31" spans="1:25" ht="28.2" customHeight="1">
      <c r="A31">
        <v>30</v>
      </c>
      <c r="B31" s="2" t="s">
        <v>103</v>
      </c>
      <c r="C31" s="2" t="s">
        <v>13</v>
      </c>
      <c r="D31" s="2" t="s">
        <v>35</v>
      </c>
      <c r="E31" s="2"/>
      <c r="F31" s="2" t="s">
        <v>401</v>
      </c>
      <c r="G31" s="2" t="s">
        <v>402</v>
      </c>
      <c r="H31" s="2"/>
      <c r="I31" s="2" t="s">
        <v>12</v>
      </c>
      <c r="J31" s="2" t="s">
        <v>9</v>
      </c>
      <c r="K31" s="1">
        <v>12</v>
      </c>
      <c r="L31" s="5" t="s">
        <v>102</v>
      </c>
      <c r="M31" s="2"/>
      <c r="N31" s="4"/>
      <c r="O31" s="1">
        <v>1</v>
      </c>
      <c r="P31" s="1"/>
      <c r="Q31" s="1"/>
      <c r="R31" s="5"/>
      <c r="S31" s="5"/>
      <c r="T31" s="5"/>
      <c r="U31" s="5"/>
      <c r="V31" s="1"/>
      <c r="W31" s="1"/>
      <c r="X31" s="8" t="s">
        <v>77</v>
      </c>
      <c r="Y31" s="7" t="str">
        <f>+LOOKUP(B31,ITINERARY!C$2:C$32,ITINERARY!B$2:B$32)</f>
        <v>[San Cristobal ( Interpretation Center / Lobos island),San Cristobal (Pitt Point, Witch Hill, Kicker Rock),Española,Floreana,North Seymour / Bartolomé,Genovesa,South Plaza / Santa Fe,Santa Cruz (The Twins / El Chato / Highlands Breeding Center),Chinesse Hat / Rábida,Santiago (Espumilla Beach/ Buccaneer Cove / Egas Port),Fernandina (Espinoza Point) / Isabela (Tagus Cove),Isabela (Elizabeth Bay / Moreno Point),Isabela (Tintoreras / Volcano Chico / Wall of Tears / Breeding Center),Santa Cruz (Highlands / Tortuga Bay)]</v>
      </c>
    </row>
    <row r="32" spans="1:25" ht="28.2" customHeight="1">
      <c r="A32">
        <v>31</v>
      </c>
      <c r="B32" s="3" t="s">
        <v>203</v>
      </c>
      <c r="C32" s="2" t="s">
        <v>13</v>
      </c>
      <c r="D32" s="2" t="s">
        <v>35</v>
      </c>
      <c r="E32" s="2"/>
      <c r="F32" s="2"/>
      <c r="G32" s="2"/>
      <c r="H32" s="4" t="s">
        <v>378</v>
      </c>
      <c r="I32" s="2" t="s">
        <v>11</v>
      </c>
      <c r="J32" s="2" t="s">
        <v>10</v>
      </c>
      <c r="K32" s="1">
        <v>16</v>
      </c>
      <c r="L32" s="5" t="s">
        <v>429</v>
      </c>
      <c r="M32" s="2"/>
      <c r="N32" s="4"/>
      <c r="O32" s="1">
        <v>2</v>
      </c>
      <c r="P32" s="1">
        <v>9</v>
      </c>
      <c r="Q32" s="1"/>
      <c r="R32" s="5"/>
      <c r="S32" s="5"/>
      <c r="T32" s="5"/>
      <c r="U32" s="5"/>
      <c r="V32" s="1"/>
      <c r="W32" s="1"/>
      <c r="X32" s="7" t="s">
        <v>425</v>
      </c>
      <c r="Y32" s="7" t="str">
        <f>+LOOKUP(B32,ITINERARY!C$2:C$32,ITINERARY!B$2:B$32)</f>
        <v>[,,,,,Baltra Transfer to boat / Santa Cruz Punta Carrión PM,Baltra north AM / Seymour land visit PM,Wolf island,Darwin island,Wolf island,Fernandina Cabo Douglas AM / Isabela Punta Vicente Roca PM,Santiago Cousin's Rock AM / Santa Cruz Highlands PM (dinner on own),Baltra transfer to airport,]</v>
      </c>
    </row>
  </sheetData>
  <dataValidations count="1">
    <dataValidation type="list" allowBlank="1" showInputMessage="1" showErrorMessage="1" sqref="D2:D32 U2:U32 Q2:S32 I2:J32 C2 C21:C32" xr:uid="{24F6548D-2F15-45A3-B17E-1F777DB6CA5C}">
      <formula1>#REF!</formula1>
    </dataValidation>
  </dataValidations>
  <hyperlinks>
    <hyperlink ref="L5:L6" r:id="rId1" display="https://www.royalgalapagos.com/product/grand-majestic/" xr:uid="{952DFD8D-26C8-442A-881E-B7E069AF81D1}"/>
    <hyperlink ref="L7" r:id="rId2" xr:uid="{38AD02B9-1241-488A-A9BB-64525E112130}"/>
    <hyperlink ref="L19" r:id="rId3" xr:uid="{4B10010F-F687-4115-A379-7112CE95F5A2}"/>
    <hyperlink ref="L21" r:id="rId4" xr:uid="{B8106C90-84F7-423A-87F0-02C4F55419BB}"/>
    <hyperlink ref="L22" r:id="rId5" xr:uid="{501C8BD0-E97E-4E6E-BAFA-7EC162C9E6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F461-CD40-4E0B-A1AA-C2C69C3A497A}">
  <dimension ref="A1:F81"/>
  <sheetViews>
    <sheetView workbookViewId="0">
      <selection activeCell="I10" sqref="I10"/>
    </sheetView>
  </sheetViews>
  <sheetFormatPr defaultRowHeight="15.6"/>
  <cols>
    <col min="1" max="1" width="18.59765625" style="2" bestFit="1" customWidth="1"/>
    <col min="2" max="2" width="8.5" style="2" bestFit="1" customWidth="1"/>
    <col min="3" max="3" width="61.09765625" style="7" bestFit="1" customWidth="1"/>
    <col min="4" max="4" width="60.69921875" style="7" bestFit="1" customWidth="1"/>
    <col min="5" max="5" width="15" style="8" bestFit="1" customWidth="1"/>
    <col min="6" max="6" width="26.09765625" style="8" bestFit="1" customWidth="1"/>
  </cols>
  <sheetData>
    <row r="1" spans="1:6">
      <c r="A1" s="16" t="s">
        <v>597</v>
      </c>
      <c r="B1" s="20" t="s">
        <v>624</v>
      </c>
      <c r="C1" s="17" t="s">
        <v>616</v>
      </c>
      <c r="D1" s="17" t="s">
        <v>617</v>
      </c>
      <c r="E1" s="18" t="s">
        <v>625</v>
      </c>
      <c r="F1" s="17" t="s">
        <v>618</v>
      </c>
    </row>
    <row r="2" spans="1:6" ht="31.2">
      <c r="A2" s="3" t="s">
        <v>198</v>
      </c>
      <c r="B2" s="3">
        <f>+LOOKUP(A2,CRUISE!B$2:B$32,CRUISE!A$2:A$32)</f>
        <v>1</v>
      </c>
      <c r="C2" s="7" t="s">
        <v>334</v>
      </c>
      <c r="E2" s="9">
        <v>8</v>
      </c>
      <c r="F2" s="8" t="s">
        <v>336</v>
      </c>
    </row>
    <row r="3" spans="1:6">
      <c r="A3" s="2" t="s">
        <v>146</v>
      </c>
      <c r="B3" s="3">
        <f>+LOOKUP(A3,CRUISE!B$2:B$32,CRUISE!A$2:A$32)</f>
        <v>2</v>
      </c>
      <c r="C3" s="7" t="s">
        <v>148</v>
      </c>
      <c r="E3" s="9">
        <v>9</v>
      </c>
    </row>
    <row r="4" spans="1:6">
      <c r="A4" s="3" t="s">
        <v>199</v>
      </c>
      <c r="B4" s="3">
        <f>+LOOKUP(A4,CRUISE!B$2:B$32,CRUISE!A$2:A$32)</f>
        <v>3</v>
      </c>
      <c r="C4" s="7" t="s">
        <v>362</v>
      </c>
      <c r="E4" s="9">
        <v>10</v>
      </c>
      <c r="F4" s="8" t="s">
        <v>376</v>
      </c>
    </row>
    <row r="5" spans="1:6" ht="31.2">
      <c r="A5" s="3" t="s">
        <v>86</v>
      </c>
      <c r="B5" s="3">
        <f>+LOOKUP(A5,CRUISE!B$2:B$32,CRUISE!A$2:A$32)</f>
        <v>4</v>
      </c>
      <c r="C5" s="7" t="s">
        <v>449</v>
      </c>
      <c r="D5" s="7" t="s">
        <v>347</v>
      </c>
      <c r="E5" s="9">
        <v>8</v>
      </c>
      <c r="F5" s="8" t="s">
        <v>354</v>
      </c>
    </row>
    <row r="6" spans="1:6" ht="31.2">
      <c r="A6" s="3" t="s">
        <v>86</v>
      </c>
      <c r="B6" s="3">
        <f>+LOOKUP(A6,CRUISE!B$2:B$32,CRUISE!A$2:A$32)</f>
        <v>4</v>
      </c>
      <c r="C6" s="7" t="s">
        <v>452</v>
      </c>
      <c r="D6" s="7" t="s">
        <v>347</v>
      </c>
      <c r="E6" s="9">
        <v>8</v>
      </c>
    </row>
    <row r="7" spans="1:6" ht="31.2">
      <c r="A7" s="3" t="s">
        <v>86</v>
      </c>
      <c r="B7" s="3">
        <f>+LOOKUP(A7,CRUISE!B$2:B$32,CRUISE!A$2:A$32)</f>
        <v>4</v>
      </c>
      <c r="C7" s="7" t="s">
        <v>455</v>
      </c>
      <c r="D7" s="7" t="s">
        <v>347</v>
      </c>
      <c r="E7" s="9">
        <v>8</v>
      </c>
    </row>
    <row r="8" spans="1:6">
      <c r="A8" s="2" t="s">
        <v>137</v>
      </c>
      <c r="B8" s="3">
        <f>+LOOKUP(A8,CRUISE!B$2:B$32,CRUISE!A$2:A$32)</f>
        <v>5</v>
      </c>
      <c r="C8" s="7" t="s">
        <v>139</v>
      </c>
      <c r="E8" s="9">
        <v>8</v>
      </c>
      <c r="F8" s="8" t="s">
        <v>138</v>
      </c>
    </row>
    <row r="9" spans="1:6" ht="46.8">
      <c r="A9" s="2" t="s">
        <v>485</v>
      </c>
      <c r="B9" s="3">
        <f>+LOOKUP(A9,CRUISE!B$2:B$32,CRUISE!A$2:A$32)</f>
        <v>6</v>
      </c>
      <c r="C9" s="7" t="s">
        <v>479</v>
      </c>
      <c r="D9" s="7" t="s">
        <v>486</v>
      </c>
      <c r="E9" s="9">
        <v>2</v>
      </c>
      <c r="F9" s="10">
        <f>4445*0.8</f>
        <v>3556</v>
      </c>
    </row>
    <row r="10" spans="1:6" ht="46.8">
      <c r="A10" s="2" t="s">
        <v>485</v>
      </c>
      <c r="B10" s="3">
        <f>+LOOKUP(A10,CRUISE!B$2:B$32,CRUISE!A$2:A$32)</f>
        <v>6</v>
      </c>
      <c r="C10" s="7" t="s">
        <v>480</v>
      </c>
      <c r="D10" s="7" t="s">
        <v>486</v>
      </c>
      <c r="E10" s="9">
        <v>6</v>
      </c>
      <c r="F10" s="10">
        <f>3945*0.8</f>
        <v>3156</v>
      </c>
    </row>
    <row r="11" spans="1:6" ht="46.8">
      <c r="A11" s="2" t="s">
        <v>485</v>
      </c>
      <c r="B11" s="3">
        <f>+LOOKUP(A11,CRUISE!B$2:B$32,CRUISE!A$2:A$32)</f>
        <v>6</v>
      </c>
      <c r="C11" s="7" t="s">
        <v>481</v>
      </c>
      <c r="D11" s="7" t="s">
        <v>486</v>
      </c>
      <c r="E11" s="9">
        <v>8</v>
      </c>
      <c r="F11" s="10">
        <f>58450*0.8</f>
        <v>46760</v>
      </c>
    </row>
    <row r="12" spans="1:6" ht="46.8">
      <c r="A12" s="2" t="s">
        <v>485</v>
      </c>
      <c r="B12" s="3">
        <f>+LOOKUP(A12,CRUISE!B$2:B$32,CRUISE!A$2:A$32)</f>
        <v>6</v>
      </c>
      <c r="C12" s="7" t="s">
        <v>482</v>
      </c>
      <c r="D12" s="7" t="s">
        <v>486</v>
      </c>
      <c r="E12" s="9">
        <v>2</v>
      </c>
      <c r="F12" s="10">
        <f>5945*0.8</f>
        <v>4756</v>
      </c>
    </row>
    <row r="13" spans="1:6" ht="46.8">
      <c r="A13" s="2" t="s">
        <v>485</v>
      </c>
      <c r="B13" s="3">
        <f>+LOOKUP(A13,CRUISE!B$2:B$32,CRUISE!A$2:A$32)</f>
        <v>6</v>
      </c>
      <c r="C13" s="7" t="s">
        <v>483</v>
      </c>
      <c r="D13" s="7" t="s">
        <v>486</v>
      </c>
      <c r="E13" s="9">
        <v>6</v>
      </c>
      <c r="F13" s="10">
        <f>5245*0.8</f>
        <v>4196</v>
      </c>
    </row>
    <row r="14" spans="1:6" ht="46.8">
      <c r="A14" s="2" t="s">
        <v>485</v>
      </c>
      <c r="B14" s="3">
        <f>+LOOKUP(A14,CRUISE!B$2:B$32,CRUISE!A$2:A$32)</f>
        <v>6</v>
      </c>
      <c r="C14" s="7" t="s">
        <v>484</v>
      </c>
      <c r="D14" s="7" t="s">
        <v>486</v>
      </c>
      <c r="E14" s="9">
        <v>8</v>
      </c>
      <c r="F14" s="10">
        <f>78450*0.8</f>
        <v>62760</v>
      </c>
    </row>
    <row r="15" spans="1:6" ht="46.8">
      <c r="A15" s="2" t="s">
        <v>485</v>
      </c>
      <c r="B15" s="3">
        <f>+LOOKUP(A15,CRUISE!B$2:B$32,CRUISE!A$2:A$32)</f>
        <v>6</v>
      </c>
      <c r="C15" s="7" t="s">
        <v>487</v>
      </c>
      <c r="D15" s="7" t="s">
        <v>486</v>
      </c>
      <c r="E15" s="9">
        <v>2</v>
      </c>
      <c r="F15" s="10">
        <f>9145*0.8</f>
        <v>7316</v>
      </c>
    </row>
    <row r="16" spans="1:6" ht="46.8">
      <c r="A16" s="2" t="s">
        <v>485</v>
      </c>
      <c r="B16" s="3">
        <f>+LOOKUP(A16,CRUISE!B$2:B$32,CRUISE!A$2:A$32)</f>
        <v>6</v>
      </c>
      <c r="C16" s="7" t="s">
        <v>488</v>
      </c>
      <c r="D16" s="7" t="s">
        <v>486</v>
      </c>
      <c r="E16" s="9">
        <v>6</v>
      </c>
      <c r="F16" s="10">
        <f>8145*0.8</f>
        <v>6516</v>
      </c>
    </row>
    <row r="17" spans="1:6" ht="46.8">
      <c r="A17" s="2" t="s">
        <v>485</v>
      </c>
      <c r="B17" s="3">
        <f>+LOOKUP(A17,CRUISE!B$2:B$32,CRUISE!A$2:A$32)</f>
        <v>6</v>
      </c>
      <c r="C17" s="7" t="s">
        <v>489</v>
      </c>
      <c r="D17" s="7" t="s">
        <v>486</v>
      </c>
      <c r="E17" s="9">
        <v>8</v>
      </c>
      <c r="F17" s="10">
        <f>114450*0.8</f>
        <v>91560</v>
      </c>
    </row>
    <row r="18" spans="1:6" ht="31.2">
      <c r="A18" s="3" t="s">
        <v>196</v>
      </c>
      <c r="B18" s="3">
        <f>+LOOKUP(A18,CRUISE!B$2:B$32,CRUISE!A$2:A$32)</f>
        <v>7</v>
      </c>
      <c r="C18" s="7" t="s">
        <v>308</v>
      </c>
      <c r="E18" s="9">
        <v>8</v>
      </c>
      <c r="F18" s="8" t="s">
        <v>304</v>
      </c>
    </row>
    <row r="19" spans="1:6">
      <c r="A19" s="2" t="s">
        <v>57</v>
      </c>
      <c r="B19" s="3">
        <f>+LOOKUP(A19,CRUISE!B$2:B$32,CRUISE!A$2:A$32)</f>
        <v>8</v>
      </c>
      <c r="C19" s="7" t="s">
        <v>58</v>
      </c>
      <c r="E19" s="9">
        <v>9</v>
      </c>
      <c r="F19" s="8" t="s">
        <v>56</v>
      </c>
    </row>
    <row r="20" spans="1:6">
      <c r="A20" s="2" t="s">
        <v>39</v>
      </c>
      <c r="B20" s="3">
        <f>+LOOKUP(A20,CRUISE!B$2:B$32,CRUISE!A$2:A$32)</f>
        <v>9</v>
      </c>
      <c r="C20" s="7" t="s">
        <v>58</v>
      </c>
      <c r="E20" s="9">
        <v>9</v>
      </c>
      <c r="F20" s="8" t="s">
        <v>56</v>
      </c>
    </row>
    <row r="21" spans="1:6">
      <c r="A21" s="2" t="s">
        <v>158</v>
      </c>
      <c r="B21" s="3">
        <f>+LOOKUP(A21,CRUISE!B$2:B$32,CRUISE!A$2:A$32)</f>
        <v>10</v>
      </c>
      <c r="C21" s="7" t="s">
        <v>159</v>
      </c>
      <c r="E21" s="9">
        <v>16</v>
      </c>
      <c r="F21" s="8" t="s">
        <v>170</v>
      </c>
    </row>
    <row r="22" spans="1:6">
      <c r="A22" s="2" t="s">
        <v>184</v>
      </c>
      <c r="B22" s="3">
        <f>+LOOKUP(A22,CRUISE!B$2:B$32,CRUISE!A$2:A$32)</f>
        <v>11</v>
      </c>
      <c r="C22" s="7" t="s">
        <v>185</v>
      </c>
      <c r="E22" s="9">
        <v>47</v>
      </c>
      <c r="F22" s="8" t="s">
        <v>192</v>
      </c>
    </row>
    <row r="23" spans="1:6">
      <c r="A23" s="3" t="s">
        <v>201</v>
      </c>
      <c r="B23" s="3">
        <f>+LOOKUP(A23,CRUISE!B$2:B$32,CRUISE!A$2:A$32)</f>
        <v>12</v>
      </c>
      <c r="C23" s="7" t="s">
        <v>390</v>
      </c>
      <c r="E23" s="9">
        <v>9</v>
      </c>
      <c r="F23" s="8" t="s">
        <v>398</v>
      </c>
    </row>
    <row r="24" spans="1:6" ht="31.2">
      <c r="A24" s="3" t="s">
        <v>202</v>
      </c>
      <c r="B24" s="3">
        <f>+LOOKUP(A24,CRUISE!B$2:B$32,CRUISE!A$2:A$32)</f>
        <v>13</v>
      </c>
      <c r="C24" s="7" t="s">
        <v>405</v>
      </c>
      <c r="E24" s="9">
        <v>8</v>
      </c>
      <c r="F24" s="7" t="s">
        <v>412</v>
      </c>
    </row>
    <row r="25" spans="1:6">
      <c r="A25" s="3" t="s">
        <v>194</v>
      </c>
      <c r="B25" s="3">
        <f>+LOOKUP(A25,CRUISE!B$2:B$32,CRUISE!A$2:A$32)</f>
        <v>14</v>
      </c>
      <c r="C25" s="7" t="s">
        <v>247</v>
      </c>
      <c r="E25" s="9">
        <v>9</v>
      </c>
      <c r="F25" s="8" t="s">
        <v>264</v>
      </c>
    </row>
    <row r="26" spans="1:6" ht="46.8">
      <c r="A26" s="3" t="s">
        <v>195</v>
      </c>
      <c r="B26" s="3">
        <f>+LOOKUP(A26,CRUISE!B$2:B$32,CRUISE!A$2:A$32)</f>
        <v>15</v>
      </c>
      <c r="C26" s="7" t="s">
        <v>268</v>
      </c>
      <c r="E26" s="9">
        <v>8</v>
      </c>
      <c r="F26" s="8" t="s">
        <v>285</v>
      </c>
    </row>
    <row r="27" spans="1:6" ht="156">
      <c r="A27" s="2" t="s">
        <v>74</v>
      </c>
      <c r="B27" s="3">
        <f>+LOOKUP(A27,CRUISE!B$2:B$32,CRUISE!A$2:A$32)</f>
        <v>16</v>
      </c>
      <c r="C27" s="7" t="s">
        <v>509</v>
      </c>
      <c r="D27" s="7" t="s">
        <v>508</v>
      </c>
      <c r="E27" s="9">
        <v>8</v>
      </c>
      <c r="F27" s="10">
        <f>41450*0.8</f>
        <v>33160</v>
      </c>
    </row>
    <row r="28" spans="1:6" ht="156">
      <c r="A28" s="2" t="s">
        <v>74</v>
      </c>
      <c r="B28" s="3">
        <f>+LOOKUP(A28,CRUISE!B$2:B$32,CRUISE!A$2:A$32)</f>
        <v>16</v>
      </c>
      <c r="C28" s="7" t="s">
        <v>510</v>
      </c>
      <c r="D28" s="7" t="s">
        <v>508</v>
      </c>
      <c r="E28" s="9">
        <v>8</v>
      </c>
      <c r="F28" s="10">
        <f>45450*0.8</f>
        <v>36360</v>
      </c>
    </row>
    <row r="29" spans="1:6" ht="156">
      <c r="A29" s="2" t="s">
        <v>74</v>
      </c>
      <c r="B29" s="3">
        <f>+LOOKUP(A29,CRUISE!B$2:B$32,CRUISE!A$2:A$32)</f>
        <v>16</v>
      </c>
      <c r="C29" s="7" t="s">
        <v>511</v>
      </c>
      <c r="D29" s="7" t="s">
        <v>508</v>
      </c>
      <c r="E29" s="9">
        <v>8</v>
      </c>
      <c r="F29" s="10">
        <f>58450*0.8</f>
        <v>46760</v>
      </c>
    </row>
    <row r="30" spans="1:6" ht="156">
      <c r="A30" s="2" t="s">
        <v>74</v>
      </c>
      <c r="B30" s="3">
        <f>+LOOKUP(A30,CRUISE!B$2:B$32,CRUISE!A$2:A$32)</f>
        <v>16</v>
      </c>
      <c r="C30" s="7" t="s">
        <v>512</v>
      </c>
      <c r="D30" s="7" t="s">
        <v>508</v>
      </c>
      <c r="E30" s="9">
        <v>8</v>
      </c>
      <c r="F30" s="10">
        <f>63450*0.8</f>
        <v>50760</v>
      </c>
    </row>
    <row r="31" spans="1:6" ht="156">
      <c r="A31" s="2" t="s">
        <v>74</v>
      </c>
      <c r="B31" s="3">
        <f>+LOOKUP(A31,CRUISE!B$2:B$32,CRUISE!A$2:A$32)</f>
        <v>16</v>
      </c>
      <c r="C31" s="7" t="s">
        <v>514</v>
      </c>
      <c r="D31" s="7" t="s">
        <v>508</v>
      </c>
      <c r="E31" s="9">
        <v>8</v>
      </c>
      <c r="F31" s="10">
        <f>89450*0.8</f>
        <v>71560</v>
      </c>
    </row>
    <row r="32" spans="1:6" ht="156">
      <c r="A32" s="2" t="s">
        <v>74</v>
      </c>
      <c r="B32" s="3">
        <f>+LOOKUP(A32,CRUISE!B$2:B$32,CRUISE!A$2:A$32)</f>
        <v>16</v>
      </c>
      <c r="C32" s="7" t="s">
        <v>513</v>
      </c>
      <c r="D32" s="7" t="s">
        <v>508</v>
      </c>
      <c r="E32" s="9">
        <v>8</v>
      </c>
      <c r="F32" s="10">
        <f>100450*0.8</f>
        <v>80360</v>
      </c>
    </row>
    <row r="33" spans="1:6" ht="156">
      <c r="A33" s="2" t="s">
        <v>74</v>
      </c>
      <c r="B33" s="3">
        <f>+LOOKUP(A33,CRUISE!B$2:B$32,CRUISE!A$2:A$32)</f>
        <v>16</v>
      </c>
      <c r="C33" s="7" t="s">
        <v>515</v>
      </c>
      <c r="D33" s="7" t="s">
        <v>508</v>
      </c>
      <c r="E33" s="9">
        <v>8</v>
      </c>
      <c r="F33" s="10">
        <f>139450*0.8</f>
        <v>111560</v>
      </c>
    </row>
    <row r="34" spans="1:6" ht="156">
      <c r="A34" s="2" t="s">
        <v>74</v>
      </c>
      <c r="B34" s="3">
        <f>+LOOKUP(A34,CRUISE!B$2:B$32,CRUISE!A$2:A$32)</f>
        <v>16</v>
      </c>
      <c r="C34" s="7" t="s">
        <v>516</v>
      </c>
      <c r="D34" s="7" t="s">
        <v>508</v>
      </c>
      <c r="E34" s="9">
        <v>1</v>
      </c>
      <c r="F34" s="10">
        <f>3745*0.8</f>
        <v>2996</v>
      </c>
    </row>
    <row r="35" spans="1:6" ht="156">
      <c r="A35" s="2" t="s">
        <v>74</v>
      </c>
      <c r="B35" s="3">
        <f>+LOOKUP(A35,CRUISE!B$2:B$32,CRUISE!A$2:A$32)</f>
        <v>16</v>
      </c>
      <c r="C35" s="7" t="s">
        <v>517</v>
      </c>
      <c r="D35" s="7" t="s">
        <v>508</v>
      </c>
      <c r="E35" s="9">
        <v>7</v>
      </c>
      <c r="F35" s="10">
        <f>2945*0.8</f>
        <v>2356</v>
      </c>
    </row>
    <row r="36" spans="1:6" ht="156">
      <c r="A36" s="2" t="s">
        <v>74</v>
      </c>
      <c r="B36" s="3">
        <f>+LOOKUP(A36,CRUISE!B$2:B$32,CRUISE!A$2:A$32)</f>
        <v>16</v>
      </c>
      <c r="C36" s="7" t="s">
        <v>518</v>
      </c>
      <c r="D36" s="7" t="s">
        <v>508</v>
      </c>
      <c r="E36" s="9">
        <v>1</v>
      </c>
      <c r="F36" s="10">
        <f>5445*0.8</f>
        <v>4356</v>
      </c>
    </row>
    <row r="37" spans="1:6" ht="156">
      <c r="A37" s="2" t="s">
        <v>74</v>
      </c>
      <c r="B37" s="3">
        <f>+LOOKUP(A37,CRUISE!B$2:B$32,CRUISE!A$2:A$32)</f>
        <v>16</v>
      </c>
      <c r="C37" s="7" t="s">
        <v>519</v>
      </c>
      <c r="D37" s="7" t="s">
        <v>508</v>
      </c>
      <c r="E37" s="9">
        <v>7</v>
      </c>
      <c r="F37" s="10">
        <f>4245*0.8</f>
        <v>3396</v>
      </c>
    </row>
    <row r="38" spans="1:6" ht="156">
      <c r="A38" s="2" t="s">
        <v>74</v>
      </c>
      <c r="B38" s="3">
        <f>+LOOKUP(A38,CRUISE!B$2:B$32,CRUISE!A$2:A$32)</f>
        <v>16</v>
      </c>
      <c r="C38" s="7" t="s">
        <v>520</v>
      </c>
      <c r="D38" s="7" t="s">
        <v>508</v>
      </c>
      <c r="E38" s="9">
        <v>1</v>
      </c>
      <c r="F38" s="10">
        <f>8845*0.8</f>
        <v>7076</v>
      </c>
    </row>
    <row r="39" spans="1:6" ht="156">
      <c r="A39" s="2" t="s">
        <v>74</v>
      </c>
      <c r="B39" s="3">
        <f>+LOOKUP(A39,CRUISE!B$2:B$32,CRUISE!A$2:A$32)</f>
        <v>16</v>
      </c>
      <c r="C39" s="7" t="s">
        <v>521</v>
      </c>
      <c r="D39" s="7" t="s">
        <v>508</v>
      </c>
      <c r="E39" s="9">
        <v>7</v>
      </c>
      <c r="F39" s="10">
        <f>6345*0.8</f>
        <v>5076</v>
      </c>
    </row>
    <row r="40" spans="1:6" ht="31.2">
      <c r="A40" s="3" t="s">
        <v>200</v>
      </c>
      <c r="B40" s="3">
        <f>+LOOKUP(A40,CRUISE!B$2:B$32,CRUISE!A$2:A$32)</f>
        <v>17</v>
      </c>
      <c r="C40" s="7" t="s">
        <v>379</v>
      </c>
      <c r="E40" s="9">
        <v>8</v>
      </c>
      <c r="F40" s="8" t="s">
        <v>387</v>
      </c>
    </row>
    <row r="41" spans="1:6" ht="93.6">
      <c r="A41" s="2" t="s">
        <v>79</v>
      </c>
      <c r="B41" s="3">
        <f>+LOOKUP(A41,CRUISE!B$2:B$32,CRUISE!A$2:A$32)</f>
        <v>18</v>
      </c>
      <c r="C41" s="7" t="s">
        <v>539</v>
      </c>
      <c r="D41" s="7" t="s">
        <v>538</v>
      </c>
      <c r="E41" s="9">
        <v>8</v>
      </c>
      <c r="F41" s="10">
        <f>3845*0.8</f>
        <v>3076</v>
      </c>
    </row>
    <row r="42" spans="1:6" ht="93.6">
      <c r="A42" s="2" t="s">
        <v>79</v>
      </c>
      <c r="B42" s="3">
        <f>+LOOKUP(A42,CRUISE!B$2:B$32,CRUISE!A$2:A$32)</f>
        <v>18</v>
      </c>
      <c r="C42" s="7" t="s">
        <v>540</v>
      </c>
      <c r="D42" s="7" t="s">
        <v>538</v>
      </c>
      <c r="E42" s="9">
        <v>2</v>
      </c>
      <c r="F42" s="10">
        <f>4445*0.8</f>
        <v>3556</v>
      </c>
    </row>
    <row r="43" spans="1:6" ht="93.6">
      <c r="A43" s="2" t="s">
        <v>79</v>
      </c>
      <c r="B43" s="3">
        <f>+LOOKUP(A43,CRUISE!B$2:B$32,CRUISE!A$2:A$32)</f>
        <v>18</v>
      </c>
      <c r="C43" s="11" t="s">
        <v>541</v>
      </c>
      <c r="D43" s="7" t="s">
        <v>538</v>
      </c>
      <c r="E43" s="9">
        <v>10</v>
      </c>
      <c r="F43" s="10">
        <f>67450*0.8</f>
        <v>53960</v>
      </c>
    </row>
    <row r="44" spans="1:6" ht="93.6">
      <c r="A44" s="2" t="s">
        <v>79</v>
      </c>
      <c r="B44" s="3">
        <f>+LOOKUP(A44,CRUISE!B$2:B$32,CRUISE!A$2:A$32)</f>
        <v>18</v>
      </c>
      <c r="C44" s="7" t="s">
        <v>542</v>
      </c>
      <c r="D44" s="7" t="s">
        <v>538</v>
      </c>
      <c r="E44" s="9">
        <v>8</v>
      </c>
      <c r="F44" s="10">
        <f>5345*0.8</f>
        <v>4276</v>
      </c>
    </row>
    <row r="45" spans="1:6" ht="93.6">
      <c r="A45" s="2" t="s">
        <v>79</v>
      </c>
      <c r="B45" s="3">
        <f>+LOOKUP(A45,CRUISE!B$2:B$32,CRUISE!A$2:A$32)</f>
        <v>18</v>
      </c>
      <c r="C45" s="7" t="s">
        <v>543</v>
      </c>
      <c r="D45" s="7" t="s">
        <v>538</v>
      </c>
      <c r="E45" s="9">
        <v>2</v>
      </c>
      <c r="F45" s="10">
        <f>6045*0.8</f>
        <v>4836</v>
      </c>
    </row>
    <row r="46" spans="1:6" ht="93.6">
      <c r="A46" s="2" t="s">
        <v>79</v>
      </c>
      <c r="B46" s="3">
        <f>+LOOKUP(A46,CRUISE!B$2:B$32,CRUISE!A$2:A$32)</f>
        <v>18</v>
      </c>
      <c r="C46" s="11" t="s">
        <v>544</v>
      </c>
      <c r="D46" s="7" t="s">
        <v>538</v>
      </c>
      <c r="E46" s="9">
        <v>10</v>
      </c>
      <c r="F46" s="10">
        <f>93450*0.8</f>
        <v>74760</v>
      </c>
    </row>
    <row r="47" spans="1:6" ht="93.6">
      <c r="A47" s="2" t="s">
        <v>79</v>
      </c>
      <c r="B47" s="3">
        <f>+LOOKUP(A47,CRUISE!B$2:B$32,CRUISE!A$2:A$32)</f>
        <v>18</v>
      </c>
      <c r="C47" s="7" t="s">
        <v>545</v>
      </c>
      <c r="D47" s="7" t="s">
        <v>538</v>
      </c>
      <c r="E47" s="9">
        <v>8</v>
      </c>
      <c r="F47" s="10">
        <f>8145*0.8</f>
        <v>6516</v>
      </c>
    </row>
    <row r="48" spans="1:6" ht="93.6">
      <c r="A48" s="2" t="s">
        <v>79</v>
      </c>
      <c r="B48" s="3">
        <f>+LOOKUP(A48,CRUISE!B$2:B$32,CRUISE!A$2:A$32)</f>
        <v>18</v>
      </c>
      <c r="C48" s="7" t="s">
        <v>546</v>
      </c>
      <c r="D48" s="7" t="s">
        <v>538</v>
      </c>
      <c r="E48" s="9">
        <v>2</v>
      </c>
      <c r="F48" s="10">
        <f>9345*0.8</f>
        <v>7476</v>
      </c>
    </row>
    <row r="49" spans="1:6" ht="93.6">
      <c r="A49" s="2" t="s">
        <v>79</v>
      </c>
      <c r="B49" s="3">
        <f>+LOOKUP(A49,CRUISE!B$2:B$32,CRUISE!A$2:A$32)</f>
        <v>18</v>
      </c>
      <c r="C49" s="11" t="s">
        <v>547</v>
      </c>
      <c r="D49" s="7" t="s">
        <v>538</v>
      </c>
      <c r="E49" s="9">
        <v>10</v>
      </c>
      <c r="F49" s="10">
        <f>142450*0.8</f>
        <v>113960</v>
      </c>
    </row>
    <row r="50" spans="1:6">
      <c r="A50" s="2" t="s">
        <v>17</v>
      </c>
      <c r="B50" s="3">
        <f>+LOOKUP(A50,CRUISE!B$2:B$32,CRUISE!A$2:A$32)</f>
        <v>19</v>
      </c>
      <c r="C50" s="7" t="s">
        <v>20</v>
      </c>
      <c r="E50" s="9">
        <v>9</v>
      </c>
    </row>
    <row r="51" spans="1:6" ht="46.8">
      <c r="A51" s="2" t="s">
        <v>133</v>
      </c>
      <c r="B51" s="3">
        <f>+LOOKUP(A51,CRUISE!B$2:B$32,CRUISE!A$2:A$32)</f>
        <v>20</v>
      </c>
      <c r="C51" s="7" t="s">
        <v>578</v>
      </c>
      <c r="D51" s="7" t="s">
        <v>586</v>
      </c>
      <c r="E51" s="9">
        <v>1</v>
      </c>
      <c r="F51" s="10">
        <f>4405*0.85</f>
        <v>3744.25</v>
      </c>
    </row>
    <row r="52" spans="1:6" ht="46.8">
      <c r="A52" s="2" t="s">
        <v>133</v>
      </c>
      <c r="B52" s="3">
        <f>+LOOKUP(A52,CRUISE!B$2:B$32,CRUISE!A$2:A$32)</f>
        <v>20</v>
      </c>
      <c r="C52" s="7" t="s">
        <v>582</v>
      </c>
      <c r="D52" s="7" t="s">
        <v>586</v>
      </c>
      <c r="E52" s="9">
        <v>16</v>
      </c>
      <c r="F52" s="10">
        <f>4214*0.85</f>
        <v>3581.9</v>
      </c>
    </row>
    <row r="53" spans="1:6" ht="46.8">
      <c r="A53" s="2" t="s">
        <v>133</v>
      </c>
      <c r="B53" s="3">
        <f>+LOOKUP(A53,CRUISE!B$2:B$32,CRUISE!A$2:A$32)</f>
        <v>20</v>
      </c>
      <c r="C53" s="7" t="s">
        <v>583</v>
      </c>
      <c r="D53" s="7" t="s">
        <v>586</v>
      </c>
      <c r="E53" s="9">
        <v>2</v>
      </c>
      <c r="F53" s="10">
        <f>4214*0.85</f>
        <v>3581.9</v>
      </c>
    </row>
    <row r="54" spans="1:6" ht="46.8">
      <c r="A54" s="2" t="s">
        <v>133</v>
      </c>
      <c r="B54" s="3">
        <f>+LOOKUP(A54,CRUISE!B$2:B$32,CRUISE!A$2:A$32)</f>
        <v>20</v>
      </c>
      <c r="C54" s="7" t="s">
        <v>579</v>
      </c>
      <c r="D54" s="7" t="s">
        <v>586</v>
      </c>
      <c r="E54" s="9">
        <v>1</v>
      </c>
      <c r="F54" s="10">
        <f>3973*0.85</f>
        <v>3377.0499999999997</v>
      </c>
    </row>
    <row r="55" spans="1:6" ht="46.8">
      <c r="A55" s="2" t="s">
        <v>133</v>
      </c>
      <c r="B55" s="3">
        <f>+LOOKUP(A55,CRUISE!B$2:B$32,CRUISE!A$2:A$32)</f>
        <v>20</v>
      </c>
      <c r="C55" s="7" t="s">
        <v>580</v>
      </c>
      <c r="D55" s="7" t="s">
        <v>586</v>
      </c>
      <c r="E55" s="9">
        <v>1</v>
      </c>
      <c r="F55" s="10">
        <f>5940*0.85</f>
        <v>5049</v>
      </c>
    </row>
    <row r="56" spans="1:6" ht="46.8">
      <c r="A56" s="2" t="s">
        <v>133</v>
      </c>
      <c r="B56" s="3">
        <f>+LOOKUP(A56,CRUISE!B$2:B$32,CRUISE!A$2:A$32)</f>
        <v>20</v>
      </c>
      <c r="C56" s="7" t="s">
        <v>584</v>
      </c>
      <c r="D56" s="7" t="s">
        <v>586</v>
      </c>
      <c r="E56" s="9">
        <v>16</v>
      </c>
      <c r="F56" s="10">
        <f>5672*0.85</f>
        <v>4821.2</v>
      </c>
    </row>
    <row r="57" spans="1:6" ht="46.8">
      <c r="A57" s="2" t="s">
        <v>133</v>
      </c>
      <c r="B57" s="3">
        <f>+LOOKUP(A57,CRUISE!B$2:B$32,CRUISE!A$2:A$32)</f>
        <v>20</v>
      </c>
      <c r="C57" s="7" t="s">
        <v>585</v>
      </c>
      <c r="D57" s="7" t="s">
        <v>586</v>
      </c>
      <c r="E57" s="9">
        <v>2</v>
      </c>
      <c r="F57" s="10">
        <f>5672*0.85</f>
        <v>4821.2</v>
      </c>
    </row>
    <row r="58" spans="1:6" ht="46.8">
      <c r="A58" s="2" t="s">
        <v>133</v>
      </c>
      <c r="B58" s="3">
        <f>+LOOKUP(A58,CRUISE!B$2:B$32,CRUISE!A$2:A$32)</f>
        <v>20</v>
      </c>
      <c r="C58" s="7" t="s">
        <v>581</v>
      </c>
      <c r="D58" s="7" t="s">
        <v>586</v>
      </c>
      <c r="E58" s="9">
        <v>1</v>
      </c>
      <c r="F58" s="10">
        <f>5348*0.85</f>
        <v>4545.8</v>
      </c>
    </row>
    <row r="59" spans="1:6">
      <c r="A59" s="2" t="s">
        <v>115</v>
      </c>
      <c r="B59" s="3">
        <f>+LOOKUP(A59,CRUISE!B$2:B$32,CRUISE!A$2:A$32)</f>
        <v>21</v>
      </c>
      <c r="C59" s="7" t="s">
        <v>567</v>
      </c>
      <c r="D59" s="7" t="s">
        <v>566</v>
      </c>
      <c r="E59" s="9">
        <v>24</v>
      </c>
      <c r="F59" s="10">
        <f>5225*0.85</f>
        <v>4441.25</v>
      </c>
    </row>
    <row r="60" spans="1:6">
      <c r="A60" s="2" t="s">
        <v>115</v>
      </c>
      <c r="B60" s="3">
        <f>+LOOKUP(A60,CRUISE!B$2:B$32,CRUISE!A$2:A$32)</f>
        <v>21</v>
      </c>
      <c r="C60" s="7" t="s">
        <v>568</v>
      </c>
      <c r="D60" s="7" t="s">
        <v>566</v>
      </c>
      <c r="E60" s="9">
        <v>24</v>
      </c>
      <c r="F60" s="10">
        <f>7001*0.85</f>
        <v>5950.8499999999995</v>
      </c>
    </row>
    <row r="61" spans="1:6">
      <c r="A61" s="2" t="s">
        <v>171</v>
      </c>
      <c r="B61" s="3">
        <f>+LOOKUP(A61,CRUISE!B$2:B$32,CRUISE!A$2:A$32)</f>
        <v>22</v>
      </c>
      <c r="C61" s="7" t="s">
        <v>173</v>
      </c>
      <c r="E61" s="9">
        <v>56</v>
      </c>
      <c r="F61" s="8" t="s">
        <v>181</v>
      </c>
    </row>
    <row r="62" spans="1:6" ht="31.2">
      <c r="A62" s="3" t="s">
        <v>357</v>
      </c>
      <c r="B62" s="3">
        <f>+LOOKUP(A62,CRUISE!B$2:B$32,CRUISE!A$2:A$32)</f>
        <v>23</v>
      </c>
      <c r="C62" s="7" t="s">
        <v>229</v>
      </c>
      <c r="E62" s="9">
        <v>12</v>
      </c>
      <c r="F62" s="8" t="s">
        <v>245</v>
      </c>
    </row>
    <row r="63" spans="1:6">
      <c r="A63" s="3" t="s">
        <v>197</v>
      </c>
      <c r="B63" s="3">
        <f>+LOOKUP(A63,CRUISE!B$2:B$32,CRUISE!A$2:A$32)</f>
        <v>24</v>
      </c>
      <c r="C63" s="7" t="s">
        <v>314</v>
      </c>
      <c r="E63" s="9">
        <v>8</v>
      </c>
      <c r="F63" s="8" t="s">
        <v>330</v>
      </c>
    </row>
    <row r="64" spans="1:6" ht="31.2">
      <c r="A64" s="3" t="s">
        <v>204</v>
      </c>
      <c r="B64" s="3">
        <f>+LOOKUP(A64,CRUISE!B$2:B$32,CRUISE!A$2:A$32)</f>
        <v>25</v>
      </c>
      <c r="E64" s="9">
        <v>10</v>
      </c>
      <c r="F64" s="7" t="s">
        <v>448</v>
      </c>
    </row>
    <row r="65" spans="1:6">
      <c r="A65" s="2" t="s">
        <v>88</v>
      </c>
      <c r="B65" s="3">
        <f>+LOOKUP(A65,CRUISE!B$2:B$32,CRUISE!A$2:A$32)</f>
        <v>26</v>
      </c>
      <c r="C65" s="7" t="s">
        <v>89</v>
      </c>
      <c r="E65" s="9">
        <v>6</v>
      </c>
      <c r="F65" s="8" t="s">
        <v>101</v>
      </c>
    </row>
    <row r="66" spans="1:6">
      <c r="A66" s="3" t="s">
        <v>182</v>
      </c>
      <c r="B66" s="3">
        <f>+LOOKUP(A66,CRUISE!B$2:B$32,CRUISE!A$2:A$32)</f>
        <v>27</v>
      </c>
      <c r="C66" s="7" t="s">
        <v>449</v>
      </c>
      <c r="E66" s="9">
        <v>6</v>
      </c>
      <c r="F66" s="12">
        <f>3410*0.8</f>
        <v>2728</v>
      </c>
    </row>
    <row r="67" spans="1:6">
      <c r="A67" s="3" t="s">
        <v>182</v>
      </c>
      <c r="B67" s="3">
        <f>+LOOKUP(A67,CRUISE!B$2:B$32,CRUISE!A$2:A$32)</f>
        <v>27</v>
      </c>
      <c r="C67" s="7" t="s">
        <v>451</v>
      </c>
      <c r="E67" s="9">
        <v>2</v>
      </c>
      <c r="F67" s="12">
        <f>3675*0.8</f>
        <v>2940</v>
      </c>
    </row>
    <row r="68" spans="1:6">
      <c r="A68" s="3" t="s">
        <v>182</v>
      </c>
      <c r="B68" s="3">
        <f>+LOOKUP(A68,CRUISE!B$2:B$32,CRUISE!A$2:A$32)</f>
        <v>27</v>
      </c>
      <c r="C68" s="7" t="s">
        <v>450</v>
      </c>
      <c r="E68" s="9">
        <v>8</v>
      </c>
      <c r="F68" s="12">
        <f>50890*0.8</f>
        <v>40712</v>
      </c>
    </row>
    <row r="69" spans="1:6">
      <c r="A69" s="3" t="s">
        <v>182</v>
      </c>
      <c r="B69" s="3">
        <f>+LOOKUP(A69,CRUISE!B$2:B$32,CRUISE!A$2:A$32)</f>
        <v>27</v>
      </c>
      <c r="C69" s="7" t="s">
        <v>452</v>
      </c>
      <c r="E69" s="9">
        <v>6</v>
      </c>
      <c r="F69" s="12">
        <f>4595*0.8</f>
        <v>3676</v>
      </c>
    </row>
    <row r="70" spans="1:6">
      <c r="A70" s="3" t="s">
        <v>182</v>
      </c>
      <c r="B70" s="3">
        <f>+LOOKUP(A70,CRUISE!B$2:B$32,CRUISE!A$2:A$32)</f>
        <v>27</v>
      </c>
      <c r="C70" s="7" t="s">
        <v>453</v>
      </c>
      <c r="E70" s="9">
        <v>2</v>
      </c>
      <c r="F70" s="12">
        <f>4950*0.8</f>
        <v>3960</v>
      </c>
    </row>
    <row r="71" spans="1:6">
      <c r="A71" s="3" t="s">
        <v>182</v>
      </c>
      <c r="B71" s="3">
        <f>+LOOKUP(A71,CRUISE!B$2:B$32,CRUISE!A$2:A$32)</f>
        <v>27</v>
      </c>
      <c r="C71" s="7" t="s">
        <v>454</v>
      </c>
      <c r="E71" s="9">
        <v>8</v>
      </c>
      <c r="F71" s="12">
        <f>68575*0.8</f>
        <v>54860</v>
      </c>
    </row>
    <row r="72" spans="1:6">
      <c r="A72" s="3" t="s">
        <v>182</v>
      </c>
      <c r="B72" s="3">
        <f>+LOOKUP(A72,CRUISE!B$2:B$32,CRUISE!A$2:A$32)</f>
        <v>27</v>
      </c>
      <c r="C72" s="7" t="s">
        <v>457</v>
      </c>
      <c r="E72" s="9">
        <v>6</v>
      </c>
      <c r="F72" s="12">
        <f>5510*0.8</f>
        <v>4408</v>
      </c>
    </row>
    <row r="73" spans="1:6">
      <c r="A73" s="3" t="s">
        <v>182</v>
      </c>
      <c r="B73" s="3">
        <f>+LOOKUP(A73,CRUISE!B$2:B$32,CRUISE!A$2:A$32)</f>
        <v>27</v>
      </c>
      <c r="C73" s="7" t="s">
        <v>458</v>
      </c>
      <c r="E73" s="9">
        <v>2</v>
      </c>
      <c r="F73" s="12">
        <f>5950*0.8</f>
        <v>4760</v>
      </c>
    </row>
    <row r="74" spans="1:6">
      <c r="A74" s="3" t="s">
        <v>182</v>
      </c>
      <c r="B74" s="3">
        <f>+LOOKUP(A74,CRUISE!B$2:B$32,CRUISE!A$2:A$32)</f>
        <v>27</v>
      </c>
      <c r="C74" s="7" t="s">
        <v>459</v>
      </c>
      <c r="E74" s="9">
        <v>8</v>
      </c>
      <c r="F74" s="12">
        <f>82320*0.8</f>
        <v>65856</v>
      </c>
    </row>
    <row r="75" spans="1:6">
      <c r="A75" s="3" t="s">
        <v>182</v>
      </c>
      <c r="B75" s="3">
        <f>+LOOKUP(A75,CRUISE!B$2:B$32,CRUISE!A$2:A$32)</f>
        <v>27</v>
      </c>
      <c r="C75" s="7" t="s">
        <v>461</v>
      </c>
      <c r="E75" s="9">
        <v>6</v>
      </c>
      <c r="F75" s="12">
        <f>7225*0.8</f>
        <v>5780</v>
      </c>
    </row>
    <row r="76" spans="1:6">
      <c r="A76" s="3" t="s">
        <v>182</v>
      </c>
      <c r="B76" s="3">
        <f>+LOOKUP(A76,CRUISE!B$2:B$32,CRUISE!A$2:A$32)</f>
        <v>27</v>
      </c>
      <c r="C76" s="7" t="s">
        <v>462</v>
      </c>
      <c r="E76" s="9">
        <v>2</v>
      </c>
      <c r="F76" s="12">
        <f>7850*0.8</f>
        <v>6280</v>
      </c>
    </row>
    <row r="77" spans="1:6">
      <c r="A77" s="3" t="s">
        <v>182</v>
      </c>
      <c r="B77" s="3">
        <f>+LOOKUP(A77,CRUISE!B$2:B$32,CRUISE!A$2:A$32)</f>
        <v>27</v>
      </c>
      <c r="C77" s="7" t="s">
        <v>463</v>
      </c>
      <c r="E77" s="9">
        <v>8</v>
      </c>
      <c r="F77" s="12">
        <f>107825*0.8</f>
        <v>86260</v>
      </c>
    </row>
    <row r="78" spans="1:6" ht="31.2">
      <c r="A78" s="3" t="s">
        <v>193</v>
      </c>
      <c r="B78" s="3">
        <f>+LOOKUP(A78,CRUISE!B$2:B$32,CRUISE!A$2:A$32)</f>
        <v>28</v>
      </c>
      <c r="C78" s="7" t="s">
        <v>206</v>
      </c>
      <c r="E78" s="9">
        <v>6</v>
      </c>
      <c r="F78" s="8" t="s">
        <v>225</v>
      </c>
    </row>
    <row r="79" spans="1:6">
      <c r="A79" s="2" t="s">
        <v>121</v>
      </c>
      <c r="B79" s="3">
        <f>+LOOKUP(A79,CRUISE!B$2:B$32,CRUISE!A$2:A$32)</f>
        <v>29</v>
      </c>
      <c r="C79" s="7" t="s">
        <v>122</v>
      </c>
      <c r="E79" s="9">
        <v>50</v>
      </c>
      <c r="F79" s="8" t="s">
        <v>123</v>
      </c>
    </row>
    <row r="80" spans="1:6">
      <c r="A80" s="2" t="s">
        <v>103</v>
      </c>
      <c r="B80" s="3">
        <f>+LOOKUP(A80,CRUISE!B$2:B$32,CRUISE!A$2:A$32)</f>
        <v>30</v>
      </c>
      <c r="C80" s="7" t="s">
        <v>104</v>
      </c>
      <c r="E80" s="9">
        <v>6</v>
      </c>
    </row>
    <row r="81" spans="1:6" ht="31.2">
      <c r="A81" s="3" t="s">
        <v>203</v>
      </c>
      <c r="B81" s="3">
        <f>+LOOKUP(A81,CRUISE!B$2:B$32,CRUISE!A$2:A$32)</f>
        <v>31</v>
      </c>
      <c r="C81" s="7" t="s">
        <v>424</v>
      </c>
      <c r="E81" s="9">
        <v>9</v>
      </c>
      <c r="F81" s="8"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0AF7-523D-46C4-ABC4-E6F13585CDD2}">
  <dimension ref="A1:Q81"/>
  <sheetViews>
    <sheetView workbookViewId="0"/>
  </sheetViews>
  <sheetFormatPr defaultRowHeight="15.6"/>
  <cols>
    <col min="3" max="3" width="21.796875" style="2" customWidth="1"/>
    <col min="4" max="5" width="28.296875" style="13" bestFit="1" customWidth="1"/>
    <col min="6" max="6" width="29.69921875" style="13" bestFit="1" customWidth="1"/>
    <col min="7" max="7" width="28.19921875" style="13" bestFit="1" customWidth="1"/>
    <col min="8" max="8" width="28.296875" style="13" bestFit="1" customWidth="1"/>
    <col min="9" max="9" width="28.09765625" style="13" bestFit="1" customWidth="1"/>
    <col min="10" max="10" width="28.19921875" style="13" bestFit="1" customWidth="1"/>
    <col min="11" max="13" width="28.296875" style="13" bestFit="1" customWidth="1"/>
    <col min="14" max="14" width="28.19921875" style="13" bestFit="1" customWidth="1"/>
    <col min="15" max="15" width="31" style="13" bestFit="1" customWidth="1"/>
    <col min="16" max="16" width="28.296875" style="13" bestFit="1" customWidth="1"/>
    <col min="17" max="17" width="27.8984375" style="13" bestFit="1" customWidth="1"/>
  </cols>
  <sheetData>
    <row r="1" spans="1:17">
      <c r="A1" t="s">
        <v>623</v>
      </c>
      <c r="B1" t="s">
        <v>628</v>
      </c>
      <c r="C1" s="21" t="s">
        <v>627</v>
      </c>
      <c r="D1" s="14" t="s">
        <v>0</v>
      </c>
      <c r="E1" s="14" t="s">
        <v>1</v>
      </c>
      <c r="F1" s="14" t="s">
        <v>2</v>
      </c>
      <c r="G1" s="14" t="s">
        <v>3</v>
      </c>
      <c r="H1" s="14" t="s">
        <v>4</v>
      </c>
      <c r="I1" s="14" t="s">
        <v>5</v>
      </c>
      <c r="J1" s="14" t="s">
        <v>6</v>
      </c>
      <c r="K1" s="14" t="s">
        <v>0</v>
      </c>
      <c r="L1" s="14" t="s">
        <v>1</v>
      </c>
      <c r="M1" s="14" t="s">
        <v>2</v>
      </c>
      <c r="N1" s="14" t="s">
        <v>3</v>
      </c>
      <c r="O1" s="14" t="s">
        <v>4</v>
      </c>
      <c r="P1" s="14" t="s">
        <v>5</v>
      </c>
      <c r="Q1" s="14" t="s">
        <v>6</v>
      </c>
    </row>
    <row r="2" spans="1:17" ht="46.8">
      <c r="A2">
        <v>1</v>
      </c>
      <c r="B2" t="str">
        <f>"["&amp;D2&amp;","&amp;E2&amp;","&amp;F2&amp;","&amp;G2&amp;","&amp;H2&amp;","&amp;I2&amp;","&amp;J2&amp;","&amp;K2&amp;","&amp;L2&amp;","&amp;M2&amp;","&amp;N2&amp;","&amp;O2&amp;","&amp;P2&amp;","&amp;Q2&amp;"]"</f>
        <v>[,,,Baltra Transfer to boat / Santa Cruz Punta Carrión &amp; Canal de Itabaca PM ,Santa Cruz Punta Carrión &amp; Bartolomé Punta AM / Bartolomé land visit PM,Wolf AM / PM,Darwin AM / PM,Isabela Cabo Marshal AM / PM ,Fernandina Cabo Douglas AM / Isabela Punta Vicente Roca PM,Santiago Cousins Rocks AM / Santa Cruz visita tierra PM,Baltra transfer to airport,,,]</v>
      </c>
      <c r="C2" s="3" t="s">
        <v>198</v>
      </c>
      <c r="G2" s="13" t="s">
        <v>343</v>
      </c>
      <c r="H2" s="13" t="s">
        <v>342</v>
      </c>
      <c r="I2" s="13" t="s">
        <v>341</v>
      </c>
      <c r="J2" s="13" t="s">
        <v>335</v>
      </c>
      <c r="K2" s="13" t="s">
        <v>340</v>
      </c>
      <c r="L2" s="13" t="s">
        <v>339</v>
      </c>
      <c r="M2" s="13" t="s">
        <v>338</v>
      </c>
      <c r="N2" s="13" t="s">
        <v>337</v>
      </c>
    </row>
    <row r="3" spans="1:17" ht="31.2">
      <c r="A3">
        <v>2</v>
      </c>
      <c r="B3" t="str">
        <f t="shared" ref="B3:B32" si="0">"["&amp;D3&amp;","&amp;E3&amp;","&amp;F3&amp;","&amp;G3&amp;","&amp;H3&amp;","&amp;I3&amp;","&amp;J3&amp;","&amp;K3&amp;","&amp;L3&amp;","&amp;M3&amp;","&amp;N3&amp;","&amp;O3&amp;","&amp;P3&amp;","&amp;Q3&amp;"]"</f>
        <v>[Santa Cruz (Charles Darwin Station / Highlands),Isabela (Moreno Point - Elizabeth Bay),Isabela (Urbina Bay) / Fernandina (Espinoza Point),Isabela ( Tagus Cove / Vicente Roca Point),Santiago (Espumilla Beach / Egas Port),Santa Cruz (Bachas / North Seymour,South Plaza / Santa Fe,San Cristobal (Interpretation Center / Lobos Island),Española,Floreana,Santa Cruz (Highlands / Black Turttle Cove),Genovesa,Santiago (Sullivan Bay) / Bartolomé,Chinese Hat / Mosquera Islet]</v>
      </c>
      <c r="C3" s="2" t="s">
        <v>146</v>
      </c>
      <c r="D3" s="13" t="s">
        <v>119</v>
      </c>
      <c r="E3" s="13" t="s">
        <v>149</v>
      </c>
      <c r="F3" s="13" t="s">
        <v>150</v>
      </c>
      <c r="G3" s="13" t="s">
        <v>151</v>
      </c>
      <c r="H3" s="13" t="s">
        <v>152</v>
      </c>
      <c r="I3" s="13" t="s">
        <v>153</v>
      </c>
      <c r="J3" s="13" t="s">
        <v>84</v>
      </c>
      <c r="K3" s="13" t="s">
        <v>154</v>
      </c>
      <c r="L3" s="13" t="s">
        <v>81</v>
      </c>
      <c r="M3" s="13" t="s">
        <v>80</v>
      </c>
      <c r="N3" s="13" t="s">
        <v>155</v>
      </c>
      <c r="O3" s="13" t="s">
        <v>41</v>
      </c>
      <c r="P3" s="13" t="s">
        <v>156</v>
      </c>
      <c r="Q3" s="13" t="s">
        <v>157</v>
      </c>
    </row>
    <row r="4" spans="1:17" ht="62.4">
      <c r="A4">
        <v>3</v>
      </c>
      <c r="B4" t="str">
        <f t="shared" si="0"/>
        <v>[,,Baltra Transfer to boat /  Santa Cruz Highlands PM (A) (B solo highlands),Santiago Sullivan Bay AM / Rábida PM (A &amp; B),Isabela Punta Vicente Roca AM / Fernandina Punta Espinosa PM (A &amp; B),Isabela Tintoreras AM / Wetlands PM (A &amp; B),Mosquera AM / North Seymour PM (A) (B OUT solo Mosquera) (C IN solo North Seymour),Floreana Post Office Bay AM / Punta Cormorant PM (A &amp; C),South Plaza AM  / Santa Fe PM (A &amp; C),Santa Cruz Bachas Beach / Transfer to airport AM (A) (C solo Bachan &amp; overnight en Hotel),Santa Cruz Charles Darwin Station / Transfer to airport AM (C ),,,]</v>
      </c>
      <c r="C4" s="3" t="s">
        <v>199</v>
      </c>
      <c r="F4" s="13" t="s">
        <v>366</v>
      </c>
      <c r="G4" s="13" t="s">
        <v>367</v>
      </c>
      <c r="H4" s="13" t="s">
        <v>368</v>
      </c>
      <c r="I4" s="13" t="s">
        <v>369</v>
      </c>
      <c r="J4" s="13" t="s">
        <v>370</v>
      </c>
      <c r="K4" s="13" t="s">
        <v>371</v>
      </c>
      <c r="L4" s="13" t="s">
        <v>372</v>
      </c>
      <c r="M4" s="13" t="s">
        <v>373</v>
      </c>
      <c r="N4" s="13" t="s">
        <v>374</v>
      </c>
    </row>
    <row r="5" spans="1:17" ht="62.4">
      <c r="A5">
        <v>4</v>
      </c>
      <c r="B5" t="str">
        <f t="shared" si="0"/>
        <v>[,,,San Cristobal Transfer to boat / Check dive Isla Lobos,Santa Cruz Punta Carrión AM / Seymour PM,Wolf AM / PM,Darwin AM / PM,Darwin AM / Wolf PM,Isabela Cabo Marshall (Ene-Jun)  AMPM / Fernandina Cabo Douglas &amp; Isabela Punta Vicente Roca (Jul-Dic) AMPM,Santiago Roca Cousin AM / Santa Cruz visita tierra PM,Santa Cruz Breeding Center / Transfer to airport,,,]</v>
      </c>
      <c r="C5" s="3" t="s">
        <v>86</v>
      </c>
      <c r="G5" s="13" t="s">
        <v>348</v>
      </c>
      <c r="H5" s="13" t="s">
        <v>349</v>
      </c>
      <c r="I5" s="13" t="s">
        <v>341</v>
      </c>
      <c r="J5" s="13" t="s">
        <v>335</v>
      </c>
      <c r="K5" s="13" t="s">
        <v>350</v>
      </c>
      <c r="L5" s="13" t="s">
        <v>351</v>
      </c>
      <c r="M5" s="13" t="s">
        <v>394</v>
      </c>
      <c r="N5" s="13" t="s">
        <v>352</v>
      </c>
    </row>
    <row r="6" spans="1:17" ht="46.8">
      <c r="A6">
        <v>5</v>
      </c>
      <c r="B6" t="str">
        <f t="shared" si="0"/>
        <v>[Española,Santa Cruz (Bachas) / Bartolomé,Rábida / Santiago (Egas Port),Genovesa,Mosquera Islet / Santa Cruz (Highlands),North Seymour / Santiago (Sullivan Bay),Isabela (Vicente Roca Point) / Fernandina (Espinoza Point),Isabela (Tagus Cove / Urbina Bay),Isabela (Elizabeth Bay / Moreno Point),Santa Cruz (Charles Darwin Station / Highlands),Santa Fe / South Plaza,Floreana,San Cristobal (Interpretation Center / Lobos Island / Kicker Rock),San Cristobal (Pitt Point / Witch Hill)]</v>
      </c>
      <c r="C6" s="2" t="s">
        <v>137</v>
      </c>
      <c r="D6" s="13" t="s">
        <v>81</v>
      </c>
      <c r="E6" s="13" t="s">
        <v>140</v>
      </c>
      <c r="F6" s="13" t="s">
        <v>141</v>
      </c>
      <c r="G6" s="13" t="s">
        <v>41</v>
      </c>
      <c r="H6" s="13" t="s">
        <v>142</v>
      </c>
      <c r="I6" s="13" t="s">
        <v>143</v>
      </c>
      <c r="J6" s="13" t="s">
        <v>118</v>
      </c>
      <c r="K6" s="13" t="s">
        <v>78</v>
      </c>
      <c r="L6" s="13" t="s">
        <v>112</v>
      </c>
      <c r="M6" s="13" t="s">
        <v>119</v>
      </c>
      <c r="N6" s="13" t="s">
        <v>129</v>
      </c>
      <c r="O6" s="13" t="s">
        <v>80</v>
      </c>
      <c r="P6" s="13" t="s">
        <v>144</v>
      </c>
      <c r="Q6" s="13" t="s">
        <v>120</v>
      </c>
    </row>
    <row r="7" spans="1:17" ht="93.6">
      <c r="A7">
        <v>6</v>
      </c>
      <c r="B7" t="str">
        <f t="shared" si="0"/>
        <v>[South Plaza  AM / Santa Fe PM (8D7N A),San Cristobal Pitt Point AM / Witch Hill PM  (8D7N A),San Cristobal Breeding Center AM / Lobos Island / Kicker Rock PM (8D7N A),Española Punta Suáez AM / Gardner Bay &amp; Islote Gardner PM (8D7N A),Floreana Post Office Bay / Baroness Viewpoint AM + Cormorant Point / Champion islet PM (8D7N A),Santa Cruz  Twin Craters / Transfer to airport AM (8D7N A OUT)
Baltra Transfer to boat / Santa Cruz Highlands / Tortoise Breeding Center PM (8D7N B IN),Isabela Tintoreras + Sierra Negra AM / Wetlands + Breeding Center PM (8D7N B),Isabela Moreno Point AM / Elizabeth Bay PM (8D7N B),Fernandina Espinoza Point AM / Isabela Vicente Roca Point PM (8D7N B),Santiago Egas Port AM / Espumilla Beach +  Buccaneer Cove PM (8D7N B),Bartholomew island AM / Santiago Sullivan Bay PM (8D7N B),Santiago Chinese Hat AM / Santa Cruz Dragon Hill PM (8D7N B),Baltra Transfer to boat / Santa Cruz Bachas Beach PM (8D7N A IN)
North Seymour island / Transfer to airport AM (8D7N B OUT),Genovesa El Barranco AM / Darwin Bay PM (8D7N A)]</v>
      </c>
      <c r="C7" s="2" t="s">
        <v>485</v>
      </c>
      <c r="D7" s="13" t="s">
        <v>494</v>
      </c>
      <c r="E7" s="13" t="s">
        <v>495</v>
      </c>
      <c r="F7" s="13" t="s">
        <v>496</v>
      </c>
      <c r="G7" s="13" t="s">
        <v>497</v>
      </c>
      <c r="H7" s="13" t="s">
        <v>498</v>
      </c>
      <c r="I7" s="13" t="s">
        <v>499</v>
      </c>
      <c r="J7" s="13" t="s">
        <v>500</v>
      </c>
      <c r="K7" s="13" t="s">
        <v>501</v>
      </c>
      <c r="L7" s="13" t="s">
        <v>502</v>
      </c>
      <c r="M7" s="13" t="s">
        <v>503</v>
      </c>
      <c r="N7" s="13" t="s">
        <v>504</v>
      </c>
      <c r="O7" s="13" t="s">
        <v>505</v>
      </c>
      <c r="P7" s="13" t="s">
        <v>506</v>
      </c>
      <c r="Q7" s="13" t="s">
        <v>507</v>
      </c>
    </row>
    <row r="8" spans="1:17" ht="78">
      <c r="A8">
        <v>7</v>
      </c>
      <c r="B8" t="str">
        <f t="shared" si="0"/>
        <v>[Española Punta Suárez AM / Española Gardner Bay + Gardner Islet + Osborn Islet PM (C ),San Cristóbal Centro de Interpretación / Traslado aeropuerto AM (C ) - San Cristóbal Transfer barco / Isla Lobos PM (A),Santa Fe AM / Plazas Sur PM (A),Seymour Norte AM / Islote Mosquera PM (A),Genovesa Darwin Bay AM / Barranco PM (A),Santa Cruz Highlands AM / Transfer Baltra (A)  -  Baltra transfer barco / Estación Charles Darwin PM (B),Isabela Punta Moreno AM / Elizabeht Bay PM (B),Isabela Urbina Bay AM / Tagus Cove PM (B),Fernandina Punta Espinosa AM / Isabela Punta Vicente Roca PM (B),Santiago Puerto Egas AM / Rábida  PM (B),Santa Cruz Black Turtle Cove AM / Transfer aeropuerto (B) - Baltra traslado barco / Santa Cruz Bachas Beach PM (C ),Santiago Sullivan Bay AM / Bartolomé PM (C ),Santa Cruz Highlands AM / Estación Charles Darwin PM (C ),Floreana Cormorant Point + Devil's Crown AM / Post Office Bay PM (C )]</v>
      </c>
      <c r="C8" s="3" t="s">
        <v>196</v>
      </c>
      <c r="D8" s="13" t="s">
        <v>301</v>
      </c>
      <c r="E8" s="13" t="s">
        <v>302</v>
      </c>
      <c r="F8" s="13" t="s">
        <v>289</v>
      </c>
      <c r="G8" s="13" t="s">
        <v>290</v>
      </c>
      <c r="H8" s="13" t="s">
        <v>291</v>
      </c>
      <c r="I8" s="13" t="s">
        <v>292</v>
      </c>
      <c r="J8" s="13" t="s">
        <v>293</v>
      </c>
      <c r="K8" s="13" t="s">
        <v>294</v>
      </c>
      <c r="L8" s="13" t="s">
        <v>295</v>
      </c>
      <c r="M8" s="13" t="s">
        <v>296</v>
      </c>
      <c r="N8" s="13" t="s">
        <v>297</v>
      </c>
      <c r="O8" s="13" t="s">
        <v>298</v>
      </c>
      <c r="P8" s="13" t="s">
        <v>299</v>
      </c>
      <c r="Q8" s="13" t="s">
        <v>300</v>
      </c>
    </row>
    <row r="9" spans="1:17" ht="46.8">
      <c r="A9">
        <v>8</v>
      </c>
      <c r="B9" t="str">
        <f t="shared" si="0"/>
        <v>[Isabela (Tintorera - Sierra Negra) / Breeding Center,Isabela (Moreno Point - Urbina Bay),Fernandina  (Espinoza Point) Isabela (Vicente Roca Point),Rabida / Bartolomé,San Cristobal (Kicker Rock / Witch Hill / Giant Tortoise Reserve,San Cristobal Interpretation Center / Breeding Center,Española (Suarez Point - Gardner Bay - Gardner y Osborn Islets),Floreana (Cormorant Point / Post Office Bay, Baroness Lockout),Mosquera / Santa Cruz (Charles Darwin Station),Genovesa,Santiago (Buccaneer Cove y Espumilla Beach / Egas Port),Santa Cruz (Bachas / Twins and Highlands),San Cristobal (Isla Lobos /  El Junco Lagoon),North Seymour /  Santa Cruz (Dragon Hill)]</v>
      </c>
      <c r="C9" s="2" t="s">
        <v>57</v>
      </c>
      <c r="D9" s="13" t="s">
        <v>60</v>
      </c>
      <c r="E9" s="13" t="s">
        <v>61</v>
      </c>
      <c r="F9" s="13" t="s">
        <v>62</v>
      </c>
      <c r="G9" s="13" t="s">
        <v>63</v>
      </c>
      <c r="H9" s="13" t="s">
        <v>64</v>
      </c>
      <c r="I9" s="13" t="s">
        <v>65</v>
      </c>
      <c r="J9" s="13" t="s">
        <v>66</v>
      </c>
      <c r="K9" s="13" t="s">
        <v>67</v>
      </c>
      <c r="L9" s="13" t="s">
        <v>68</v>
      </c>
      <c r="M9" s="13" t="s">
        <v>41</v>
      </c>
      <c r="N9" s="13" t="s">
        <v>69</v>
      </c>
      <c r="O9" s="13" t="s">
        <v>70</v>
      </c>
      <c r="P9" s="13" t="s">
        <v>71</v>
      </c>
      <c r="Q9" s="13" t="s">
        <v>72</v>
      </c>
    </row>
    <row r="10" spans="1:17" ht="46.8">
      <c r="A10">
        <v>9</v>
      </c>
      <c r="B10" t="str">
        <f t="shared" si="0"/>
        <v>[Genovesa,Los Gemelos - Santiago (Sullivan),Isabela (Humedales, Sierra Negra, Centro Interpretación),Isabela (Elizabeth y Urbina Bay) ,Isabela (Tagus Cove) Fernandina Pta Espinoza),Santiago (Caleta Bucanero y Playa Espumilla),Islote Mosquera - Santa Cruz (Dragon Hill),San Cristóbal (Kicker Rock, Witch Hill, Isla Lobos),Española (Gardner Bay) - Orborn y Gardner Islets - Española Suarez Point,Santa Fe - Santa Cruz (Charles Darwin Station),South Plaza - Bartolomé, Floreana (Devil's Crowm- Cormorant Point The  Varoness Overlook, Post Office),Santiago (Chiness Hut) - North Seymour,Santa Cruz (Black Turtle Cove - Las Bachas)]</v>
      </c>
      <c r="C10" s="2" t="s">
        <v>39</v>
      </c>
      <c r="D10" s="13" t="s">
        <v>41</v>
      </c>
      <c r="E10" s="13" t="s">
        <v>43</v>
      </c>
      <c r="F10" s="13" t="s">
        <v>47</v>
      </c>
      <c r="G10" s="13" t="s">
        <v>42</v>
      </c>
      <c r="H10" s="13" t="s">
        <v>44</v>
      </c>
      <c r="I10" s="13" t="s">
        <v>45</v>
      </c>
      <c r="J10" s="13" t="s">
        <v>46</v>
      </c>
      <c r="K10" s="13" t="s">
        <v>48</v>
      </c>
      <c r="L10" s="13" t="s">
        <v>49</v>
      </c>
      <c r="M10" s="13" t="s">
        <v>50</v>
      </c>
      <c r="N10" s="13" t="s">
        <v>51</v>
      </c>
      <c r="O10" s="13" t="s">
        <v>52</v>
      </c>
      <c r="P10" s="13" t="s">
        <v>53</v>
      </c>
      <c r="Q10" s="13" t="s">
        <v>54</v>
      </c>
    </row>
    <row r="11" spans="1:17" ht="31.2">
      <c r="A11">
        <v>10</v>
      </c>
      <c r="B11" t="str">
        <f t="shared" si="0"/>
        <v>[Isabela (Urbina Bay / Tagus Cove),Bartolomé - Santiago (Sullivan Bay),Santa Cruz (Bachas) / Rábida,Santa Cruz ( Highlands / Charles Darwin Station),Española,San Cristobal (interpretation Center / Witch Hill,South Plaza / Punta Carrión Island / Mosquera Islet,Chinese Hat / Santiago (Egas Port),Genovesa,North Seymour / Santa Fe,Floreana,Santa Cruz (Highlands / Charles Darin Station),Santa Cruz (Black Turttle Cove) / Daphne Island,Isabela (Vicente Roca Point / Fernandina (Espinoza Point)]</v>
      </c>
      <c r="C11" s="2" t="s">
        <v>158</v>
      </c>
      <c r="D11" s="13" t="s">
        <v>82</v>
      </c>
      <c r="E11" s="13" t="s">
        <v>160</v>
      </c>
      <c r="F11" s="13" t="s">
        <v>161</v>
      </c>
      <c r="G11" s="13" t="s">
        <v>162</v>
      </c>
      <c r="H11" s="13" t="s">
        <v>81</v>
      </c>
      <c r="I11" s="13" t="s">
        <v>163</v>
      </c>
      <c r="J11" s="13" t="s">
        <v>164</v>
      </c>
      <c r="K11" s="13" t="s">
        <v>165</v>
      </c>
      <c r="L11" s="13" t="s">
        <v>41</v>
      </c>
      <c r="M11" s="13" t="s">
        <v>166</v>
      </c>
      <c r="N11" s="13" t="s">
        <v>80</v>
      </c>
      <c r="O11" s="13" t="s">
        <v>167</v>
      </c>
      <c r="P11" s="13" t="s">
        <v>168</v>
      </c>
      <c r="Q11" s="13" t="s">
        <v>136</v>
      </c>
    </row>
    <row r="12" spans="1:17" ht="31.2">
      <c r="A12">
        <v>11</v>
      </c>
      <c r="B12" t="str">
        <f t="shared" si="0"/>
        <v>[Daphne ,Santiago (Egas Port) / Rábida,Isabela (Elizabeth Bay / Tagus Cove),Santiago (Sullivan Bay) / Bartolomé,Santa Cruz (Bachas) / North Seymour,San Cristobal (Interpretation Center / Pitt Point),Santa Cruz (Charles Darwin Station),North Seymour,South Plaza / Santa Fe,San Cristobal (Pitt Point / Interpretation Center),Floreana,Isabela (Elizabeth Bay / Moreno Point),Santa Cruz (Charles Darwin Station ),Española]</v>
      </c>
      <c r="C12" s="2" t="s">
        <v>184</v>
      </c>
      <c r="D12" s="13" t="s">
        <v>191</v>
      </c>
      <c r="E12" s="13" t="s">
        <v>177</v>
      </c>
      <c r="F12" s="13" t="s">
        <v>186</v>
      </c>
      <c r="G12" s="13" t="s">
        <v>156</v>
      </c>
      <c r="H12" s="13" t="s">
        <v>187</v>
      </c>
      <c r="I12" s="13" t="s">
        <v>188</v>
      </c>
      <c r="J12" s="13" t="s">
        <v>135</v>
      </c>
      <c r="K12" s="13" t="s">
        <v>117</v>
      </c>
      <c r="L12" s="13" t="s">
        <v>84</v>
      </c>
      <c r="M12" s="13" t="s">
        <v>189</v>
      </c>
      <c r="N12" s="13" t="s">
        <v>80</v>
      </c>
      <c r="O12" s="13" t="s">
        <v>112</v>
      </c>
      <c r="P12" s="13" t="s">
        <v>190</v>
      </c>
      <c r="Q12" s="13" t="s">
        <v>81</v>
      </c>
    </row>
    <row r="13" spans="1:17" ht="46.8">
      <c r="A13">
        <v>12</v>
      </c>
      <c r="B13" t="str">
        <f t="shared" si="0"/>
        <v>[San Cristóbal Transfer to boat / Isla Lobos PM,Santa Cruz Punta Carrión AM / North Seymour land visit PM,Darwin island,Darwin island,Wolf island,Isabela Vicente Roca Point AM / Fernandina Cape Douglas PM,Santiago Cousin's Rock AM / Santa Cruz Twin Craters &amp; Fausto Llerena PM,San Cristóbal Interpretation Center / Transfer to airport,,,,,,]</v>
      </c>
      <c r="C13" s="3" t="s">
        <v>201</v>
      </c>
      <c r="D13" s="13" t="s">
        <v>380</v>
      </c>
      <c r="E13" s="13" t="s">
        <v>381</v>
      </c>
      <c r="F13" s="13" t="s">
        <v>391</v>
      </c>
      <c r="G13" s="13" t="s">
        <v>391</v>
      </c>
      <c r="H13" s="13" t="s">
        <v>382</v>
      </c>
      <c r="I13" s="13" t="s">
        <v>392</v>
      </c>
      <c r="J13" s="13" t="s">
        <v>395</v>
      </c>
      <c r="K13" s="13" t="s">
        <v>396</v>
      </c>
    </row>
    <row r="14" spans="1:17" ht="46.8">
      <c r="A14">
        <v>13</v>
      </c>
      <c r="B14" t="str">
        <f t="shared" si="0"/>
        <v>[,,,,,,San Cristóbal Transfer to boat / Isla Lobos PM,Bartolomé land visit &amp; dive AM / Santiago Cousin's Rock PM,Wolf island,Darwin island,Darwin island AM / Wolf island PM,Fernandina Cabo Douglas AM / Isabela Vicente Roca Point PM,Pinzón &amp; Islote Dumb AM / Santa Cruz Highlands PM,San Cristóbal Centro de Interpretacion / Transfer to airport]</v>
      </c>
      <c r="C14" s="3" t="s">
        <v>202</v>
      </c>
      <c r="J14" s="13" t="s">
        <v>380</v>
      </c>
      <c r="K14" s="13" t="s">
        <v>406</v>
      </c>
      <c r="L14" s="13" t="s">
        <v>382</v>
      </c>
      <c r="M14" s="13" t="s">
        <v>391</v>
      </c>
      <c r="N14" s="13" t="s">
        <v>407</v>
      </c>
      <c r="O14" s="13" t="s">
        <v>408</v>
      </c>
      <c r="P14" s="13" t="s">
        <v>409</v>
      </c>
      <c r="Q14" s="13" t="s">
        <v>410</v>
      </c>
    </row>
    <row r="15" spans="1:17" ht="78">
      <c r="A15">
        <v>14</v>
      </c>
      <c r="B15" t="str">
        <f t="shared" si="0"/>
        <v>[Isabela (Tintoreras Islet / Cuevas de Sucre / Centro de Crianza Arnaldo Turpiza am ) /Santa Cruz navegación pm,Santa Cruz (Gemelos am) / Transfer Baltra aeropuerto - Oeste / Baltra transfer barco am / Santa Cruz (Highlands &amp; ECCD pm) - Este,Floreana (Asilo de la Paz am / Punta Cormorant &amp; Corona del Diablo pm) - Este,Española (Punta Suáez am / Gardner Bay &amp; Islote Gardner pm) - Este,San Cristóbal (Punta Pitt am / Isla Lobos &amp; Kicker Rock pm) - Este,Santa Fé am / Plazas Sur pm - Este,Seymour Norte am / Bartolomé pm - Este,Islote Sombrero Chino am / Santa Cruz (Cerro Dragón pm) - Este,Santa Cruz (Caleta Tortuga Negra) / Transfer Baltra am - Este / Baltra transfer barco - Santa Cruz (Bachas pm) - Oeste,Genovesa (Prince Phillip´s Setps am / Bahía Darwin pm) - Oeste,Santiago (Bahía James am / Espumilla Beach &amp; Bucaneer Cove pm) - Oeste,Isabela (Punta Vicente Roca am / Tagus Cove pm) - Oeste,Fernandina (Espinosa Point am) / Isabela (Urbina Bay pm) - Oeste,Isabela (Elizabeth Bay am / Punta Moreno pm) - Oeste]</v>
      </c>
      <c r="C15" s="3" t="s">
        <v>194</v>
      </c>
      <c r="D15" s="13" t="s">
        <v>261</v>
      </c>
      <c r="E15" s="13" t="s">
        <v>262</v>
      </c>
      <c r="F15" s="13" t="s">
        <v>249</v>
      </c>
      <c r="G15" s="13" t="s">
        <v>250</v>
      </c>
      <c r="H15" s="13" t="s">
        <v>251</v>
      </c>
      <c r="I15" s="13" t="s">
        <v>252</v>
      </c>
      <c r="J15" s="13" t="s">
        <v>253</v>
      </c>
      <c r="K15" s="13" t="s">
        <v>254</v>
      </c>
      <c r="L15" s="13" t="s">
        <v>255</v>
      </c>
      <c r="M15" s="13" t="s">
        <v>256</v>
      </c>
      <c r="N15" s="13" t="s">
        <v>257</v>
      </c>
      <c r="O15" s="13" t="s">
        <v>258</v>
      </c>
      <c r="P15" s="13" t="s">
        <v>259</v>
      </c>
      <c r="Q15" s="13" t="s">
        <v>260</v>
      </c>
    </row>
    <row r="16" spans="1:17" ht="62.4">
      <c r="A16">
        <v>15</v>
      </c>
      <c r="B16" t="str">
        <f t="shared" si="0"/>
        <v>[Isabela (Tintoreras islet am / Humedales pm) - Oeste,Santa Cruz (Cerro Dragón am / Punta Carrión pm) - Oeste,Santa Cruz (Highlands am) / Transfer aeropuerto - Oeste / Baltra transfer barco am / Santa Cruz (Parte alta pm) - Este,Floreana (Post Office Bay am / Punta Cormorant &amp; Corona del Diablo pm) - Este,Española (Suarez Point am / Gardner Bay pm) - Este,San Cristóbal (Kicker Rock am / Centro de Interpretación Gianny Arismendi pm) - Este,Santa Fe am / Plazas Sur pm - Este,Genovesa (Prince Phillip´s Steps am / Darwin Bay pm) -Este,Santiago (Sullivan Bay am) / Rábida pm - Este,Santa Cruz (Caleta Tortuga Negra am) / Transfer aeropueto - Este / Transfer barco am / Santa Cruz (Bachas pm) - Oeste,Seymour Norte am / Bartolomé pm - Oeste,Santiago (Puerto Egas am / Espumilla Beach &amp; Bucaneer Cove pm) - Oeste,Isabela (Tagus Cove am) / Fernandina (Punta Espinoza pm) - Oeste,Isabela (Punta Moreno am / Elizabeth Bay pm) - Oeste]</v>
      </c>
      <c r="C16" s="3" t="s">
        <v>195</v>
      </c>
      <c r="D16" s="13" t="s">
        <v>281</v>
      </c>
      <c r="E16" s="13" t="s">
        <v>282</v>
      </c>
      <c r="F16" s="13" t="s">
        <v>283</v>
      </c>
      <c r="G16" s="13" t="s">
        <v>270</v>
      </c>
      <c r="H16" s="13" t="s">
        <v>271</v>
      </c>
      <c r="I16" s="13" t="s">
        <v>272</v>
      </c>
      <c r="J16" s="13" t="s">
        <v>273</v>
      </c>
      <c r="K16" s="13" t="s">
        <v>274</v>
      </c>
      <c r="L16" s="13" t="s">
        <v>275</v>
      </c>
      <c r="M16" s="13" t="s">
        <v>276</v>
      </c>
      <c r="N16" s="13" t="s">
        <v>277</v>
      </c>
      <c r="O16" s="13" t="s">
        <v>278</v>
      </c>
      <c r="P16" s="13" t="s">
        <v>279</v>
      </c>
      <c r="Q16" s="13" t="s">
        <v>280</v>
      </c>
    </row>
    <row r="17" spans="1:17" ht="93.6">
      <c r="A17">
        <v>16</v>
      </c>
      <c r="B17" t="str">
        <f t="shared" si="0"/>
        <v>[San Cristóbal Kicker Rock AM / Transfer to airport (8D B OUT)
San Cristobal Transfer to boat AM / El Junco Lagoon PM (8D A IN),Floreana Post office Bay + Baroness Viewing Point AM / Cormorant Point  + Devil´s Crown PM  (8D A),Española Suarez Point + Garner Bay + Osborn Islet, Gardner Bay PM (8D A),Santa Cruz Twin Craters AM / Fausto Llerena Breeding Center PM (8D A),Genovesa  El Barranco AM / Darwin Bay PM (8D A),Rabida island AM / Chiness Hat PM (8D A),San Cristobal Witch Hill AM / Lobos island PM (8D A),San Cristobal Gianni Arismendi Interpretation Center / Transfer to airport AM (8D A OUT)
San Cristóbal  Transfer to boat / David Rodriguez Breeding Center PM (8D B IN) ,North Seymour  AM / Santa Cruz Black Turtle Cove PM (8D B),Bartolomé  AM / Santiago Egas Port PM (8D B),Isabela Tagus Cove AM  / Urbina Bay PM (8D B),Fernandina Espinoza Point  AM / isabela Vicente Roca Point PM (8D B),Santiago Buccaneer Cove + Espumilla beach AM  / Sullivan bay PM (8D B),Santa Cruz Bachas Beach AM / Tortoise Breeding Center PM (8D B)]</v>
      </c>
      <c r="C17" s="2" t="s">
        <v>74</v>
      </c>
      <c r="D17" s="13" t="s">
        <v>536</v>
      </c>
      <c r="E17" s="13" t="s">
        <v>523</v>
      </c>
      <c r="F17" s="13" t="s">
        <v>524</v>
      </c>
      <c r="G17" s="13" t="s">
        <v>525</v>
      </c>
      <c r="H17" s="13" t="s">
        <v>526</v>
      </c>
      <c r="I17" s="13" t="s">
        <v>527</v>
      </c>
      <c r="J17" s="13" t="s">
        <v>528</v>
      </c>
      <c r="K17" s="13" t="s">
        <v>529</v>
      </c>
      <c r="L17" s="13" t="s">
        <v>530</v>
      </c>
      <c r="M17" s="13" t="s">
        <v>531</v>
      </c>
      <c r="N17" s="13" t="s">
        <v>532</v>
      </c>
      <c r="O17" s="13" t="s">
        <v>533</v>
      </c>
      <c r="P17" s="13" t="s">
        <v>534</v>
      </c>
      <c r="Q17" s="13" t="s">
        <v>535</v>
      </c>
    </row>
    <row r="18" spans="1:17" ht="31.2">
      <c r="A18">
        <v>17</v>
      </c>
      <c r="B18" t="str">
        <f t="shared" si="0"/>
        <v>[San Cristóbal Transfer to boat / Isla Lobos PM,Santa Cruz Punta Carrión AM / North Seymour land visit PM,Wolf island,Wolf island AM / Darwin island PM,Darwin island ,Wolf island,Santiago Cousin's Rock AM / Santa Cruz Highlands PM,San Cristóbal Transfer to airport,,,,,,]</v>
      </c>
      <c r="C18" s="3" t="s">
        <v>200</v>
      </c>
      <c r="D18" s="13" t="s">
        <v>380</v>
      </c>
      <c r="E18" s="13" t="s">
        <v>381</v>
      </c>
      <c r="F18" s="13" t="s">
        <v>382</v>
      </c>
      <c r="G18" s="13" t="s">
        <v>383</v>
      </c>
      <c r="H18" s="13" t="s">
        <v>384</v>
      </c>
      <c r="I18" s="13" t="s">
        <v>382</v>
      </c>
      <c r="J18" s="13" t="s">
        <v>393</v>
      </c>
      <c r="K18" s="13" t="s">
        <v>385</v>
      </c>
    </row>
    <row r="19" spans="1:17" ht="93.6">
      <c r="A19">
        <v>18</v>
      </c>
      <c r="B19" t="str">
        <f t="shared" si="0"/>
        <v>[Santiago Egas Port AM  / Bartolomé PM (8D B),Baltra Transfer to boat / Santa Cruz Black Turtle Cove PM (8D A IN)
North Seymour AM / Transfer to airport (8D B OUT),Genovesa Barranco AM  / Darwin Bay PM (8D A),Santiago Sullivan Bay AM / Rábida PM  (8D A),Santa Cruz  Breeding Center AM / Highlands PM (8D A),Santa Cruz  Dragon Hill  AM / Bachas Beach PM (8D A),Floreana Post Office Bay AM / Cormorant Point + Devil's Crown PM (8D A),Española Suárez Point AM / Gardner Bay PM (8D A),San Cristobal  Gianni Arismendi Interpretation Center  AM / Transfer to airport (8D A OUT)
San Cristóbal Transfer to boat / Breeding Center or Puerto Chino PM (8D B IN),Santa Fe AM / South plaza PM (8D B),Santa Cruz Fausto Lleran Breeding Center  AM / Twin Craters  PM (8D B),Isabela Moreno Point AM /  Elizabeth Bay PM (8D B),Isabela Urbina Bay AM  / Tagus Cove PM (8D B),Fernandina Espinoza Point AM  / Isabela Viente Roca Point PM (8D B)]</v>
      </c>
      <c r="C19" s="2" t="s">
        <v>79</v>
      </c>
      <c r="D19" s="13" t="s">
        <v>564</v>
      </c>
      <c r="E19" s="13" t="s">
        <v>565</v>
      </c>
      <c r="F19" s="13" t="s">
        <v>552</v>
      </c>
      <c r="G19" s="13" t="s">
        <v>553</v>
      </c>
      <c r="H19" s="13" t="s">
        <v>554</v>
      </c>
      <c r="I19" s="13" t="s">
        <v>555</v>
      </c>
      <c r="J19" s="13" t="s">
        <v>556</v>
      </c>
      <c r="K19" s="13" t="s">
        <v>557</v>
      </c>
      <c r="L19" s="13" t="s">
        <v>558</v>
      </c>
      <c r="M19" s="13" t="s">
        <v>559</v>
      </c>
      <c r="N19" s="13" t="s">
        <v>560</v>
      </c>
      <c r="O19" s="13" t="s">
        <v>561</v>
      </c>
      <c r="P19" s="13" t="s">
        <v>562</v>
      </c>
      <c r="Q19" s="13" t="s">
        <v>563</v>
      </c>
    </row>
    <row r="20" spans="1:17" ht="31.2">
      <c r="A20">
        <v>19</v>
      </c>
      <c r="B20" t="str">
        <f t="shared" si="0"/>
        <v>[Isabela - Oeste,ISABELA, FERNANDINA - OESTE,ISABELA - OESTE,SANTIAGO - OESTE,SEYMOUR NORTE, SANTA CRUZ - OESTE,BALTRA - OESTE / PUERTO AYORA - ESTE,ESPAÑOLA - ESTE,SAN CRISTÓBAL - ESTE,SANTA FE,  PLAZAS - ESTE,GENOVESA - ESTE,SANTIAGO, BARTOLOMÉ - ESTE,RÁBIDA, SOMBRERO CHINO - ESTE,BALTRA - ESTE / PUERTO AYORA - OESTE ,FLOREANA - OESTE]</v>
      </c>
      <c r="C20" s="2" t="s">
        <v>17</v>
      </c>
      <c r="D20" s="13" t="s">
        <v>209</v>
      </c>
      <c r="E20" s="13" t="s">
        <v>30</v>
      </c>
      <c r="F20" s="13" t="s">
        <v>29</v>
      </c>
      <c r="G20" s="13" t="s">
        <v>31</v>
      </c>
      <c r="H20" s="13" t="s">
        <v>32</v>
      </c>
      <c r="I20" s="13" t="s">
        <v>33</v>
      </c>
      <c r="J20" s="13" t="s">
        <v>21</v>
      </c>
      <c r="K20" s="13" t="s">
        <v>22</v>
      </c>
      <c r="L20" s="13" t="s">
        <v>23</v>
      </c>
      <c r="M20" s="13" t="s">
        <v>24</v>
      </c>
      <c r="N20" s="13" t="s">
        <v>25</v>
      </c>
      <c r="O20" s="13" t="s">
        <v>26</v>
      </c>
      <c r="P20" s="13" t="s">
        <v>27</v>
      </c>
      <c r="Q20" s="13" t="s">
        <v>28</v>
      </c>
    </row>
    <row r="21" spans="1:17" ht="46.8">
      <c r="A21">
        <v>20</v>
      </c>
      <c r="B21" t="str">
        <f t="shared" si="0"/>
        <v>[,,,,Baltra Transfer to boat / Santa Cruz Bachas PM (7D SE IN),San Cristobal Punta Pitt  AM / Cerro Colorado Breeding Center PM,Española Gardner Bay AM / Punta Suárez PM,Floreana  Punta Cormorant AM / Post Office Bay PM,Isabela  Moreno Point AM / Fernandina Mangle Point PM,Eden Islet AM / North Seymour PM,Baltra Transfer to airport (7D SE OUT),,,]</v>
      </c>
      <c r="C21" s="2" t="s">
        <v>133</v>
      </c>
      <c r="H21" s="13" t="s">
        <v>588</v>
      </c>
      <c r="I21" s="13" t="s">
        <v>589</v>
      </c>
      <c r="J21" s="13" t="s">
        <v>590</v>
      </c>
      <c r="K21" s="13" t="s">
        <v>591</v>
      </c>
      <c r="L21" s="13" t="s">
        <v>592</v>
      </c>
      <c r="M21" s="13" t="s">
        <v>593</v>
      </c>
      <c r="N21" s="13" t="s">
        <v>594</v>
      </c>
    </row>
    <row r="22" spans="1:17" ht="46.8">
      <c r="A22">
        <v>21</v>
      </c>
      <c r="B22" t="str">
        <f t="shared" si="0"/>
        <v>[,,,,Baltra Transfer to boat / North Seymour PM (7D IN),Isabela Vicente Roca Point AM  / Fernandina Espinoza Point PM,Isabela Urbina Bay AM / Tagus Cove PM,Rabida Red Beach AM / Santa Cruz Dragon Hill PM,Santa Cruz Charles Darwin Research StationAM  / Highlands PM,Floreana Post Office Bay AM / Punta Cormorant + Champion islet PM,Baltra Transfer to airport (7D W OUT),,,]</v>
      </c>
      <c r="C22" s="2" t="s">
        <v>115</v>
      </c>
      <c r="H22" s="13" t="s">
        <v>570</v>
      </c>
      <c r="I22" s="13" t="s">
        <v>571</v>
      </c>
      <c r="J22" s="13" t="s">
        <v>572</v>
      </c>
      <c r="K22" s="13" t="s">
        <v>573</v>
      </c>
      <c r="L22" s="13" t="s">
        <v>574</v>
      </c>
      <c r="M22" s="13" t="s">
        <v>575</v>
      </c>
      <c r="N22" s="13" t="s">
        <v>576</v>
      </c>
    </row>
    <row r="23" spans="1:17" ht="46.8">
      <c r="A23">
        <v>22</v>
      </c>
      <c r="B23" t="str">
        <f t="shared" si="0"/>
        <v>[Eden Islet / Santa Cruz (Highlands),Genovesa,Santa Cruz (Dragon Hill) / Santa Fe,Santa Cruz (Bachas / Mosquera Islet),Santiago (Egas Port) / Rábida,Isabela (Urbina Bay / Tagus Cove),Fernandina (Espinoza Point) / Isabela (Vicente Roca Point),Santa Cruz (Highlands) / Bartolomé,South Plaza / North Seymour,San Cristobal (Pitt Point / Witch Hill),San Cristobal (Cerro Colorado Breeding Center / Interpretation Center),Española,Floreana,Santa Cruz (Charles Darwin Station / Highlands)]</v>
      </c>
      <c r="C23" s="2" t="s">
        <v>171</v>
      </c>
      <c r="D23" s="13" t="s">
        <v>174</v>
      </c>
      <c r="E23" s="13" t="s">
        <v>41</v>
      </c>
      <c r="F23" s="13" t="s">
        <v>175</v>
      </c>
      <c r="G23" s="13" t="s">
        <v>176</v>
      </c>
      <c r="H23" s="13" t="s">
        <v>177</v>
      </c>
      <c r="I23" s="13" t="s">
        <v>82</v>
      </c>
      <c r="J23" s="13" t="s">
        <v>85</v>
      </c>
      <c r="K23" s="13" t="s">
        <v>178</v>
      </c>
      <c r="L23" s="13" t="s">
        <v>179</v>
      </c>
      <c r="M23" s="13" t="s">
        <v>120</v>
      </c>
      <c r="N23" s="13" t="s">
        <v>180</v>
      </c>
      <c r="O23" s="13" t="s">
        <v>81</v>
      </c>
      <c r="P23" s="13" t="s">
        <v>80</v>
      </c>
      <c r="Q23" s="13" t="s">
        <v>119</v>
      </c>
    </row>
    <row r="24" spans="1:17" ht="93.6">
      <c r="A24">
        <v>23</v>
      </c>
      <c r="B24" t="str">
        <f t="shared" si="0"/>
        <v>[Bartholomew am / Chinese Hat islet pm - Este,Rabida am / Santa Cruz (Drangon Hill pm) - Este,Santa Cruz (Highlands am /  Fausto Llerena Breeding Center pm) - Este,South Plaza am  / Santa Fe pm,Española (Suarez Point am / Gardner Bay &amp; Osborn islet pm) - Este,Santa Cruz (Pitt Craters am) / Transfer to airport - Este /  Baltra arrival &amp; Transfer to boat am / Santa Cruz Highlands &amp; Fausto Llerena Breeding center pm - Oeste,Floreana (Cormorant Point &amp; Devil´s Crown am / Post Office Bay pm) - Oeste,Floreana (Black beach am / Asilo de la Paz pm) - Oeste,Isabela (Moreno Point am / Urbina Bay pm) - Oeste,Isabela (Tagus Cove am) / Fernandina (Espinoza Point pm) - Oeste,Santiago (Egas Port am / Bucaneer Cove &amp; Espumilla Beach pm) - Oeste,Santiago (Sullivan Bay am) / North Seymour pm - Oeste,Mosquera islet am / Transfer to Baltra - Oeste / Baltra arrival &amp; Transfer to boat am  / Santa Cruz (Black Turtle Cove pm) - Este,Genovesa (Darwin Bay am / Barranco pm) - Este]</v>
      </c>
      <c r="C24" s="3" t="s">
        <v>357</v>
      </c>
      <c r="D24" s="13" t="s">
        <v>230</v>
      </c>
      <c r="E24" s="13" t="s">
        <v>231</v>
      </c>
      <c r="F24" s="13" t="s">
        <v>232</v>
      </c>
      <c r="G24" s="13" t="s">
        <v>233</v>
      </c>
      <c r="H24" s="13" t="s">
        <v>234</v>
      </c>
      <c r="I24" s="13" t="s">
        <v>236</v>
      </c>
      <c r="J24" s="13" t="s">
        <v>237</v>
      </c>
      <c r="K24" s="13" t="s">
        <v>238</v>
      </c>
      <c r="L24" s="13" t="s">
        <v>239</v>
      </c>
      <c r="M24" s="13" t="s">
        <v>240</v>
      </c>
      <c r="N24" s="13" t="s">
        <v>241</v>
      </c>
      <c r="O24" s="13" t="s">
        <v>242</v>
      </c>
      <c r="P24" s="13" t="s">
        <v>243</v>
      </c>
      <c r="Q24" s="13" t="s">
        <v>235</v>
      </c>
    </row>
    <row r="25" spans="1:17" ht="93.6">
      <c r="A25">
        <v>24</v>
      </c>
      <c r="B25" t="str">
        <f t="shared" si="0"/>
        <v>[Floreana Post Office Bay AM / Cormorant Point &amp; Devil's Crown PM (8dB &amp; 4d &amp; 6dB),Santa Cruz Black Turtle Cove AM / Bartolomé PM (8dB) (5d IN solo Bartolomé) (4d &amp; 6dB OUT solo Black Turtle Cove),Genovesa Darwin Bay AM / El Barranco PM (8dB &amp; 5d),Santiago Espumilla Beach &amp; Bucaneer Cove AM / Puerto Egas PM (8dB &amp; 5d),Seymour Norte AM / Santa Cruz Highlands PM (8dB &amp; 5d),Baltra transfer to boat / Chinese Hat PM (8dA &amp; 6dA) - Mosquera Islet / Transfer to airport AM (8dB &amp; 5d),Isabela Vicente Roca Point AM / Fernandina Espinoza Point PM (8dA &amp; 6dA),Isabela Tagus Cove AM / Urbina Bay PM (8dA &amp; 6dA),Isabela Elizabeth Bay  AM / Moreno Point PM (8dA &amp; 6dA),Santa Cruz Charles Darwin Station AM / Highlands PM (8dA &amp; 6dA),South Plaza AM  / Santa Fe PM (8dA) (6dB IN solo Santa Fe) (6dA OUT solo South Plaza),Española Suarez Point AM / Gardner Bay &amp; Osborn Islet PM (8dA &amp; 6dB),San Cristóbal Centro de Interpretación / Transfer to airport AM (8dA) - San Cristóbal transfer to boat / Isla Lobos &amp; Kicker Rock PM (8dB &amp; 4d) (6dB itinerario completo),San Cristobal Pitt Point AM / Witch Hill PM (8dB &amp; 4d &amp; 6dB)]</v>
      </c>
      <c r="C25" s="3" t="s">
        <v>197</v>
      </c>
      <c r="D25" s="13" t="s">
        <v>322</v>
      </c>
      <c r="E25" s="13" t="s">
        <v>323</v>
      </c>
      <c r="F25" s="13" t="s">
        <v>316</v>
      </c>
      <c r="G25" s="13" t="s">
        <v>317</v>
      </c>
      <c r="H25" s="13" t="s">
        <v>318</v>
      </c>
      <c r="I25" s="13" t="s">
        <v>324</v>
      </c>
      <c r="J25" s="13" t="s">
        <v>325</v>
      </c>
      <c r="K25" s="13" t="s">
        <v>326</v>
      </c>
      <c r="L25" s="13" t="s">
        <v>327</v>
      </c>
      <c r="M25" s="13" t="s">
        <v>328</v>
      </c>
      <c r="N25" s="13" t="s">
        <v>329</v>
      </c>
      <c r="O25" s="13" t="s">
        <v>319</v>
      </c>
      <c r="P25" s="13" t="s">
        <v>320</v>
      </c>
      <c r="Q25" s="13" t="s">
        <v>321</v>
      </c>
    </row>
    <row r="26" spans="1:17" ht="62.4">
      <c r="A26">
        <v>25</v>
      </c>
      <c r="B26" t="str">
        <f t="shared" si="0"/>
        <v>[Genovesa Prince Phillip's Steps AM / Darwin Bay PM (B),Santa Cruz Bachas Beach or Black Turtle Cove AM / Cerro Dragón PM (B),Isabela Punta Vicente Roca o Elizabeth Bay AM / Urbina Bay PM (B),Fernandina Punta Espinosa AM / Isabela Tagus Cove PM (B),Rabida AM / Santiago Puerto Egas or Santa Cruz Black Turtle Cove PM (B),Santa Cruz Breeding Center  ECCD AM / Highlands PM (B),San Cristóbal Transfer to boat / Leon Dormido PM (A) - Centro de Interpretación / Transfer to airport (B),San Cristóbal Punta Pitt AM / Cerro Brujo PM (A),Española Punta Suárez &amp; Orborn islet AM / Gardner bay  &amp; Gardner islet PM (A),Floreana Punta Cormorant &amp; Devil's Crown AM / Post Office Bay &amp; La Baronesa Point PM (A),Santa Cruz Highlands AM / Centro de Crianza ECCD PM (A),Sombrero Chino &amp; Santa Cruz Bachas Beach or Black Turtle Cove AM / Bartolomé PM (A),South Plazas AM / North Seymour PM (A),San Cristóbal Centro de Interpretacion / Transfer to airport (A &amp; B) ]</v>
      </c>
      <c r="C26" s="3" t="s">
        <v>204</v>
      </c>
      <c r="D26" s="13" t="s">
        <v>440</v>
      </c>
      <c r="E26" s="13" t="s">
        <v>441</v>
      </c>
      <c r="F26" s="13" t="s">
        <v>442</v>
      </c>
      <c r="G26" s="13" t="s">
        <v>443</v>
      </c>
      <c r="H26" s="13" t="s">
        <v>444</v>
      </c>
      <c r="I26" s="13" t="s">
        <v>445</v>
      </c>
      <c r="J26" s="13" t="s">
        <v>446</v>
      </c>
      <c r="K26" s="13" t="s">
        <v>433</v>
      </c>
      <c r="L26" s="13" t="s">
        <v>434</v>
      </c>
      <c r="M26" s="13" t="s">
        <v>436</v>
      </c>
      <c r="N26" s="13" t="s">
        <v>435</v>
      </c>
      <c r="O26" s="13" t="s">
        <v>437</v>
      </c>
      <c r="P26" s="13" t="s">
        <v>438</v>
      </c>
      <c r="Q26" s="13" t="s">
        <v>439</v>
      </c>
    </row>
    <row r="27" spans="1:17" ht="31.2">
      <c r="A27">
        <v>26</v>
      </c>
      <c r="B27" t="str">
        <f t="shared" si="0"/>
        <v>[Floreana (Black Beach / Asilo de la  Paz ),Isabela (Moreno Point - Urbina Bay),Isabela (Tagus Cove) / Fernandina (Espinosa Point),Santiago (Egas Port / Espumilla Beach/ Buccaneer Cove),Santiago (Sullivan Bay) / North Seymour,Mosquera Islet / Santa Cruz (Black Turttle Cove),Genovesa,Bartolome / Chinesse Hat,Rabida / Santa Cruz (Dragon Hill),Santa Cruz (Highlands / Charles Darwin Station),South Plaza  / Santa Fe,Española,Santa Cruz (Twin Craters / Highlands Breeding Center,Floreana]</v>
      </c>
      <c r="C27" s="2" t="s">
        <v>88</v>
      </c>
      <c r="D27" s="13" t="s">
        <v>90</v>
      </c>
      <c r="E27" s="13" t="s">
        <v>61</v>
      </c>
      <c r="F27" s="13" t="s">
        <v>91</v>
      </c>
      <c r="G27" s="13" t="s">
        <v>92</v>
      </c>
      <c r="H27" s="13" t="s">
        <v>93</v>
      </c>
      <c r="I27" s="13" t="s">
        <v>94</v>
      </c>
      <c r="J27" s="13" t="s">
        <v>41</v>
      </c>
      <c r="K27" s="13" t="s">
        <v>95</v>
      </c>
      <c r="L27" s="13" t="s">
        <v>96</v>
      </c>
      <c r="M27" s="13" t="s">
        <v>97</v>
      </c>
      <c r="N27" s="13" t="s">
        <v>98</v>
      </c>
      <c r="O27" s="13" t="s">
        <v>81</v>
      </c>
      <c r="P27" s="13" t="s">
        <v>99</v>
      </c>
      <c r="Q27" s="13" t="s">
        <v>80</v>
      </c>
    </row>
    <row r="28" spans="1:17" ht="78">
      <c r="A28">
        <v>27</v>
      </c>
      <c r="B28" t="str">
        <f t="shared" si="0"/>
        <v>[Santa Cruz Centro de Crianza Fausto Llerena AM / Parte Alta PM (8D B) ,Santiago Sullivan Bay AM / Bartolomé PM (8DB),Genovesa Darwin Bay AM / Prince Phillip's Steps PM (8D B),Santiago Egas Port AM / Espumilla Beach &amp; Bucaneer Cove PM (8D B),Baltra transfer to boat AM / North Seymour PM (8D A) 
Santa Cruz Punta Carrion &amp; Transfer to airport AM (8D B),Isabela Vicente Roca Point AM / Fernandina Punta Espinosa PM (8D A),Isabela Tagus Cove AM / Urbina Bay PM (8D A),Isabela Elizabeth Bay AM / Punta Moreno PM (8D A),Isabela Sierra Negra AM /  Humedales + Centro de Crianza Arnaldo Tupiza PM (8D A),Santa Cruz Centro de Crianza Fausto Llerena AM / Gemelos PM (8D A),Plazas Sur AM / Santa Fe PM (8D A),San Cristóbal Isla Lobos / Transfer to airport AM (8D A OUT) 
San Cristóbal transfer to boat AM / Centro de Interpretación &amp; Galapaguera PM (8D B IN),Española Gardner Bay &amp; Osborn Islet AM / Suarez Point PM (8D B),Floreana Cormorant Point + Devil's Crown AM / Post Office Bay PM (8D B)]</v>
      </c>
      <c r="C28" s="3" t="s">
        <v>182</v>
      </c>
      <c r="D28" s="13" t="s">
        <v>464</v>
      </c>
      <c r="E28" s="13" t="s">
        <v>465</v>
      </c>
      <c r="F28" s="13" t="s">
        <v>466</v>
      </c>
      <c r="G28" s="13" t="s">
        <v>467</v>
      </c>
      <c r="H28" s="13" t="s">
        <v>468</v>
      </c>
      <c r="I28" s="13" t="s">
        <v>469</v>
      </c>
      <c r="J28" s="13" t="s">
        <v>470</v>
      </c>
      <c r="K28" s="13" t="s">
        <v>471</v>
      </c>
      <c r="L28" s="13" t="s">
        <v>472</v>
      </c>
      <c r="M28" s="13" t="s">
        <v>473</v>
      </c>
      <c r="N28" s="13" t="s">
        <v>474</v>
      </c>
      <c r="O28" s="13" t="s">
        <v>475</v>
      </c>
      <c r="P28" s="13" t="s">
        <v>476</v>
      </c>
      <c r="Q28" s="13" t="s">
        <v>477</v>
      </c>
    </row>
    <row r="29" spans="1:17" ht="46.8">
      <c r="A29">
        <v>28</v>
      </c>
      <c r="B29" t="str">
        <f t="shared" si="0"/>
        <v>[Isabela (Punta Moreno am / Elizabethe Bay pm) - Oeste,Isabela (Urbina Bay am) / Fernandina (Punta Espinoza pm) - Oeste,Isabela (Tagus Cove am / Vicente Roca Point pm) - Oeste,Santiago (Espumilla Beach or Bucaneer Cove am / Puerto Egas pm) - Oeste,Santa Cruz (Bachas am) / North Seymour pm - Oeste,Transfer Baltra - Oeste / Santa Cruz (Breeding Center pm) - Este,Española (Garner Bay / Gardner Islet / Osborn Islet am / Suarez Point pm) - Este,San Cristobal (Lobos Island / Kicker Rock am / Pitt Point pm) - Este,Santa Fe am / South Plazas pm - Este,Genovesa (Darwin Bay am / El Barranco pm) - Este,Santiago (Sullivan Bay am) / Bartholomew Island pm - Este,Rabida Island am / Chinese Hat Islet pm,Transfer to Baltra - Este /  Transfer to boat / Twin Craters pm - Oeste,Floreana (Cormorant Point / Champion Islet am / Post Office Bay pm) - Oeste]</v>
      </c>
      <c r="C29" s="3" t="s">
        <v>193</v>
      </c>
      <c r="D29" s="13" t="s">
        <v>210</v>
      </c>
      <c r="E29" s="13" t="s">
        <v>211</v>
      </c>
      <c r="F29" s="13" t="s">
        <v>212</v>
      </c>
      <c r="G29" s="13" t="s">
        <v>213</v>
      </c>
      <c r="H29" s="13" t="s">
        <v>214</v>
      </c>
      <c r="I29" s="13" t="s">
        <v>215</v>
      </c>
      <c r="J29" s="13" t="s">
        <v>216</v>
      </c>
      <c r="K29" s="13" t="s">
        <v>217</v>
      </c>
      <c r="L29" s="13" t="s">
        <v>218</v>
      </c>
      <c r="M29" s="13" t="s">
        <v>219</v>
      </c>
      <c r="N29" s="13" t="s">
        <v>220</v>
      </c>
      <c r="O29" s="13" t="s">
        <v>221</v>
      </c>
      <c r="P29" s="13" t="s">
        <v>222</v>
      </c>
      <c r="Q29" s="13" t="s">
        <v>223</v>
      </c>
    </row>
    <row r="30" spans="1:17" ht="31.2">
      <c r="A30">
        <v>29</v>
      </c>
      <c r="B30" t="str">
        <f t="shared" si="0"/>
        <v>[Santa Cruz (Bachas),Santiago (Buccaneer Cove / Egas Port),Rábida / Bartolomé,Genovesa,Santa Cruz ( Giant Tortoise Reserve) / Mosquera Islet,San Cristobal (Cerro Colorado Breeding Center / Punta Pitt),Santa Fe / South Plaza,Santa Cruz (Charles Darwin Station / Highlands),Española,Eden Islet / North Seymour,Santa Cruz (Dragon Hill),Isabela (Vicente Roca Point) / Fernandina (Espinoza Point),Santa Cruz (Charles Darwin Station / Highlands),Floreana]</v>
      </c>
      <c r="C30" s="2" t="s">
        <v>121</v>
      </c>
      <c r="D30" s="13" t="s">
        <v>124</v>
      </c>
      <c r="E30" s="13" t="s">
        <v>125</v>
      </c>
      <c r="F30" s="13" t="s">
        <v>126</v>
      </c>
      <c r="G30" s="13" t="s">
        <v>41</v>
      </c>
      <c r="H30" s="13" t="s">
        <v>127</v>
      </c>
      <c r="I30" s="13" t="s">
        <v>128</v>
      </c>
      <c r="J30" s="13" t="s">
        <v>129</v>
      </c>
      <c r="K30" s="13" t="s">
        <v>119</v>
      </c>
      <c r="L30" s="13" t="s">
        <v>81</v>
      </c>
      <c r="M30" s="13" t="s">
        <v>130</v>
      </c>
      <c r="N30" s="13" t="s">
        <v>131</v>
      </c>
      <c r="O30" s="13" t="s">
        <v>118</v>
      </c>
      <c r="P30" s="13" t="s">
        <v>119</v>
      </c>
      <c r="Q30" s="13" t="s">
        <v>80</v>
      </c>
    </row>
    <row r="31" spans="1:17" ht="46.8">
      <c r="A31">
        <v>30</v>
      </c>
      <c r="B31" t="str">
        <f t="shared" si="0"/>
        <v>[San Cristobal ( Interpretation Center / Lobos island),San Cristobal (Pitt Point, Witch Hill, Kicker Rock),Española,Floreana,North Seymour / Bartolomé,Genovesa,South Plaza / Santa Fe,Santa Cruz (The Twins / El Chato / Highlands Breeding Center),Chinesse Hat / Rábida,Santiago (Espumilla Beach/ Buccaneer Cove / Egas Port),Fernandina (Espinoza Point) / Isabela (Tagus Cove),Isabela (Elizabeth Bay / Moreno Point),Isabela (Tintoreras / Volcano Chico / Wall of Tears / Breeding Center),Santa Cruz (Highlands / Tortuga Bay)]</v>
      </c>
      <c r="C31" s="2" t="s">
        <v>103</v>
      </c>
      <c r="D31" s="13" t="s">
        <v>105</v>
      </c>
      <c r="E31" s="13" t="s">
        <v>106</v>
      </c>
      <c r="F31" s="13" t="s">
        <v>81</v>
      </c>
      <c r="G31" s="13" t="s">
        <v>80</v>
      </c>
      <c r="H31" s="13" t="s">
        <v>107</v>
      </c>
      <c r="I31" s="13" t="s">
        <v>41</v>
      </c>
      <c r="J31" s="13" t="s">
        <v>84</v>
      </c>
      <c r="K31" s="13" t="s">
        <v>108</v>
      </c>
      <c r="L31" s="13" t="s">
        <v>109</v>
      </c>
      <c r="M31" s="13" t="s">
        <v>110</v>
      </c>
      <c r="N31" s="13" t="s">
        <v>111</v>
      </c>
      <c r="O31" s="13" t="s">
        <v>112</v>
      </c>
      <c r="P31" s="13" t="s">
        <v>113</v>
      </c>
      <c r="Q31" s="13" t="s">
        <v>114</v>
      </c>
    </row>
    <row r="32" spans="1:17" ht="31.2">
      <c r="A32">
        <v>31</v>
      </c>
      <c r="B32" t="str">
        <f t="shared" si="0"/>
        <v>[,,,,,Baltra Transfer to boat / Santa Cruz Punta Carrión PM,Baltra north AM / Seymour land visit PM,Wolf island,Darwin island,Wolf island,Fernandina Cabo Douglas AM / Isabela Punta Vicente Roca PM,Santiago Cousin's Rock AM / Santa Cruz Highlands PM (dinner on own),Baltra transfer to airport,]</v>
      </c>
      <c r="C32" s="3" t="s">
        <v>203</v>
      </c>
      <c r="I32" s="13" t="s">
        <v>426</v>
      </c>
      <c r="J32" s="13" t="s">
        <v>427</v>
      </c>
      <c r="K32" s="13" t="s">
        <v>382</v>
      </c>
      <c r="L32" s="13" t="s">
        <v>391</v>
      </c>
      <c r="M32" s="13" t="s">
        <v>382</v>
      </c>
      <c r="N32" s="13" t="s">
        <v>339</v>
      </c>
      <c r="O32" s="13" t="s">
        <v>428</v>
      </c>
      <c r="P32" s="13" t="s">
        <v>337</v>
      </c>
    </row>
    <row r="33" spans="3:3">
      <c r="C33" s="3"/>
    </row>
    <row r="34" spans="3:3">
      <c r="C34" s="3"/>
    </row>
    <row r="71" spans="3:3">
      <c r="C71" s="3"/>
    </row>
    <row r="72" spans="3:3">
      <c r="C72" s="3"/>
    </row>
    <row r="73" spans="3:3">
      <c r="C73" s="3"/>
    </row>
    <row r="74" spans="3:3">
      <c r="C74" s="3"/>
    </row>
    <row r="75" spans="3:3">
      <c r="C75" s="3"/>
    </row>
    <row r="76" spans="3:3">
      <c r="C76" s="3"/>
    </row>
    <row r="77" spans="3:3">
      <c r="C77" s="3"/>
    </row>
    <row r="78" spans="3:3">
      <c r="C78" s="3"/>
    </row>
    <row r="79" spans="3:3">
      <c r="C79" s="3"/>
    </row>
    <row r="80" spans="3:3">
      <c r="C80" s="3"/>
    </row>
    <row r="81" spans="3:3">
      <c r="C81" s="3"/>
    </row>
  </sheetData>
  <sortState xmlns:xlrd2="http://schemas.microsoft.com/office/spreadsheetml/2017/richdata2" ref="C2:R82">
    <sortCondition ref="C2:C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CRUISE</vt:lpstr>
      <vt:lpstr>CRUISE_DETAIL</vt:lpstr>
      <vt:lpstr>ITINERARY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2022-04-26T16:23:08Z</dcterms:modified>
</cp:coreProperties>
</file>