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worksheets/_rels/sheet9.xml.rels" ContentType="application/vnd.openxmlformats-package.relationships+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4.xml.rels" ContentType="application/vnd.openxmlformats-package.relationships+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laughterhouse IQC" sheetId="2" state="visible" r:id="rId4"/>
    <sheet name="Quality Dashboard" sheetId="14" state="visible" r:id="rId17"/>
    <sheet name="Monthly Breakdown" sheetId="15" state="visible" r:id="rId18"/>
    <sheet name="Apr 2026" sheetId="16" state="visible" r:id="rId19"/>
    <sheet name="May 2026" sheetId="17" state="visible" r:id="rId20"/>
    <sheet name="Jun 2026" sheetId="18" state="visible" r:id="rId21"/>
    <sheet name="Jul 2026" sheetId="19" state="visible" r:id="rId22"/>
    <sheet name="Aug 2026" sheetId="20" state="visible" r:id="rId23"/>
    <sheet name="SmartAssessment" sheetId="12" state="visible" r:id="rId15"/>
    <sheet name="Defect Atlas" sheetId="9" state="visible" r:id="rId11"/>
    <sheet name="README" sheetId="10" state="visible" r:id="rId12"/>
  </sheet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<sst xmlns="http://schemas.openxmlformats.org/spreadsheetml/2006/main" count="1818" uniqueCount="303">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</sst>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4" Type="http://schemas.openxmlformats.org/officeDocument/2006/relationships/worksheet" Target="worksheets/sheet2.xml"/><Relationship Id="rId11" Type="http://schemas.openxmlformats.org/officeDocument/2006/relationships/worksheet" Target="worksheets/sheet9.xml"/><Relationship Id="rId12" Type="http://schemas.openxmlformats.org/officeDocument/2006/relationships/worksheet" Target="worksheets/sheet10.xml"/><Relationship Id="rId14" Type="http://schemas.openxmlformats.org/officeDocument/2006/relationships/sharedStrings" Target="sharedStrings.xml"/>
<Relationship Id="rId15" Type="http://schemas.openxmlformats.org/officeDocument/2006/relationships/worksheet" Target="worksheets/sheet12.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2.xml><?xml version="1.0" encoding="utf-8"?>
<worksheet xmlns="http://schemas.openxmlformats.org/spreadsheetml/2006/main" xmlns:r="http://schemas.openxmlformats.org/officeDocument/2006/relationships">
  <dimension ref="A1:M100"/>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s>
  <sheetData>
    <row r="1" ht="22" customHeight="true">
      <c r="A1" s="1" t="inlineStr">
        <is>
          <t xml:space="preserve">SH IQC Inspections — Slaughterhouse-Floor Incoming Quality</t>
        </is>
      </c>
    </row>
    <row r="2" ht="44" customHeight="true">
      <c r="A2" s="2" t="inlineStr">
        <is>
          <t xml:space="preserve">Post-harvest, pre-freeze inspections at the slaughterhouse — all tissue types and parts. 59 part-inspections across 39 visit-days · 3 slaughterhouses (Martins, Parks, Nahunta) · Apr 13 – Aug 19, 2026. One row per part per harvest date.</t>
        </is>
      </c>
    </row>
    <row r="3"/>
    <row r="4" ht="18" customHeight="true">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Tissue Type</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row>
    <row r="6" ht="27.0" customHeight="true">
      <c r="A6" s="5" t="inlineStr">
        <is>
          <t xml:space="preserve">2026-04-13</t>
        </is>
      </c>
      <c r="B6" s="5" t="inlineStr">
        <is>
          <t xml:space="preserve">Martins</t>
        </is>
      </c>
      <c r="C6" s="5" t="inlineStr">
        <is>
          <t xml:space="preserve">Toni</t>
        </is>
      </c>
      <c r="D6" s="5" t="inlineStr">
        <is>
          <t xml:space="preserve">Jesus</t>
        </is>
      </c>
      <c r="E6" s="5" t="inlineStr">
        <is>
          <t xml:space="preserve">Pelvic</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row>
    <row r="7" ht="27.0" customHeight="true">
      <c r="A7" s="5" t="inlineStr">
        <is>
          <t xml:space="preserve">2026-04-13</t>
        </is>
      </c>
      <c r="B7" s="5" t="inlineStr">
        <is>
          <t xml:space="preserve">Martins</t>
        </is>
      </c>
      <c r="C7" s="5" t="inlineStr">
        <is>
          <t xml:space="preserve">Toni</t>
        </is>
      </c>
      <c r="D7" s="5" t="inlineStr">
        <is>
          <t xml:space="preserve">Jesus</t>
        </is>
      </c>
      <c r="E7" s="5" t="inlineStr">
        <is>
          <t xml:space="preserve">Pelvic</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row>
    <row r="8" ht="13.5" customHeight="true">
      <c r="A8" s="5" t="inlineStr">
        <is>
          <t xml:space="preserve">2026-04-15</t>
        </is>
      </c>
      <c r="B8" s="5" t="inlineStr">
        <is>
          <t xml:space="preserve">Martins</t>
        </is>
      </c>
      <c r="C8" s="5" t="inlineStr">
        <is>
          <t xml:space="preserve">Toni</t>
        </is>
      </c>
      <c r="D8" s="5" t="inlineStr">
        <is>
          <t xml:space="preserve">Jesus</t>
        </is>
      </c>
      <c r="E8" s="5" t="inlineStr">
        <is>
          <t xml:space="preserve">Pelvic</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row>
    <row r="9" ht="27.0" customHeight="true">
      <c r="A9" s="5" t="inlineStr">
        <is>
          <t xml:space="preserve">2026-04-15</t>
        </is>
      </c>
      <c r="B9" s="5" t="inlineStr">
        <is>
          <t xml:space="preserve">Martins</t>
        </is>
      </c>
      <c r="C9" s="5" t="inlineStr">
        <is>
          <t xml:space="preserve">Toni</t>
        </is>
      </c>
      <c r="D9" s="5" t="inlineStr">
        <is>
          <t xml:space="preserve">Jesus</t>
        </is>
      </c>
      <c r="E9" s="5" t="inlineStr">
        <is>
          <t xml:space="preserve">Pelvic</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row>
    <row r="10" ht="13.5" customHeight="true">
      <c r="A10" s="5" t="inlineStr">
        <is>
          <t xml:space="preserve">2026-04-20</t>
        </is>
      </c>
      <c r="B10" s="5" t="inlineStr">
        <is>
          <t xml:space="preserve">Martins</t>
        </is>
      </c>
      <c r="C10" s="5" t="inlineStr">
        <is>
          <t xml:space="preserve">Toni</t>
        </is>
      </c>
      <c r="D10" s="5" t="inlineStr">
        <is>
          <t xml:space="preserve">Jesus</t>
        </is>
      </c>
      <c r="E10" s="5" t="inlineStr">
        <is>
          <t xml:space="preserve">Pelvic</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row>
    <row r="11" ht="27.0" customHeight="true">
      <c r="A11" s="5" t="inlineStr">
        <is>
          <t xml:space="preserve">2026-04-20</t>
        </is>
      </c>
      <c r="B11" s="5" t="inlineStr">
        <is>
          <t xml:space="preserve">Martins</t>
        </is>
      </c>
      <c r="C11" s="5" t="inlineStr">
        <is>
          <t xml:space="preserve">Toni</t>
        </is>
      </c>
      <c r="D11" s="5" t="inlineStr">
        <is>
          <t xml:space="preserve">Jesus</t>
        </is>
      </c>
      <c r="E11" s="5" t="inlineStr">
        <is>
          <t xml:space="preserve">Pelvic</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row>
    <row r="12" ht="13.5" customHeight="true">
      <c r="A12" s="5" t="inlineStr">
        <is>
          <t xml:space="preserve">2026-04-22</t>
        </is>
      </c>
      <c r="B12" s="5" t="inlineStr">
        <is>
          <t xml:space="preserve">Martins</t>
        </is>
      </c>
      <c r="C12" s="5" t="inlineStr">
        <is>
          <t xml:space="preserve">Toni</t>
        </is>
      </c>
      <c r="D12" s="5" t="inlineStr">
        <is>
          <t xml:space="preserve">Jesus</t>
        </is>
      </c>
      <c r="E12" s="5" t="inlineStr">
        <is>
          <t xml:space="preserve">Pelvic</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row>
    <row r="13" ht="13.5" customHeight="true">
      <c r="A13" s="5" t="inlineStr">
        <is>
          <t xml:space="preserve">2026-04-22</t>
        </is>
      </c>
      <c r="B13" s="5" t="inlineStr">
        <is>
          <t xml:space="preserve">Martins</t>
        </is>
      </c>
      <c r="C13" s="5" t="inlineStr">
        <is>
          <t xml:space="preserve">Toni</t>
        </is>
      </c>
      <c r="D13" s="5" t="inlineStr">
        <is>
          <t xml:space="preserve">Jesus</t>
        </is>
      </c>
      <c r="E13" s="5" t="inlineStr">
        <is>
          <t xml:space="preserve">Pelvic</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row>
    <row r="14" ht="13.5" customHeight="true">
      <c r="A14" s="5" t="inlineStr">
        <is>
          <t xml:space="preserve">2026-05-04</t>
        </is>
      </c>
      <c r="B14" s="5" t="inlineStr">
        <is>
          <t xml:space="preserve">Martins</t>
        </is>
      </c>
      <c r="C14" s="5" t="inlineStr">
        <is>
          <t xml:space="preserve">Toni</t>
        </is>
      </c>
      <c r="D14" s="5" t="inlineStr">
        <is>
          <t xml:space="preserve">Jesus</t>
        </is>
      </c>
      <c r="E14" s="5" t="inlineStr">
        <is>
          <t xml:space="preserve">Pelvic</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row>
    <row r="15" ht="13.5" customHeight="true">
      <c r="A15" s="5" t="inlineStr">
        <is>
          <t xml:space="preserve">2026-05-04</t>
        </is>
      </c>
      <c r="B15" s="5" t="inlineStr">
        <is>
          <t xml:space="preserve">Martins</t>
        </is>
      </c>
      <c r="C15" s="5" t="inlineStr">
        <is>
          <t xml:space="preserve">Toni</t>
        </is>
      </c>
      <c r="D15" s="5" t="inlineStr">
        <is>
          <t xml:space="preserve">Jesus</t>
        </is>
      </c>
      <c r="E15" s="5" t="inlineStr">
        <is>
          <t xml:space="preserve">Pelvic</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row>
    <row r="16" ht="13.5" customHeight="true">
      <c r="A16" s="5" t="inlineStr">
        <is>
          <t xml:space="preserve">2026-05-06</t>
        </is>
      </c>
      <c r="B16" s="5" t="inlineStr">
        <is>
          <t xml:space="preserve">Martins</t>
        </is>
      </c>
      <c r="C16" s="5" t="inlineStr">
        <is>
          <t xml:space="preserve">Toni</t>
        </is>
      </c>
      <c r="D16" s="5" t="inlineStr">
        <is>
          <t xml:space="preserve">Jesus</t>
        </is>
      </c>
      <c r="E16" s="5" t="inlineStr">
        <is>
          <t xml:space="preserve">Pelvic</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row>
    <row r="17" ht="13.5" customHeight="true">
      <c r="A17" s="5" t="inlineStr">
        <is>
          <t xml:space="preserve">2026-05-06</t>
        </is>
      </c>
      <c r="B17" s="5" t="inlineStr">
        <is>
          <t xml:space="preserve">Martins</t>
        </is>
      </c>
      <c r="C17" s="5" t="inlineStr">
        <is>
          <t xml:space="preserve">Toni</t>
        </is>
      </c>
      <c r="D17" s="5" t="inlineStr">
        <is>
          <t xml:space="preserve">Jesus</t>
        </is>
      </c>
      <c r="E17" s="5" t="inlineStr">
        <is>
          <t xml:space="preserve">Pelvic</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row>
    <row r="18" ht="13.5" customHeight="true">
      <c r="A18" s="5" t="inlineStr">
        <is>
          <t xml:space="preserve">2026-05-18</t>
        </is>
      </c>
      <c r="B18" s="5" t="inlineStr">
        <is>
          <t xml:space="preserve">Martins</t>
        </is>
      </c>
      <c r="C18" s="5" t="inlineStr">
        <is>
          <t xml:space="preserve">Toni</t>
        </is>
      </c>
      <c r="D18" s="5" t="inlineStr">
        <is>
          <t xml:space="preserve">Jesus</t>
        </is>
      </c>
      <c r="E18" s="5" t="inlineStr">
        <is>
          <t xml:space="preserve">Pelvic</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row>
    <row r="19" ht="13.5" customHeight="true">
      <c r="A19" s="5" t="inlineStr">
        <is>
          <t xml:space="preserve">2026-05-18</t>
        </is>
      </c>
      <c r="B19" s="5" t="inlineStr">
        <is>
          <t xml:space="preserve">Martins</t>
        </is>
      </c>
      <c r="C19" s="5" t="inlineStr">
        <is>
          <t xml:space="preserve">Toni</t>
        </is>
      </c>
      <c r="D19" s="5" t="inlineStr">
        <is>
          <t xml:space="preserve">Jesus</t>
        </is>
      </c>
      <c r="E19" s="5" t="inlineStr">
        <is>
          <t xml:space="preserve">Pelvic</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row>
    <row r="20" ht="13.5" customHeight="true">
      <c r="A20" s="5" t="inlineStr">
        <is>
          <t xml:space="preserve">2026-05-21</t>
        </is>
      </c>
      <c r="B20" s="5" t="inlineStr">
        <is>
          <t xml:space="preserve">Martins</t>
        </is>
      </c>
      <c r="C20" s="5" t="inlineStr">
        <is>
          <t xml:space="preserve">Toni</t>
        </is>
      </c>
      <c r="D20" s="5" t="inlineStr">
        <is>
          <t xml:space="preserve">Jesus</t>
        </is>
      </c>
      <c r="E20" s="5" t="inlineStr">
        <is>
          <t xml:space="preserve">Pelvic</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row>
    <row r="21" ht="13.5" customHeight="true">
      <c r="A21" s="5" t="inlineStr">
        <is>
          <t xml:space="preserve">2026-05-21</t>
        </is>
      </c>
      <c r="B21" s="5" t="inlineStr">
        <is>
          <t xml:space="preserve">Martins</t>
        </is>
      </c>
      <c r="C21" s="5" t="inlineStr">
        <is>
          <t xml:space="preserve">Toni</t>
        </is>
      </c>
      <c r="D21" s="5" t="inlineStr">
        <is>
          <t xml:space="preserve">Jesus</t>
        </is>
      </c>
      <c r="E21" s="5" t="inlineStr">
        <is>
          <t xml:space="preserve">Pelvic</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row>
    <row r="22" ht="13.5" customHeight="true">
      <c r="A22" s="5" t="inlineStr">
        <is>
          <t xml:space="preserve">2026-05-27</t>
        </is>
      </c>
      <c r="B22" s="5" t="inlineStr">
        <is>
          <t xml:space="preserve">Martins</t>
        </is>
      </c>
      <c r="C22" s="5" t="inlineStr">
        <is>
          <t xml:space="preserve">Toni</t>
        </is>
      </c>
      <c r="D22" s="5" t="inlineStr">
        <is>
          <t xml:space="preserve">Jesus</t>
        </is>
      </c>
      <c r="E22" s="5" t="inlineStr">
        <is>
          <t xml:space="preserve">Pelvic</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row>
    <row r="23" ht="27.0" customHeight="true">
      <c r="A23" s="5" t="inlineStr">
        <is>
          <t xml:space="preserve">2026-05-28</t>
        </is>
      </c>
      <c r="B23" s="5" t="inlineStr">
        <is>
          <t xml:space="preserve">Parks Family Meats</t>
        </is>
      </c>
      <c r="C23" s="5" t="inlineStr">
        <is>
          <t xml:space="preserve">Rasmin</t>
        </is>
      </c>
      <c r="D23" s="5" t="inlineStr">
        <is>
          <t xml:space="preserve">Natalie</t>
        </is>
      </c>
      <c r="E23" s="5" t="inlineStr">
        <is>
          <t xml:space="preserve">Pelvic</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row>
    <row r="24" ht="13.5" customHeight="true">
      <c r="A24" s="5" t="inlineStr">
        <is>
          <t xml:space="preserve">2026-06-01</t>
        </is>
      </c>
      <c r="B24" s="5" t="inlineStr">
        <is>
          <t xml:space="preserve">Martins</t>
        </is>
      </c>
      <c r="C24" s="5" t="inlineStr">
        <is>
          <t xml:space="preserve">Toni</t>
        </is>
      </c>
      <c r="D24" s="5" t="inlineStr">
        <is>
          <t xml:space="preserve">Jesus</t>
        </is>
      </c>
      <c r="E24" s="5" t="inlineStr">
        <is>
          <t xml:space="preserve">Pelvic</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row>
    <row r="25" ht="13.5" customHeight="true">
      <c r="A25" s="5" t="inlineStr">
        <is>
          <t xml:space="preserve">2026-06-01</t>
        </is>
      </c>
      <c r="B25" s="5" t="inlineStr">
        <is>
          <t xml:space="preserve">Martins</t>
        </is>
      </c>
      <c r="C25" s="5" t="inlineStr">
        <is>
          <t xml:space="preserve">Toni</t>
        </is>
      </c>
      <c r="D25" s="5" t="inlineStr">
        <is>
          <t xml:space="preserve">Jesus</t>
        </is>
      </c>
      <c r="E25" s="5" t="inlineStr">
        <is>
          <t xml:space="preserve">Pelvic</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row>
    <row r="26" ht="13.5" customHeight="true">
      <c r="A26" s="5" t="inlineStr">
        <is>
          <t xml:space="preserve">2026-06-02</t>
        </is>
      </c>
      <c r="B26" s="5" t="inlineStr">
        <is>
          <t xml:space="preserve">Parks Family Meats</t>
        </is>
      </c>
      <c r="C26" s="5" t="inlineStr">
        <is>
          <t xml:space="preserve">Rasmin</t>
        </is>
      </c>
      <c r="D26" s="5" t="inlineStr">
        <is>
          <t xml:space="preserve">Natalie</t>
        </is>
      </c>
      <c r="E26" s="5" t="inlineStr">
        <is>
          <t xml:space="preserve">Pelvic</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row>
    <row r="27" ht="13.5" customHeight="true">
      <c r="A27" s="5" t="inlineStr">
        <is>
          <t xml:space="preserve">2026-06-03</t>
        </is>
      </c>
      <c r="B27" s="5" t="inlineStr">
        <is>
          <t xml:space="preserve">Martins</t>
        </is>
      </c>
      <c r="C27" s="5" t="inlineStr">
        <is>
          <t xml:space="preserve">Toni</t>
        </is>
      </c>
      <c r="D27" s="5" t="inlineStr">
        <is>
          <t xml:space="preserve">Jesus</t>
        </is>
      </c>
      <c r="E27" s="5" t="inlineStr">
        <is>
          <t xml:space="preserve">Pelvic</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row>
    <row r="28" ht="13.5" customHeight="true">
      <c r="A28" s="5" t="inlineStr">
        <is>
          <t xml:space="preserve">2026-06-03</t>
        </is>
      </c>
      <c r="B28" s="5" t="inlineStr">
        <is>
          <t xml:space="preserve">Martins</t>
        </is>
      </c>
      <c r="C28" s="5" t="inlineStr">
        <is>
          <t xml:space="preserve">Toni</t>
        </is>
      </c>
      <c r="D28" s="5" t="inlineStr">
        <is>
          <t xml:space="preserve">Jesus</t>
        </is>
      </c>
      <c r="E28" s="5" t="inlineStr">
        <is>
          <t xml:space="preserve">Pelvic</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row>
    <row r="29" ht="13.5" customHeight="true">
      <c r="A29" s="5" t="inlineStr">
        <is>
          <t xml:space="preserve">2026-06-08</t>
        </is>
      </c>
      <c r="B29" s="5" t="inlineStr">
        <is>
          <t xml:space="preserve">Martins</t>
        </is>
      </c>
      <c r="C29" s="5" t="inlineStr">
        <is>
          <t xml:space="preserve">Toni</t>
        </is>
      </c>
      <c r="D29" s="5" t="inlineStr">
        <is>
          <t xml:space="preserve">Jesus</t>
        </is>
      </c>
      <c r="E29" s="5" t="inlineStr">
        <is>
          <t xml:space="preserve">Pelvic</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row>
    <row r="30" ht="13.5" customHeight="true">
      <c r="A30" s="5" t="inlineStr">
        <is>
          <t xml:space="preserve">2026-06-08</t>
        </is>
      </c>
      <c r="B30" s="5" t="inlineStr">
        <is>
          <t xml:space="preserve">Martins</t>
        </is>
      </c>
      <c r="C30" s="5" t="inlineStr">
        <is>
          <t xml:space="preserve">Toni</t>
        </is>
      </c>
      <c r="D30" s="5" t="inlineStr">
        <is>
          <t xml:space="preserve">Jesus</t>
        </is>
      </c>
      <c r="E30" s="5" t="inlineStr">
        <is>
          <t xml:space="preserve">Pelvic</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row>
    <row r="31" ht="27.0" customHeight="true">
      <c r="A31" s="5" t="inlineStr">
        <is>
          <t xml:space="preserve">2026-06-15</t>
        </is>
      </c>
      <c r="B31" s="5" t="inlineStr">
        <is>
          <t xml:space="preserve">Martins</t>
        </is>
      </c>
      <c r="C31" s="5" t="inlineStr">
        <is>
          <t xml:space="preserve">Toni</t>
        </is>
      </c>
      <c r="D31" s="5" t="inlineStr">
        <is>
          <t xml:space="preserve">Jesus</t>
        </is>
      </c>
      <c r="E31" s="5" t="inlineStr">
        <is>
          <t xml:space="preserve">Pelvic</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row>
    <row r="32" ht="27.0" customHeight="true">
      <c r="A32" s="5" t="inlineStr">
        <is>
          <t xml:space="preserve">2026-06-16</t>
        </is>
      </c>
      <c r="B32" s="5" t="inlineStr">
        <is>
          <t xml:space="preserve">Parks Family Meats</t>
        </is>
      </c>
      <c r="C32" s="5" t="inlineStr">
        <is>
          <t xml:space="preserve">Rasmin</t>
        </is>
      </c>
      <c r="D32" s="5" t="inlineStr">
        <is>
          <t xml:space="preserve">Natalie</t>
        </is>
      </c>
      <c r="E32" s="5" t="inlineStr">
        <is>
          <t xml:space="preserve">Pelvic</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row>
    <row r="33" ht="27.0" customHeight="true">
      <c r="A33" s="5" t="inlineStr">
        <is>
          <t xml:space="preserve">2026-06-22</t>
        </is>
      </c>
      <c r="B33" s="5" t="inlineStr">
        <is>
          <t xml:space="preserve">Parks Family Meats</t>
        </is>
      </c>
      <c r="C33" s="5" t="inlineStr">
        <is>
          <t xml:space="preserve">Rasmin</t>
        </is>
      </c>
      <c r="D33" s="5" t="inlineStr">
        <is>
          <t xml:space="preserve">Natalie</t>
        </is>
      </c>
      <c r="E33" s="5" t="inlineStr">
        <is>
          <t xml:space="preserve">Pelvic</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row>
    <row r="34" ht="13.5" customHeight="true">
      <c r="A34" s="5" t="inlineStr">
        <is>
          <t xml:space="preserve">2026-06-24</t>
        </is>
      </c>
      <c r="B34" s="5" t="inlineStr">
        <is>
          <t xml:space="preserve">Martins</t>
        </is>
      </c>
      <c r="C34" s="5" t="inlineStr">
        <is>
          <t xml:space="preserve">Toni</t>
        </is>
      </c>
      <c r="D34" s="5" t="inlineStr">
        <is>
          <t xml:space="preserve">Jesus</t>
        </is>
      </c>
      <c r="E34" s="5" t="inlineStr">
        <is>
          <t xml:space="preserve">Pelvic</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row>
    <row r="35" ht="13.5" customHeight="true">
      <c r="A35" s="5" t="inlineStr">
        <is>
          <t xml:space="preserve">2026-06-25</t>
        </is>
      </c>
      <c r="B35" s="5" t="inlineStr">
        <is>
          <t xml:space="preserve">Parks Family Meats</t>
        </is>
      </c>
      <c r="C35" s="5" t="inlineStr">
        <is>
          <t xml:space="preserve">Rasmin</t>
        </is>
      </c>
      <c r="D35" s="5" t="inlineStr">
        <is>
          <t xml:space="preserve">Natalie</t>
        </is>
      </c>
      <c r="E35" s="5" t="inlineStr">
        <is>
          <t xml:space="preserve">Pelvic</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row>
    <row r="36" ht="13.5" customHeight="true">
      <c r="A36" s="5" t="inlineStr">
        <is>
          <t xml:space="preserve">2026-06-29</t>
        </is>
      </c>
      <c r="B36" s="5" t="inlineStr">
        <is>
          <t xml:space="preserve">Martins</t>
        </is>
      </c>
      <c r="C36" s="5" t="inlineStr">
        <is>
          <t xml:space="preserve">Toni</t>
        </is>
      </c>
      <c r="D36" s="5" t="inlineStr">
        <is>
          <t xml:space="preserve">Jesus</t>
        </is>
      </c>
      <c r="E36" s="5" t="inlineStr">
        <is>
          <t xml:space="preserve">Pelvic</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row>
    <row r="37" ht="40.0" customHeight="true">
      <c r="A37" s="5" t="inlineStr">
        <is>
          <t xml:space="preserve">2026-06-29</t>
        </is>
      </c>
      <c r="B37" s="5" t="inlineStr">
        <is>
          <t xml:space="preserve">Parks Family Meats</t>
        </is>
      </c>
      <c r="C37" s="5" t="inlineStr">
        <is>
          <t xml:space="preserve">Rasmin</t>
        </is>
      </c>
      <c r="D37" s="5" t="inlineStr">
        <is>
          <t xml:space="preserve">Natalie</t>
        </is>
      </c>
      <c r="E37" s="5" t="inlineStr">
        <is>
          <t xml:space="preserve">Pelvic</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row>
    <row r="38" ht="13.5" customHeight="true">
      <c r="A38" s="5" t="inlineStr">
        <is>
          <t xml:space="preserve">2026-06-29</t>
        </is>
      </c>
      <c r="B38" s="5" t="inlineStr">
        <is>
          <t xml:space="preserve">Martins</t>
        </is>
      </c>
      <c r="C38" s="5" t="inlineStr">
        <is>
          <t xml:space="preserve">Toni</t>
        </is>
      </c>
      <c r="D38" s="5" t="inlineStr">
        <is>
          <t xml:space="preserve">Jesus</t>
        </is>
      </c>
      <c r="E38" s="5" t="inlineStr">
        <is>
          <t xml:space="preserve">Pelvic</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row>
    <row r="39" ht="13.5" customHeight="true">
      <c r="A39" s="5" t="inlineStr">
        <is>
          <t xml:space="preserve">2026-07-06</t>
        </is>
      </c>
      <c r="B39" s="5" t="inlineStr">
        <is>
          <t xml:space="preserve">Martins</t>
        </is>
      </c>
      <c r="C39" s="5" t="inlineStr">
        <is>
          <t xml:space="preserve">Toni</t>
        </is>
      </c>
      <c r="D39" s="5" t="inlineStr">
        <is>
          <t xml:space="preserve">Jesus</t>
        </is>
      </c>
      <c r="E39" s="5" t="inlineStr">
        <is>
          <t xml:space="preserve">Pelvic</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row>
    <row r="40" ht="13.5" customHeight="true">
      <c r="A40" s="5" t="inlineStr">
        <is>
          <t xml:space="preserve">2026-07-06</t>
        </is>
      </c>
      <c r="B40" s="5" t="inlineStr">
        <is>
          <t xml:space="preserve">Martins</t>
        </is>
      </c>
      <c r="C40" s="5" t="inlineStr">
        <is>
          <t xml:space="preserve">Toni</t>
        </is>
      </c>
      <c r="D40" s="5" t="inlineStr">
        <is>
          <t xml:space="preserve">Jesus</t>
        </is>
      </c>
      <c r="E40" s="5" t="inlineStr">
        <is>
          <t xml:space="preserve">Pelvic</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row>
    <row r="41" ht="13.5" customHeight="true">
      <c r="A41" s="5" t="inlineStr">
        <is>
          <t xml:space="preserve">2026-07-13</t>
        </is>
      </c>
      <c r="B41" s="5" t="inlineStr">
        <is>
          <t xml:space="preserve">Martins</t>
        </is>
      </c>
      <c r="C41" s="5" t="inlineStr">
        <is>
          <t xml:space="preserve">Toni</t>
        </is>
      </c>
      <c r="D41" s="5" t="inlineStr">
        <is>
          <t xml:space="preserve">Jesus</t>
        </is>
      </c>
      <c r="E41" s="5" t="inlineStr">
        <is>
          <t xml:space="preserve">Pelvic</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row>
    <row r="42" ht="27.0" customHeight="true">
      <c r="A42" s="5" t="inlineStr">
        <is>
          <t xml:space="preserve">2026-07-13</t>
        </is>
      </c>
      <c r="B42" s="5" t="inlineStr">
        <is>
          <t xml:space="preserve">Parks Family Meats</t>
        </is>
      </c>
      <c r="C42" s="5" t="inlineStr">
        <is>
          <t xml:space="preserve">Rasmin</t>
        </is>
      </c>
      <c r="D42" s="5" t="inlineStr">
        <is>
          <t xml:space="preserve">Natalie</t>
        </is>
      </c>
      <c r="E42" s="5" t="inlineStr">
        <is>
          <t xml:space="preserve">Pelvic</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row>
    <row r="43" ht="13.5" customHeight="true">
      <c r="A43" s="5" t="inlineStr">
        <is>
          <t xml:space="preserve">2026-07-13</t>
        </is>
      </c>
      <c r="B43" s="5" t="inlineStr">
        <is>
          <t xml:space="preserve">Martins</t>
        </is>
      </c>
      <c r="C43" s="5" t="inlineStr">
        <is>
          <t xml:space="preserve">Toni</t>
        </is>
      </c>
      <c r="D43" s="5" t="inlineStr">
        <is>
          <t xml:space="preserve">Jesus</t>
        </is>
      </c>
      <c r="E43" s="5" t="inlineStr">
        <is>
          <t xml:space="preserve">Pelvic</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row>
    <row r="44" ht="27.0" customHeight="true">
      <c r="A44" s="5" t="inlineStr">
        <is>
          <t xml:space="preserve">2026-07-16</t>
        </is>
      </c>
      <c r="B44" s="5" t="inlineStr">
        <is>
          <t xml:space="preserve">Parks Family Meats</t>
        </is>
      </c>
      <c r="C44" s="5" t="inlineStr">
        <is>
          <t xml:space="preserve">Rasmin</t>
        </is>
      </c>
      <c r="D44" s="5" t="inlineStr">
        <is>
          <t xml:space="preserve">Natalie</t>
        </is>
      </c>
      <c r="E44" s="5" t="inlineStr">
        <is>
          <t xml:space="preserve">Pelvic</t>
        </is>
      </c>
      <c r="F44" s="5" t="inlineStr">
        <is>
          <t xml:space="preserve">666518</t>
        </is>
      </c>
      <c r="G44" s="5" t="inlineStr">
        <is>
          <t xml:space="preserve">Intact (SM)</t>
        </is>
      </c>
      <c r="H44" s="5" t="inlineStr">
        <is>
          <t xml:space="preserve">(no batch data)</t>
        </is>
      </c>
      <c r="I44" s="6" t="n">
        <v>24</v>
      </c>
      <c r="J44" s="6" t="n">
        <v>20</v>
      </c>
      <c r="K44" s="6" t="n">
        <v>4</v>
      </c>
      <c r="L44" s="15" t="n">
        <f aca="false">IFERROR(J44/I44,0)</f>
      </c>
      <c r="M44" s="16" t="inlineStr">
        <is>
          <t xml:space="preserve">2 short (bowel snapped before cut to length); 2 holes in mesentery critical area</t>
        </is>
      </c>
    </row>
    <row r="45" ht="13.5" customHeight="true">
      <c r="A45" s="5" t="inlineStr">
        <is>
          <t xml:space="preserve">2026-07-20</t>
        </is>
      </c>
      <c r="B45" s="5" t="inlineStr">
        <is>
          <t xml:space="preserve">Martins</t>
        </is>
      </c>
      <c r="C45" s="5" t="inlineStr">
        <is>
          <t xml:space="preserve">Toni</t>
        </is>
      </c>
      <c r="D45" s="5" t="inlineStr">
        <is>
          <t xml:space="preserve">Jesus</t>
        </is>
      </c>
      <c r="E45" s="5" t="inlineStr">
        <is>
          <t xml:space="preserve">Pelvic</t>
        </is>
      </c>
      <c r="F45" s="5" t="inlineStr">
        <is>
          <t xml:space="preserve">666506</t>
        </is>
      </c>
      <c r="G45" s="5" t="inlineStr">
        <is>
          <t xml:space="preserve">Non-intact</t>
        </is>
      </c>
      <c r="H45" s="5" t="inlineStr">
        <is>
          <t xml:space="preserve">5502495104</t>
        </is>
      </c>
      <c r="I45" s="6" t="n">
        <v>30</v>
      </c>
      <c r="J45" s="6" t="n">
        <v>29</v>
      </c>
      <c r="K45" s="6" t="n">
        <v>1</v>
      </c>
      <c r="L45" s="15" t="n">
        <f aca="false">IFERROR(J45/I45,0)</f>
      </c>
      <c r="M45" s="16" t="inlineStr">
        <is>
          <t xml:space="preserve">1 large membrane damage</t>
        </is>
      </c>
    </row>
    <row r="46" ht="40.0" customHeight="true">
      <c r="A46" s="5" t="inlineStr">
        <is>
          <t xml:space="preserve">2026-07-20</t>
        </is>
      </c>
      <c r="B46" s="5" t="inlineStr">
        <is>
          <t xml:space="preserve">Martins</t>
        </is>
      </c>
      <c r="C46" s="5" t="inlineStr">
        <is>
          <t xml:space="preserve">Toni</t>
        </is>
      </c>
      <c r="D46" s="5" t="inlineStr">
        <is>
          <t xml:space="preserve">Jesus</t>
        </is>
      </c>
      <c r="E46" s="5" t="inlineStr">
        <is>
          <t xml:space="preserve">Pelvic</t>
        </is>
      </c>
      <c r="F46" s="5" t="inlineStr">
        <is>
          <t xml:space="preserve">666541</t>
        </is>
      </c>
      <c r="G46" s="5" t="inlineStr">
        <is>
          <t xml:space="preserve">Intact</t>
        </is>
      </c>
      <c r="H46" s="5" t="inlineStr">
        <is>
          <t xml:space="preserve">5502495107</t>
        </is>
      </c>
      <c r="I46" s="6" t="n">
        <v>65</v>
      </c>
      <c r="J46" s="6" t="n">
        <v>63</v>
      </c>
      <c r="K46" s="6" t="n">
        <v>2</v>
      </c>
      <c r="L46" s="15" t="n">
        <f aca="false">IFERROR(J46/I46,0)</f>
      </c>
      <c r="M46" s="16" t="inlineStr">
        <is>
          <t xml:space="preserve">1 deformed bladder documented; source #Fail cell read 1, but 65 inspected − 63 pass = 2 → 1 reject undocumented (confirm)</t>
        </is>
      </c>
    </row>
    <row r="47" ht="13.5" customHeight="true">
      <c r="A47" s="5" t="inlineStr">
        <is>
          <t xml:space="preserve">2026-07-27</t>
        </is>
      </c>
      <c r="B47" s="5" t="inlineStr">
        <is>
          <t xml:space="preserve">Martins</t>
        </is>
      </c>
      <c r="C47" s="5" t="inlineStr">
        <is>
          <t xml:space="preserve">Toni</t>
        </is>
      </c>
      <c r="D47" s="5" t="inlineStr">
        <is>
          <t xml:space="preserve">Jesus</t>
        </is>
      </c>
      <c r="E47" s="5" t="inlineStr">
        <is>
          <t xml:space="preserve">Pelvic</t>
        </is>
      </c>
      <c r="F47" s="5" t="inlineStr">
        <is>
          <t xml:space="preserve">666506</t>
        </is>
      </c>
      <c r="G47" s="5" t="inlineStr">
        <is>
          <t xml:space="preserve">Non-intact</t>
        </is>
      </c>
      <c r="H47" s="5" t="inlineStr">
        <is>
          <t xml:space="preserve">5502512225</t>
        </is>
      </c>
      <c r="I47" s="6" t="n">
        <v>25</v>
      </c>
      <c r="J47" s="6" t="n">
        <v>25</v>
      </c>
      <c r="K47" s="6" t="n">
        <v>0</v>
      </c>
      <c r="L47" s="15" t="n">
        <f aca="false">IFERROR(J47/I47,0)</f>
      </c>
      <c r="M47" s="16" t="inlineStr">
        <is>
          <t xml:space="preserve"/>
        </is>
      </c>
    </row>
    <row r="48" ht="27.0" customHeight="true">
      <c r="A48" s="5" t="inlineStr">
        <is>
          <t xml:space="preserve">2026-07-27</t>
        </is>
      </c>
      <c r="B48" s="5" t="inlineStr">
        <is>
          <t xml:space="preserve">Parks Family Meats</t>
        </is>
      </c>
      <c r="C48" s="5" t="inlineStr">
        <is>
          <t xml:space="preserve">Rasmin</t>
        </is>
      </c>
      <c r="D48" s="5" t="inlineStr">
        <is>
          <t xml:space="preserve">Natalie</t>
        </is>
      </c>
      <c r="E48" s="5" t="inlineStr">
        <is>
          <t xml:space="preserve">Pelvic</t>
        </is>
      </c>
      <c r="F48" s="5" t="inlineStr">
        <is>
          <t xml:space="preserve">666518</t>
        </is>
      </c>
      <c r="G48" s="5" t="inlineStr">
        <is>
          <t xml:space="preserve">Intact (SM)</t>
        </is>
      </c>
      <c r="H48" s="5" t="inlineStr">
        <is>
          <t xml:space="preserve">(no batch data)</t>
        </is>
      </c>
      <c r="I48" s="6" t="n">
        <v>45</v>
      </c>
      <c r="J48" s="6" t="n">
        <v>42</v>
      </c>
      <c r="K48" s="6" t="n">
        <v>3</v>
      </c>
      <c r="L48" s="15" t="n">
        <f aca="false">IFERROR(J48/I48,0)</f>
      </c>
      <c r="M48" s="16" t="inlineStr">
        <is>
          <t xml:space="preserve">1 ureter damage; 1 mesentery hole in critical area &gt;0.5"; 1 bowel-colon separation past critical area</t>
        </is>
      </c>
    </row>
    <row r="49" ht="13.5" customHeight="true">
      <c r="A49" s="5" t="inlineStr">
        <is>
          <t xml:space="preserve">2026-07-27</t>
        </is>
      </c>
      <c r="B49" s="5" t="inlineStr">
        <is>
          <t xml:space="preserve">Martins</t>
        </is>
      </c>
      <c r="C49" s="5" t="inlineStr">
        <is>
          <t xml:space="preserve">Toni</t>
        </is>
      </c>
      <c r="D49" s="5" t="inlineStr">
        <is>
          <t xml:space="preserve">Jesus</t>
        </is>
      </c>
      <c r="E49" s="5" t="inlineStr">
        <is>
          <t xml:space="preserve">Pelvic</t>
        </is>
      </c>
      <c r="F49" s="5" t="inlineStr">
        <is>
          <t xml:space="preserve">666541</t>
        </is>
      </c>
      <c r="G49" s="5" t="inlineStr">
        <is>
          <t xml:space="preserve">Intact</t>
        </is>
      </c>
      <c r="H49" s="5" t="inlineStr">
        <is>
          <t xml:space="preserve">5502512228</t>
        </is>
      </c>
      <c r="I49" s="6" t="n">
        <v>46</v>
      </c>
      <c r="J49" s="6" t="n">
        <v>45</v>
      </c>
      <c r="K49" s="6" t="n">
        <v>1</v>
      </c>
      <c r="L49" s="15" t="n">
        <f aca="false">IFERROR(J49/I49,0)</f>
      </c>
      <c r="M49" s="16" t="inlineStr">
        <is>
          <t xml:space="preserve">1 damaged membrane larger than 0.5"</t>
        </is>
      </c>
    </row>
    <row r="50" ht="54.0" customHeight="true">
      <c r="A50" s="5" t="inlineStr">
        <is>
          <t xml:space="preserve">2026-07-29</t>
        </is>
      </c>
      <c r="B50" s="5" t="inlineStr">
        <is>
          <t xml:space="preserve">Nahunta</t>
        </is>
      </c>
      <c r="C50" s="5" t="inlineStr">
        <is>
          <t xml:space="preserve">Kris</t>
        </is>
      </c>
      <c r="D50" s="5" t="inlineStr">
        <is>
          <t xml:space="preserve">Jordan</t>
        </is>
      </c>
      <c r="E50" s="5" t="inlineStr">
        <is>
          <t xml:space="preserve">Thoracic</t>
        </is>
      </c>
      <c r="F50" s="5" t="inlineStr">
        <is>
          <t xml:space="preserve">666521</t>
        </is>
      </c>
      <c r="G50" s="5" t="inlineStr">
        <is>
          <t xml:space="preserve">Lung / heart</t>
        </is>
      </c>
      <c r="H50" s="5" t="inlineStr">
        <is>
          <t xml:space="preserve">5502512218</t>
        </is>
      </c>
      <c r="I50" s="6" t="n">
        <v>19</v>
      </c>
      <c r="J50" s="6" t="n">
        <v>6</v>
      </c>
      <c r="K50" s="6" t="n">
        <v>13</v>
      </c>
      <c r="L50" s="15" t="n">
        <f aca="false">IFERROR(J50/I50,0)</f>
      </c>
      <c r="M50" s="16" t="inlineStr">
        <is>
          <t xml:space="preserve">11 right-lung lacerations (mostly along the perimeter); 2 heart damage; 1 accepted with two sub-4cm perimeter lacerations that did not connect. Majority of damage attributed to the harvesting side.</t>
        </is>
      </c>
    </row>
    <row r="51" ht="13.5" customHeight="true">
      <c r="A51" s="5" t="inlineStr">
        <is>
          <t xml:space="preserve">2026-07-29</t>
        </is>
      </c>
      <c r="B51" s="5" t="inlineStr">
        <is>
          <t xml:space="preserve">Nahunta</t>
        </is>
      </c>
      <c r="C51" s="5" t="inlineStr">
        <is>
          <t xml:space="preserve">Kris</t>
        </is>
      </c>
      <c r="D51" s="5" t="inlineStr">
        <is>
          <t xml:space="preserve">Jordan</t>
        </is>
      </c>
      <c r="E51" s="5" t="inlineStr">
        <is>
          <t xml:space="preserve">Pelvic</t>
        </is>
      </c>
      <c r="F51" s="5" t="inlineStr">
        <is>
          <t xml:space="preserve">666541</t>
        </is>
      </c>
      <c r="G51" s="5" t="inlineStr">
        <is>
          <t xml:space="preserve">Intact</t>
        </is>
      </c>
      <c r="H51" s="5" t="inlineStr">
        <is>
          <t xml:space="preserve">5502512218</t>
        </is>
      </c>
      <c r="I51" s="6" t="n">
        <v>1</v>
      </c>
      <c r="J51" s="6" t="n">
        <v>1</v>
      </c>
      <c r="K51" s="6" t="n">
        <v>0</v>
      </c>
      <c r="L51" s="15" t="n">
        <f aca="false">IFERROR(J51/I51,0)</f>
      </c>
      <c r="M51" s="16" t="inlineStr">
        <is>
          <t xml:space="preserve"/>
        </is>
      </c>
    </row>
    <row r="52" ht="27.0" customHeight="true">
      <c r="A52" s="5" t="inlineStr">
        <is>
          <t xml:space="preserve">2026-07-30</t>
        </is>
      </c>
      <c r="B52" s="5" t="inlineStr">
        <is>
          <t xml:space="preserve">Parks Family Meats</t>
        </is>
      </c>
      <c r="C52" s="5" t="inlineStr">
        <is>
          <t xml:space="preserve">Rasmin</t>
        </is>
      </c>
      <c r="D52" s="5" t="inlineStr">
        <is>
          <t xml:space="preserve">Natalie</t>
        </is>
      </c>
      <c r="E52" s="5" t="inlineStr">
        <is>
          <t xml:space="preserve">Pelvic</t>
        </is>
      </c>
      <c r="F52" s="5" t="inlineStr">
        <is>
          <t xml:space="preserve">666518</t>
        </is>
      </c>
      <c r="G52" s="5" t="inlineStr">
        <is>
          <t xml:space="preserve">Intact (SM)</t>
        </is>
      </c>
      <c r="H52" s="5" t="inlineStr">
        <is>
          <t xml:space="preserve">(no batch data)</t>
        </is>
      </c>
      <c r="I52" s="6" t="n">
        <v>10</v>
      </c>
      <c r="J52" s="6" t="n">
        <v>9</v>
      </c>
      <c r="K52" s="6" t="n">
        <v>1</v>
      </c>
      <c r="L52" s="15" t="n">
        <f aca="false">IFERROR(J52/I52,0)</f>
      </c>
      <c r="M52" s="16" t="inlineStr">
        <is>
          <t xml:space="preserve">1 pelvic block short (majority of pigs received were male → lower numbers)</t>
        </is>
      </c>
    </row>
    <row r="53" ht="13.5" customHeight="true">
      <c r="A53" s="5" t="inlineStr">
        <is>
          <t xml:space="preserve">2026-08-03</t>
        </is>
      </c>
      <c r="B53" s="5" t="inlineStr">
        <is>
          <t xml:space="preserve">Martins</t>
        </is>
      </c>
      <c r="C53" s="5" t="inlineStr">
        <is>
          <t xml:space="preserve">Toni</t>
        </is>
      </c>
      <c r="D53" s="5" t="inlineStr">
        <is>
          <t xml:space="preserve">Jesus</t>
        </is>
      </c>
      <c r="E53" s="5" t="inlineStr">
        <is>
          <t xml:space="preserve">Pelvic</t>
        </is>
      </c>
      <c r="F53" s="5" t="inlineStr">
        <is>
          <t xml:space="preserve">666541</t>
        </is>
      </c>
      <c r="G53" s="5" t="inlineStr">
        <is>
          <t xml:space="preserve">Intact</t>
        </is>
      </c>
      <c r="H53" s="5" t="inlineStr">
        <is>
          <t xml:space="preserve">5502512228</t>
        </is>
      </c>
      <c r="I53" s="6" t="n">
        <v>44</v>
      </c>
      <c r="J53" s="6" t="n">
        <v>44</v>
      </c>
      <c r="K53" s="6" t="n">
        <v>0</v>
      </c>
      <c r="L53" s="15" t="n">
        <f aca="false">IFERROR(J53/I53,0)</f>
      </c>
      <c r="M53" s="16" t="inlineStr">
        <is>
          <t xml:space="preserve"/>
        </is>
      </c>
    </row>
    <row r="54" ht="54.0" customHeight="true">
      <c r="A54" s="5" t="inlineStr">
        <is>
          <t xml:space="preserve">2026-08-05</t>
        </is>
      </c>
      <c r="B54" s="5" t="inlineStr">
        <is>
          <t xml:space="preserve">Nahunta</t>
        </is>
      </c>
      <c r="C54" s="5" t="inlineStr">
        <is>
          <t xml:space="preserve">Kris</t>
        </is>
      </c>
      <c r="D54" s="5" t="inlineStr">
        <is>
          <t xml:space="preserve">Jordan</t>
        </is>
      </c>
      <c r="E54" s="5" t="inlineStr">
        <is>
          <t xml:space="preserve">Thoracic</t>
        </is>
      </c>
      <c r="F54" s="5" t="inlineStr">
        <is>
          <t xml:space="preserve">666521</t>
        </is>
      </c>
      <c r="G54" s="5" t="inlineStr">
        <is>
          <t xml:space="preserve">Lung / heart</t>
        </is>
      </c>
      <c r="H54" s="5" t="inlineStr">
        <is>
          <t xml:space="preserve">5502512218</t>
        </is>
      </c>
      <c r="I54" s="6" t="n">
        <v>15</v>
      </c>
      <c r="J54" s="6" t="n">
        <v>0</v>
      </c>
      <c r="K54" s="6" t="n">
        <v>15</v>
      </c>
      <c r="L54" s="15" t="n">
        <f aca="false">IFERROR(J54/I54,0)</f>
      </c>
      <c r="M54" s="16" t="inlineStr">
        <is>
          <t xml:space="preserve">11 right-lung lacerations (mostly along perimeter); 4 heart damage. Majority of damage harvesting-side; two units had no lung laceration but failed on heart.</t>
        </is>
      </c>
    </row>
    <row r="55" ht="13.5" customHeight="true">
      <c r="A55" s="5" t="inlineStr">
        <is>
          <t xml:space="preserve">2026-08-05</t>
        </is>
      </c>
      <c r="B55" s="5" t="inlineStr">
        <is>
          <t xml:space="preserve">Martins</t>
        </is>
      </c>
      <c r="C55" s="5" t="inlineStr">
        <is>
          <t xml:space="preserve">Toni</t>
        </is>
      </c>
      <c r="D55" s="5" t="inlineStr">
        <is>
          <t xml:space="preserve">Jesus</t>
        </is>
      </c>
      <c r="E55" s="5" t="inlineStr">
        <is>
          <t xml:space="preserve">Pelvic</t>
        </is>
      </c>
      <c r="F55" s="5" t="inlineStr">
        <is>
          <t xml:space="preserve">666541</t>
        </is>
      </c>
      <c r="G55" s="5" t="inlineStr">
        <is>
          <t xml:space="preserve">Intact</t>
        </is>
      </c>
      <c r="H55" s="5" t="inlineStr">
        <is>
          <t xml:space="preserve">5502512228</t>
        </is>
      </c>
      <c r="I55" s="6" t="n">
        <v>35</v>
      </c>
      <c r="J55" s="6" t="n">
        <v>33</v>
      </c>
      <c r="K55" s="6" t="n">
        <v>2</v>
      </c>
      <c r="L55" s="15" t="n">
        <f aca="false">IFERROR(J55/I55,0)</f>
      </c>
      <c r="M55" s="16" t="inlineStr">
        <is>
          <t xml:space="preserve">1 damaged membrane; 1 hole in bowel</t>
        </is>
      </c>
    </row>
    <row r="56" ht="13.5" customHeight="true">
      <c r="A56" s="5" t="inlineStr">
        <is>
          <t xml:space="preserve">2026-08-10</t>
        </is>
      </c>
      <c r="B56" s="5" t="inlineStr">
        <is>
          <t xml:space="preserve">Martins</t>
        </is>
      </c>
      <c r="C56" s="5" t="inlineStr">
        <is>
          <t xml:space="preserve">Toni</t>
        </is>
      </c>
      <c r="D56" s="5" t="inlineStr">
        <is>
          <t xml:space="preserve">Jesus</t>
        </is>
      </c>
      <c r="E56" s="5" t="inlineStr">
        <is>
          <t xml:space="preserve">Pelvic</t>
        </is>
      </c>
      <c r="F56" s="5" t="inlineStr">
        <is>
          <t xml:space="preserve">666506</t>
        </is>
      </c>
      <c r="G56" s="5" t="inlineStr">
        <is>
          <t xml:space="preserve">Non-intact</t>
        </is>
      </c>
      <c r="H56" s="5" t="inlineStr">
        <is>
          <t xml:space="preserve">5502523266</t>
        </is>
      </c>
      <c r="I56" s="6" t="n">
        <v>8</v>
      </c>
      <c r="J56" s="6" t="n">
        <v>8</v>
      </c>
      <c r="K56" s="6" t="n">
        <v>0</v>
      </c>
      <c r="L56" s="15" t="n">
        <f aca="false">IFERROR(J56/I56,0)</f>
      </c>
      <c r="M56" s="16" t="inlineStr">
        <is>
          <t xml:space="preserve"/>
        </is>
      </c>
    </row>
    <row r="57" ht="13.5" customHeight="true">
      <c r="A57" s="5" t="inlineStr">
        <is>
          <t xml:space="preserve">2026-08-10</t>
        </is>
      </c>
      <c r="B57" s="5" t="inlineStr">
        <is>
          <t xml:space="preserve">Martins</t>
        </is>
      </c>
      <c r="C57" s="5" t="inlineStr">
        <is>
          <t xml:space="preserve">Toni</t>
        </is>
      </c>
      <c r="D57" s="5" t="inlineStr">
        <is>
          <t xml:space="preserve">Jesus</t>
        </is>
      </c>
      <c r="E57" s="5" t="inlineStr">
        <is>
          <t xml:space="preserve">Pelvic</t>
        </is>
      </c>
      <c r="F57" s="5" t="inlineStr">
        <is>
          <t xml:space="preserve">666541</t>
        </is>
      </c>
      <c r="G57" s="5" t="inlineStr">
        <is>
          <t xml:space="preserve">Intact</t>
        </is>
      </c>
      <c r="H57" s="5" t="inlineStr">
        <is>
          <t xml:space="preserve">5502523269</t>
        </is>
      </c>
      <c r="I57" s="6" t="n">
        <v>43</v>
      </c>
      <c r="J57" s="6" t="n">
        <v>41</v>
      </c>
      <c r="K57" s="6" t="n">
        <v>2</v>
      </c>
      <c r="L57" s="15" t="n">
        <f aca="false">IFERROR(J57/I57,0)</f>
      </c>
      <c r="M57" s="16" t="inlineStr">
        <is>
          <t xml:space="preserve">2 urethra damage</t>
        </is>
      </c>
    </row>
    <row r="58" ht="13.5" customHeight="true">
      <c r="A58" s="5" t="inlineStr">
        <is>
          <t xml:space="preserve">2026-08-10</t>
        </is>
      </c>
      <c r="B58" s="5" t="inlineStr">
        <is>
          <t xml:space="preserve">Parks Family Meats</t>
        </is>
      </c>
      <c r="C58" s="5" t="inlineStr">
        <is>
          <t xml:space="preserve">Rasmin</t>
        </is>
      </c>
      <c r="D58" s="5" t="inlineStr">
        <is>
          <t xml:space="preserve">Natalie</t>
        </is>
      </c>
      <c r="E58" s="5" t="inlineStr">
        <is>
          <t xml:space="preserve">Pelvic</t>
        </is>
      </c>
      <c r="F58" s="5" t="inlineStr">
        <is>
          <t xml:space="preserve">666541</t>
        </is>
      </c>
      <c r="G58" s="5" t="inlineStr">
        <is>
          <t xml:space="preserve">Intact</t>
        </is>
      </c>
      <c r="H58" s="5" t="inlineStr">
        <is>
          <t xml:space="preserve">(no batch data)</t>
        </is>
      </c>
      <c r="I58" s="6" t="n">
        <v>10</v>
      </c>
      <c r="J58" s="6" t="n">
        <v>10</v>
      </c>
      <c r="K58" s="6" t="n">
        <v>0</v>
      </c>
      <c r="L58" s="15" t="n">
        <f aca="false">IFERROR(J58/I58,0)</f>
      </c>
      <c r="M58" s="16" t="inlineStr">
        <is>
          <t xml:space="preserve">No failures this day.</t>
        </is>
      </c>
    </row>
    <row r="59" ht="40.0" customHeight="true">
      <c r="A59" s="5" t="inlineStr">
        <is>
          <t xml:space="preserve">2026-08-12</t>
        </is>
      </c>
      <c r="B59" s="5" t="inlineStr">
        <is>
          <t xml:space="preserve">Nahunta</t>
        </is>
      </c>
      <c r="C59" s="5" t="inlineStr">
        <is>
          <t xml:space="preserve">Kris</t>
        </is>
      </c>
      <c r="D59" s="5" t="inlineStr">
        <is>
          <t xml:space="preserve">Jordan</t>
        </is>
      </c>
      <c r="E59" s="5" t="inlineStr">
        <is>
          <t xml:space="preserve">Thoracic</t>
        </is>
      </c>
      <c r="F59" s="5" t="inlineStr">
        <is>
          <t xml:space="preserve">666521</t>
        </is>
      </c>
      <c r="G59" s="5" t="inlineStr">
        <is>
          <t xml:space="preserve">Lung / heart</t>
        </is>
      </c>
      <c r="H59" s="5" t="inlineStr">
        <is>
          <t xml:space="preserve">5502523283</t>
        </is>
      </c>
      <c r="I59" s="6" t="n">
        <v>13</v>
      </c>
      <c r="J59" s="6" t="n">
        <v>2</v>
      </c>
      <c r="K59" s="6" t="n">
        <v>11</v>
      </c>
      <c r="L59" s="15" t="n">
        <f aca="false">IFERROR(J59/I59,0)</f>
      </c>
      <c r="M59" s="16" t="inlineStr">
        <is>
          <t xml:space="preserve">9 right-lung lacerations; 3 heart damage (breakdown sums to 12 vs 11 recorded). No left-lung damage seen; requested Ricardo shadow next visit.</t>
        </is>
      </c>
    </row>
    <row r="60" ht="40.0" customHeight="true">
      <c r="A60" s="5" t="inlineStr">
        <is>
          <t xml:space="preserve">2026-08-12</t>
        </is>
      </c>
      <c r="B60" s="5" t="inlineStr">
        <is>
          <t xml:space="preserve">Nahunta</t>
        </is>
      </c>
      <c r="C60" s="5" t="inlineStr">
        <is>
          <t xml:space="preserve">Kris</t>
        </is>
      </c>
      <c r="D60" s="5" t="inlineStr">
        <is>
          <t xml:space="preserve">Jordan</t>
        </is>
      </c>
      <c r="E60" s="5" t="inlineStr">
        <is>
          <t xml:space="preserve">Pelvic</t>
        </is>
      </c>
      <c r="F60" s="5" t="inlineStr">
        <is>
          <t xml:space="preserve">666541</t>
        </is>
      </c>
      <c r="G60" s="5" t="inlineStr">
        <is>
          <t xml:space="preserve">Intact</t>
        </is>
      </c>
      <c r="H60" s="5" t="inlineStr">
        <is>
          <t xml:space="preserve">5502523283</t>
        </is>
      </c>
      <c r="I60" s="6" t="n">
        <v>13</v>
      </c>
      <c r="J60" s="6" t="n">
        <v>1</v>
      </c>
      <c r="K60" s="6" t="n">
        <v>12</v>
      </c>
      <c r="L60" s="15" t="n">
        <f aca="false">IFERROR(J60/I60,0)</f>
      </c>
      <c r="M60" s="16" t="inlineStr">
        <is>
          <t xml:space="preserve">Pelvic deprioritized — Jordan harvests other components first; no per-defect breakdown recorded (PROVISIONAL — confirm)</t>
        </is>
      </c>
    </row>
    <row r="61" ht="27.0" customHeight="true">
      <c r="A61" s="5" t="inlineStr">
        <is>
          <t xml:space="preserve">2026-08-14</t>
        </is>
      </c>
      <c r="B61" s="5" t="inlineStr">
        <is>
          <t xml:space="preserve">Parks Family Meats</t>
        </is>
      </c>
      <c r="C61" s="5" t="inlineStr">
        <is>
          <t xml:space="preserve">Rasmin</t>
        </is>
      </c>
      <c r="D61" s="5" t="inlineStr">
        <is>
          <t xml:space="preserve">Natalie</t>
        </is>
      </c>
      <c r="E61" s="5" t="inlineStr">
        <is>
          <t xml:space="preserve">Pelvic</t>
        </is>
      </c>
      <c r="F61" s="5" t="inlineStr">
        <is>
          <t xml:space="preserve">666541</t>
        </is>
      </c>
      <c r="G61" s="5" t="inlineStr">
        <is>
          <t xml:space="preserve">Intact</t>
        </is>
      </c>
      <c r="H61" s="5" t="inlineStr">
        <is>
          <t xml:space="preserve">(no batch data)</t>
        </is>
      </c>
      <c r="I61" s="6" t="n">
        <v>23</v>
      </c>
      <c r="J61" s="6" t="n">
        <v>22</v>
      </c>
      <c r="K61" s="6" t="n">
        <v>1</v>
      </c>
      <c r="L61" s="15" t="n">
        <f aca="false">IFERROR(J61/I61,0)</f>
      </c>
      <c r="M61" s="16" t="inlineStr">
        <is>
          <t xml:space="preserve">Bowel separated from mesentery past the critical point</t>
        </is>
      </c>
    </row>
    <row r="62" ht="13.5" customHeight="true">
      <c r="A62" s="5" t="inlineStr">
        <is>
          <t xml:space="preserve">2026-08-17</t>
        </is>
      </c>
      <c r="B62" s="5" t="inlineStr">
        <is>
          <t xml:space="preserve">Martins</t>
        </is>
      </c>
      <c r="C62" s="5" t="inlineStr">
        <is>
          <t xml:space="preserve">Toni</t>
        </is>
      </c>
      <c r="D62" s="5" t="inlineStr">
        <is>
          <t xml:space="preserve">Jesus</t>
        </is>
      </c>
      <c r="E62" s="5" t="inlineStr">
        <is>
          <t xml:space="preserve">Pelvic</t>
        </is>
      </c>
      <c r="F62" s="5" t="inlineStr">
        <is>
          <t xml:space="preserve">666506</t>
        </is>
      </c>
      <c r="G62" s="5" t="inlineStr">
        <is>
          <t xml:space="preserve">Non-intact</t>
        </is>
      </c>
      <c r="H62" s="5" t="inlineStr">
        <is>
          <t xml:space="preserve">5502523266</t>
        </is>
      </c>
      <c r="I62" s="6" t="n">
        <v>5</v>
      </c>
      <c r="J62" s="6" t="n">
        <v>5</v>
      </c>
      <c r="K62" s="6" t="n">
        <v>0</v>
      </c>
      <c r="L62" s="15" t="n">
        <f aca="false">IFERROR(J62/I62,0)</f>
      </c>
      <c r="M62" s="16" t="inlineStr">
        <is>
          <t xml:space="preserve"/>
        </is>
      </c>
    </row>
    <row r="63" ht="27.0" customHeight="true">
      <c r="A63" s="5" t="inlineStr">
        <is>
          <t xml:space="preserve">2026-08-17</t>
        </is>
      </c>
      <c r="B63" s="5" t="inlineStr">
        <is>
          <t xml:space="preserve">Martins</t>
        </is>
      </c>
      <c r="C63" s="5" t="inlineStr">
        <is>
          <t xml:space="preserve">Toni</t>
        </is>
      </c>
      <c r="D63" s="5" t="inlineStr">
        <is>
          <t xml:space="preserve">Jesus</t>
        </is>
      </c>
      <c r="E63" s="5" t="inlineStr">
        <is>
          <t xml:space="preserve">Pelvic</t>
        </is>
      </c>
      <c r="F63" s="5" t="inlineStr">
        <is>
          <t xml:space="preserve">666541</t>
        </is>
      </c>
      <c r="G63" s="5" t="inlineStr">
        <is>
          <t xml:space="preserve">Intact</t>
        </is>
      </c>
      <c r="H63" s="5" t="inlineStr">
        <is>
          <t xml:space="preserve">5502523269</t>
        </is>
      </c>
      <c r="I63" s="6" t="n">
        <v>15</v>
      </c>
      <c r="J63" s="6" t="n">
        <v>14</v>
      </c>
      <c r="K63" s="6" t="n">
        <v>1</v>
      </c>
      <c r="L63" s="15" t="n">
        <f aca="false">IFERROR(J63/I63,0)</f>
      </c>
      <c r="M63" s="16" t="inlineStr">
        <is>
          <t xml:space="preserve">1 hole in bowel (ran out of pigs, 3-hr wait, truck late)</t>
        </is>
      </c>
    </row>
    <row r="64" ht="54.0" customHeight="true">
      <c r="A64" s="5" t="inlineStr">
        <is>
          <t xml:space="preserve">2026-08-19</t>
        </is>
      </c>
      <c r="B64" s="5" t="inlineStr">
        <is>
          <t xml:space="preserve">Nahunta</t>
        </is>
      </c>
      <c r="C64" s="5" t="inlineStr">
        <is>
          <t xml:space="preserve">Kris</t>
        </is>
      </c>
      <c r="D64" s="5" t="inlineStr">
        <is>
          <t xml:space="preserve">Jordan</t>
        </is>
      </c>
      <c r="E64" s="5" t="inlineStr">
        <is>
          <t xml:space="preserve">Thoracic</t>
        </is>
      </c>
      <c r="F64" s="5" t="inlineStr">
        <is>
          <t xml:space="preserve">666521</t>
        </is>
      </c>
      <c r="G64" s="5" t="inlineStr">
        <is>
          <t xml:space="preserve">Lung / heart</t>
        </is>
      </c>
      <c r="H64" s="5" t="inlineStr">
        <is>
          <t xml:space="preserve">5502523283</t>
        </is>
      </c>
      <c r="I64" s="6" t="n">
        <v>29</v>
      </c>
      <c r="J64" s="6" t="n">
        <v>6</v>
      </c>
      <c r="K64" s="6" t="n">
        <v>23</v>
      </c>
      <c r="L64" s="15" t="n">
        <f aca="false">IFERROR(J64/I64,0)</f>
      </c>
      <c r="M64" s="16" t="inlineStr">
        <is>
          <t xml:space="preserve">11 right-lung lacerations; 12 heart damage. Ricardo meeting reduced lung lacerations only until first break; heart lacerations (inspector-side) now the next gap.</t>
        </is>
      </c>
    </row>
    <row r="65"/>
    <row r="66" ht="18" customHeight="true">
      <c r="A66" s="3" t="inlineStr">
        <is>
          <t xml:space="preserve">TOTALS BY TISSUE TYPE</t>
        </is>
      </c>
    </row>
    <row r="67">
      <c r="A67" s="11" t="inlineStr">
        <is>
          <t xml:space="preserve">Tissue Type</t>
        </is>
      </c>
      <c r="I67" s="11" t="inlineStr">
        <is>
          <t xml:space="preserve"># Inspected</t>
        </is>
      </c>
      <c r="J67" s="11" t="inlineStr">
        <is>
          <t xml:space="preserve"># Pass</t>
        </is>
      </c>
      <c r="K67" s="11" t="inlineStr">
        <is>
          <t xml:space="preserve"># Fail</t>
        </is>
      </c>
      <c r="L67" s="11" t="inlineStr">
        <is>
          <t xml:space="preserve">First-Pass Yield</t>
        </is>
      </c>
    </row>
    <row r="68">
      <c r="A68" s="12" t="inlineStr">
        <is>
          <t xml:space="preserve">Pelvic</t>
        </is>
      </c>
      <c r="I68" s="6" t="n">
        <f aca="false">SUMIF($E$6:$E$64,"Pelvic",$I$6:$I$64)</f>
      </c>
      <c r="J68" s="6" t="n">
        <f aca="false">SUMIF($E$6:$E$64,"Pelvic",$J$6:$J$64)</f>
      </c>
      <c r="K68" s="6" t="n">
        <f aca="false">SUMIF($E$6:$E$64,"Pelvic",$K$6:$K$64)</f>
      </c>
      <c r="L68" s="15" t="n">
        <f aca="false">IFERROR(J68/I68,0)</f>
      </c>
    </row>
    <row r="69">
      <c r="A69" s="12" t="inlineStr">
        <is>
          <t xml:space="preserve">Thoracic</t>
        </is>
      </c>
      <c r="I69" s="6" t="n">
        <f aca="false">SUMIF($E$6:$E$64,"Thoracic",$I$6:$I$64)</f>
      </c>
      <c r="J69" s="6" t="n">
        <f aca="false">SUMIF($E$6:$E$64,"Thoracic",$J$6:$J$64)</f>
      </c>
      <c r="K69" s="6" t="n">
        <f aca="false">SUMIF($E$6:$E$64,"Thoracic",$K$6:$K$64)</f>
      </c>
      <c r="L69" s="15" t="n">
        <f aca="false">IFERROR(J69/I69,0)</f>
      </c>
    </row>
    <row r="70">
      <c r="A70" s="12" t="inlineStr">
        <is>
          <t xml:space="preserve">GRAND TOTAL (all tissue types)</t>
        </is>
      </c>
      <c r="I70" s="6" t="n">
        <f aca="false">SUM($I$6:$I$64)</f>
      </c>
      <c r="J70" s="6" t="n">
        <f aca="false">SUM($J$6:$J$64)</f>
      </c>
      <c r="K70" s="6" t="n">
        <f aca="false">SUM($K$6:$K$64)</f>
      </c>
      <c r="L70" s="15" t="n">
        <f aca="false">IFERROR(J70/I70,0)</f>
      </c>
    </row>
    <row r="71"/>
    <row r="72" ht="18" customHeight="true">
      <c r="A72" s="3" t="inlineStr">
        <is>
          <t xml:space="preserve">ATM RECEIPT COMPARISON</t>
        </is>
      </c>
    </row>
    <row r="73" ht="30" customHeight="true">
      <c r="A73" s="20" t="inlineStr">
        <is>
          <t xml:space="preserve">Reserved for ATM (post-freeze receipt) inspection data. ATM data is no longer batch/lot-linked, so it will be compared by tissue type / part and time window rather than by lot. Populated when ATM data arrives.</t>
        </is>
      </c>
    </row>
    <row r="74"/>
    <row r="75" ht="18" customHeight="true">
      <c r="A75" s="3" t="inlineStr">
        <is>
          <t xml:space="preserve">NOTES &amp; DATA CONVENTIONS</t>
        </is>
      </c>
    </row>
    <row r="76" ht="60.0" customHeight="true">
      <c r="A76" s="19" t="inlineStr">
        <is>
          <t xml:space="preserve">1. 666506 = non-intact</t>
        </is>
      </c>
      <c r="B76"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77" ht="60.0" customHeight="true">
      <c r="A77" s="19" t="inlineStr">
        <is>
          <t xml:space="preserve">2. Different lot suffixes for intact vs non-intact</t>
        </is>
      </c>
      <c r="B77"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78" ht="60.0" customHeight="true">
      <c r="A78" s="19" t="inlineStr">
        <is>
          <t xml:space="preserve">3. 'Ran out of time' event on 04/20</t>
        </is>
      </c>
      <c r="B78"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79" ht="60.0" customHeight="true">
      <c r="A79" s="19" t="inlineStr">
        <is>
          <t xml:space="preserve">4. 'Damaged urethra' dominates Visit 3</t>
        </is>
      </c>
      <c r="B79"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80" ht="60.0" customHeight="true">
      <c r="A80" s="19" t="inlineStr">
        <is>
          <t xml:space="preserve">5. Long truck wait on 05/04 (Visit 3)</t>
        </is>
      </c>
      <c r="B80"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81" ht="60.0" customHeight="true">
      <c r="A81" s="19" t="inlineStr">
        <is>
          <t xml:space="preserve">6. Source file typos</t>
        </is>
      </c>
      <c r="B81" s="20" t="inlineStr">
        <is>
          <t xml:space="preserve">Source tally sheets carry '25026' instead of '2026' in the Date and Kill Date fields (Harvest Date is correct). Not reflected here — clean dates used throughout. One-line correction in the tally-sheet template would fix it going forward.</t>
        </is>
      </c>
    </row>
    <row r="82" ht="60.0" customHeight="true">
      <c r="A82" s="19" t="inlineStr">
        <is>
          <t xml:space="preserve">7. Stage-to-stage scope</t>
        </is>
      </c>
      <c r="B82"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83" ht="60.0" customHeight="true">
      <c r="A83" s="19" t="inlineStr">
        <is>
          <t xml:space="preserve">8. Inspection coverage</t>
        </is>
      </c>
      <c r="B83" s="20" t="inlineStr">
        <is>
          <t xml:space="preserve">59 part-inspections across 39 visit-days and 3 slaughterhouses (Martins ×23, Parks ×12, Nahunta ×4), Apr 13 – Aug 19 2026. Tissue types: Pelvic (parts 666541/666506/666518) and Thoracic (666521). To extend, append rows to the log; the SUMIF/SUM ranges auto-cover them.</t>
        </is>
      </c>
    </row>
    <row r="84" ht="60.0" customHeight="true">
      <c r="A84" s="19" t="inlineStr">
        <is>
          <t xml:space="preserve">9. Lot 5502421192 reused on the 05/27 sheet</t>
        </is>
      </c>
      <c r="B84"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85" ht="60.0" customHeight="true">
      <c r="A85" s="19" t="inlineStr">
        <is>
          <t xml:space="preserve">10. New slaughterhouse &amp; inspection team (Parks, 05/28)</t>
        </is>
      </c>
      <c r="B85" s="20"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86" ht="60.0" customHeight="true">
      <c r="A86" s="19" t="inlineStr">
        <is>
          <t xml:space="preserve">11. Visit 7 harvest-date split (06/01 vs 06/03)</t>
        </is>
      </c>
      <c r="B86"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87" ht="60.0" customHeight="true">
      <c r="A87" s="19" t="inlineStr">
        <is>
          <t xml:space="preserve">12. New visits 7 (Martins) &amp; 8 (Parks)</t>
        </is>
      </c>
      <c r="B87"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88" ht="60.0" customHeight="true">
      <c r="A88" s="19" t="inlineStr">
        <is>
          <t xml:space="preserve">13. New visits 9–12 (06/08–06/24)</t>
        </is>
      </c>
      <c r="B88"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89" ht="60.0" customHeight="true">
      <c r="A89" s="19" t="inlineStr">
        <is>
          <t xml:space="preserve">14. Lot-number carry-over recurs (Visits 9 &amp; 12)</t>
        </is>
      </c>
      <c r="B89"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90" ht="60.0" customHeight="true">
      <c r="A90" s="19" t="inlineStr">
        <is>
          <t xml:space="preserve">15. Visit 10 (06/15) — two intact tally lines combined; no non-intact</t>
        </is>
      </c>
      <c r="B90"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91" ht="60.0" customHeight="true">
      <c r="A91" s="19" t="inlineStr">
        <is>
          <t xml:space="preserve">16. Visit 11 (06/16 Parks) — heavy upstream miscut losses</t>
        </is>
      </c>
      <c r="B91"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92" ht="60.0" customHeight="true">
      <c r="A92" s="19" t="inlineStr">
        <is>
          <t xml:space="preserve">17. New Parks visits 13 (06/22) &amp; 14 (06/25)</t>
        </is>
      </c>
      <c r="B92"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93" ht="60.0" customHeight="true">
      <c r="A93" s="19" t="inlineStr">
        <is>
          <t xml:space="preserve">18. New visits 15–19 (06/29–07/13); two Parks fail-count corrections</t>
        </is>
      </c>
      <c r="B93"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94" ht="60.0" customHeight="true">
      <c r="A94" s="19" t="inlineStr">
        <is>
          <t xml:space="preserve">19. Visit 19 (Parks) harvest-date ambiguity</t>
        </is>
      </c>
      <c r="B94"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95" ht="60.0" customHeight="true">
      <c r="A95" s="19" t="inlineStr">
        <is>
          <t xml:space="preserve">20. New visits 20–23 (07/20–07/30); first thoracic &amp; new slaughterhouse</t>
        </is>
      </c>
      <c r="B95"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96" ht="60.0" customHeight="true">
      <c r="A96" s="19" t="inlineStr">
        <is>
          <t xml:space="preserve">21. Visit 20 (07/20 Martins 666541) count discrepancy</t>
        </is>
      </c>
      <c r="B96"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97" ht="60.0" customHeight="true">
      <c r="A97" s="19" t="inlineStr">
        <is>
          <t xml:space="preserve">22. Workbook redesign</t>
        </is>
      </c>
      <c r="B97" s="20"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98" ht="60.0" customHeight="true">
      <c r="A98" s="19" t="inlineStr">
        <is>
          <t xml:space="preserve">23. August batch (07/16–08/19) &amp; de-duplication</t>
        </is>
      </c>
      <c r="B98" s="20"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99" ht="46.0" customHeight="true">
      <c r="A99" s="19" t="inlineStr">
        <is>
          <t xml:space="preserve">24. Parks spec transition 666518 → 666541</t>
        </is>
      </c>
      <c r="B99" s="20" t="inlineStr">
        <is>
          <t xml:space="preserve">Parks pelvic blocks are now received under PN 666541 (from 08/10); earlier Parks visits used 668518 → 666518. Both are Pelvic tissue; the by-part view now shows 666541 at Martins, Parks and Nahunta.</t>
        </is>
      </c>
    </row>
    <row r="100" ht="60.0" customHeight="true">
      <c r="A100" s="19" t="inlineStr">
        <is>
          <t xml:space="preserve">25. Nahunta thoracic (666521) trend &amp; pelvic line</t>
        </is>
      </c>
      <c r="B100" s="20"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sheetData>
  <mergeCells count="32">
    <mergeCell ref="A1:M1"/>
    <mergeCell ref="A2:M2"/>
    <mergeCell ref="A4:M4"/>
    <mergeCell ref="A66:M66"/>
    <mergeCell ref="A72:M72"/>
    <mergeCell ref="A73:M73"/>
    <mergeCell ref="A75:M75"/>
    <mergeCell ref="B76:M76"/>
    <mergeCell ref="B77:M77"/>
    <mergeCell ref="B78:M78"/>
    <mergeCell ref="B79:M79"/>
    <mergeCell ref="B80:M80"/>
    <mergeCell ref="B81:M81"/>
    <mergeCell ref="B82:M82"/>
    <mergeCell ref="B83:M83"/>
    <mergeCell ref="B84:M84"/>
    <mergeCell ref="B85:M85"/>
    <mergeCell ref="B86:M86"/>
    <mergeCell ref="B87:M87"/>
    <mergeCell ref="B88:M88"/>
    <mergeCell ref="B89:M89"/>
    <mergeCell ref="B90:M90"/>
    <mergeCell ref="B91:M91"/>
    <mergeCell ref="B92:M92"/>
    <mergeCell ref="B93:M93"/>
    <mergeCell ref="B94:M94"/>
    <mergeCell ref="B95:M95"/>
    <mergeCell ref="B96:M96"/>
    <mergeCell ref="B97:M97"/>
    <mergeCell ref="B98:M98"/>
    <mergeCell ref="B99:M99"/>
    <mergeCell ref="B100:M100"/>
  </mergeCells>
  <conditionalFormatting sqref="L6:L64">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true">
      <c r="A1" s="1" t="inlineStr">
        <is>
          <t xml:space="preserve">Quality Dashboard — by Tissue Type, Part &amp; Slaughterhouse</t>
        </is>
      </c>
    </row>
    <row r="2" ht="44" customHeight="true">
      <c r="A2" s="2" t="inlineStr">
        <is>
          <t xml:space="preserve">First-pass yield across all SH-floor incoming inspections (pre-freeze), Apr–Aug 2026. Live from the Inspection Log on the Slaughterhouse IQC tab. FPY = Pass / Inspected; Scrap % = Fail / Inspected.</t>
        </is>
      </c>
    </row>
    <row r="3"/>
    <row r="4" ht="18" customHeight="true">
      <c r="A4" s="3" t="inlineStr">
        <is>
          <t xml:space="preserve">BY TISSUE TYPE</t>
        </is>
      </c>
    </row>
    <row r="5">
      <c r="A5" s="11" t="inlineStr">
        <is>
          <t xml:space="preserve">Tissue Type</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t>
        </is>
      </c>
      <c r="B6" s="6" t="n">
        <f aca="false">SUMIF('Slaughterhouse IQC'!$E$6:$E$64,"Pelvic",'Slaughterhouse IQC'!$I$6:$I$64)</f>
      </c>
      <c r="C6" s="6" t="n">
        <f aca="false">SUMIF('Slaughterhouse IQC'!$E$6:$E$64,"Pelvic",'Slaughterhouse IQC'!$J$6:$J$64)</f>
      </c>
      <c r="D6" s="6" t="n">
        <f aca="false">SUMIF('Slaughterhouse IQC'!$E$6:$E$64,"Pelvic",'Slaughterhouse IQC'!$K$6:$K$64)</f>
      </c>
      <c r="E6" s="15" t="n">
        <f aca="false">IFERROR(C6/B6,0)</f>
      </c>
      <c r="F6" s="15" t="n">
        <f aca="false">IFERROR(D6/B6,0)</f>
      </c>
    </row>
    <row r="7">
      <c r="A7" s="5" t="inlineStr">
        <is>
          <t xml:space="preserve">Thoracic</t>
        </is>
      </c>
      <c r="B7" s="6" t="n">
        <f aca="false">SUMIF('Slaughterhouse IQC'!$E$6:$E$64,"Thoracic",'Slaughterhouse IQC'!$I$6:$I$64)</f>
      </c>
      <c r="C7" s="6" t="n">
        <f aca="false">SUMIF('Slaughterhouse IQC'!$E$6:$E$64,"Thoracic",'Slaughterhouse IQC'!$J$6:$J$64)</f>
      </c>
      <c r="D7" s="6" t="n">
        <f aca="false">SUMIF('Slaughterhouse IQC'!$E$6:$E$64,"Thoracic",'Slaughterhouse IQC'!$K$6:$K$64)</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true">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 / Parks / Nahunta</t>
        </is>
      </c>
      <c r="D12" s="6" t="n">
        <f aca="false">SUMIF('Slaughterhouse IQC'!$F$6:$F$64,"666541",'Slaughterhouse IQC'!$I$6:$I$64)</f>
      </c>
      <c r="E12" s="6" t="n">
        <f aca="false">SUMIF('Slaughterhouse IQC'!$F$6:$F$64,"666541",'Slaughterhouse IQC'!$J$6:$J$64)</f>
      </c>
      <c r="F12" s="6" t="n">
        <f aca="false">SUMIF('Slaughterhouse IQC'!$F$6:$F$64,"666541",'Slaughterhouse IQC'!$K$6:$K$64)</f>
      </c>
      <c r="G12" s="15" t="n">
        <f aca="false">IFERROR(E12/D12,0)</f>
      </c>
      <c r="H12" s="15" t="n">
        <f aca="false">IFERROR(F12/D12,0)</f>
      </c>
      <c r="I12" s="5" t="inlineStr">
        <is>
          <t xml:space="preserve">4/13 – 8/17</t>
        </is>
      </c>
    </row>
    <row r="13">
      <c r="A13" s="5" t="inlineStr">
        <is>
          <t xml:space="preserve">666506</t>
        </is>
      </c>
      <c r="B13" s="5" t="inlineStr">
        <is>
          <t xml:space="preserve">Pelvic block, non-intact</t>
        </is>
      </c>
      <c r="C13" s="5" t="inlineStr">
        <is>
          <t xml:space="preserve">Martins</t>
        </is>
      </c>
      <c r="D13" s="6" t="n">
        <f aca="false">SUMIF('Slaughterhouse IQC'!$F$6:$F$64,"666506",'Slaughterhouse IQC'!$I$6:$I$64)</f>
      </c>
      <c r="E13" s="6" t="n">
        <f aca="false">SUMIF('Slaughterhouse IQC'!$F$6:$F$64,"666506",'Slaughterhouse IQC'!$J$6:$J$64)</f>
      </c>
      <c r="F13" s="6" t="n">
        <f aca="false">SUMIF('Slaughterhouse IQC'!$F$6:$F$64,"666506",'Slaughterhouse IQC'!$K$6:$K$64)</f>
      </c>
      <c r="G13" s="15" t="n">
        <f aca="false">IFERROR(E13/D13,0)</f>
      </c>
      <c r="H13" s="15" t="n">
        <f aca="false">IFERROR(F13/D13,0)</f>
      </c>
      <c r="I13" s="5" t="inlineStr">
        <is>
          <t xml:space="preserve">4/13 – 8/17</t>
        </is>
      </c>
    </row>
    <row r="14">
      <c r="A14" s="5" t="inlineStr">
        <is>
          <t xml:space="preserve">666518</t>
        </is>
      </c>
      <c r="B14" s="5" t="inlineStr">
        <is>
          <t xml:space="preserve">Pelvic block, intact (SM)</t>
        </is>
      </c>
      <c r="C14" s="5" t="inlineStr">
        <is>
          <t xml:space="preserve">Parks</t>
        </is>
      </c>
      <c r="D14" s="6" t="n">
        <f aca="false">SUMIF('Slaughterhouse IQC'!$F$6:$F$64,"666518",'Slaughterhouse IQC'!$I$6:$I$64)</f>
      </c>
      <c r="E14" s="6" t="n">
        <f aca="false">SUMIF('Slaughterhouse IQC'!$F$6:$F$64,"666518",'Slaughterhouse IQC'!$J$6:$J$64)</f>
      </c>
      <c r="F14" s="6" t="n">
        <f aca="false">SUMIF('Slaughterhouse IQC'!$F$6:$F$64,"666518",'Slaughterhouse IQC'!$K$6:$K$64)</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IQC'!$F$6:$F$64,"666521",'Slaughterhouse IQC'!$I$6:$I$64)</f>
      </c>
      <c r="E15" s="6" t="n">
        <f aca="false">SUMIF('Slaughterhouse IQC'!$F$6:$F$64,"666521",'Slaughterhouse IQC'!$J$6:$J$64)</f>
      </c>
      <c r="F15" s="6" t="n">
        <f aca="false">SUMIF('Slaughterhouse IQC'!$F$6:$F$64,"666521",'Slaughterhouse IQC'!$K$6:$K$64)</f>
      </c>
      <c r="G15" s="15" t="n">
        <f aca="false">IFERROR(E15/D15,0)</f>
      </c>
      <c r="H15" s="15" t="n">
        <f aca="false">IFERROR(F15/D15,0)</f>
      </c>
      <c r="I15" s="5" t="inlineStr">
        <is>
          <t xml:space="preserve">7/29 – 8/19</t>
        </is>
      </c>
    </row>
    <row r="16"/>
    <row r="17" ht="18" customHeight="true">
      <c r="A17" s="3" t="inlineStr">
        <is>
          <t xml:space="preserve">BY SLAUGHTERHOUSE</t>
        </is>
      </c>
    </row>
    <row r="18">
      <c r="A18" s="11" t="inlineStr">
        <is>
          <t xml:space="preserve">Slaughterhouse</t>
        </is>
      </c>
      <c r="B18" s="11" t="inlineStr">
        <is>
          <t xml:space="preserve">Tissue / parts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 / 506</t>
        </is>
      </c>
      <c r="C19" s="6" t="n">
        <f aca="false">SUMIF('Slaughterhouse IQC'!$B$6:$B$64,"Martins",'Slaughterhouse IQC'!$I$6:$I$64)</f>
      </c>
      <c r="D19" s="6" t="n">
        <f aca="false">SUMIF('Slaughterhouse IQC'!$B$6:$B$64,"Martins",'Slaughterhouse IQC'!$J$6:$J$64)</f>
      </c>
      <c r="E19" s="6" t="n">
        <f aca="false">SUMIF('Slaughterhouse IQC'!$B$6:$B$64,"Martins",'Slaughterhouse IQC'!$K$6:$K$64)</f>
      </c>
      <c r="F19" s="15" t="n">
        <f aca="false">IFERROR(D19/C19,0)</f>
      </c>
      <c r="G19" s="15" t="n">
        <f aca="false">IFERROR(E19/C19,0)</f>
      </c>
    </row>
    <row r="20">
      <c r="A20" s="5" t="inlineStr">
        <is>
          <t xml:space="preserve">Parks Family Meats</t>
        </is>
      </c>
      <c r="B20" s="5" t="inlineStr">
        <is>
          <t xml:space="preserve">Pelvic 518 → 541</t>
        </is>
      </c>
      <c r="C20" s="6" t="n">
        <f aca="false">SUMIF('Slaughterhouse IQC'!$B$6:$B$64,"Parks Family Meats",'Slaughterhouse IQC'!$I$6:$I$64)</f>
      </c>
      <c r="D20" s="6" t="n">
        <f aca="false">SUMIF('Slaughterhouse IQC'!$B$6:$B$64,"Parks Family Meats",'Slaughterhouse IQC'!$J$6:$J$64)</f>
      </c>
      <c r="E20" s="6" t="n">
        <f aca="false">SUMIF('Slaughterhouse IQC'!$B$6:$B$64,"Parks Family Meats",'Slaughterhouse IQC'!$K$6:$K$64)</f>
      </c>
      <c r="F20" s="15" t="n">
        <f aca="false">IFERROR(D20/C20,0)</f>
      </c>
      <c r="G20" s="15" t="n">
        <f aca="false">IFERROR(E20/C20,0)</f>
      </c>
    </row>
    <row r="21">
      <c r="A21" s="5" t="inlineStr">
        <is>
          <t xml:space="preserve">Nahunta</t>
        </is>
      </c>
      <c r="B21" s="5" t="inlineStr">
        <is>
          <t xml:space="preserve">Thoracic 521 + pelvic 541</t>
        </is>
      </c>
      <c r="C21" s="6" t="n">
        <f aca="false">SUMIF('Slaughterhouse IQC'!$B$6:$B$64,"Nahunta",'Slaughterhouse IQC'!$I$6:$I$64)</f>
      </c>
      <c r="D21" s="6" t="n">
        <f aca="false">SUMIF('Slaughterhouse IQC'!$B$6:$B$64,"Nahunta",'Slaughterhouse IQC'!$J$6:$J$64)</f>
      </c>
      <c r="E21" s="6" t="n">
        <f aca="false">SUMIF('Slaughterhouse IQC'!$B$6:$B$64,"Nahunta",'Slaughterhouse IQC'!$K$6:$K$64)</f>
      </c>
      <c r="F21" s="15" t="n">
        <f aca="false">IFERROR(D21/C21,0)</f>
      </c>
      <c r="G21" s="15" t="n">
        <f aca="false">IFERROR(E21/C21,0)</f>
      </c>
    </row>
    <row r="22"/>
    <row r="23" ht="18" customHeight="true">
      <c r="A23" s="3" t="inlineStr">
        <is>
          <t xml:space="preserve">TISSUE / PART READ</t>
        </is>
      </c>
    </row>
    <row r="24" ht="16" customHeight="true">
      <c r="A24" s="19" t="inlineStr">
        <is>
          <t xml:space="preserve">666541 — Pelvic, intact · ~94% FPY (Martins / Parks / Nahunta)</t>
        </is>
      </c>
    </row>
    <row r="25" ht="44" customHeight="true">
      <c r="A25" s="20" t="inlineStr">
        <is>
          <t xml:space="preserve">Performance-goal part. Steady ~95% at Martins; Parks now runs 666541 too (from 08/10). A provisional Nahunta 8/12 pelvic line (13/1/12) drags the average — see note 25. Rejects: urethra/bladder &amp; membrane damage, short blocks.</t>
        </is>
      </c>
    </row>
    <row r="26" ht="16" customHeight="true">
      <c r="A26" s="19" t="inlineStr">
        <is>
          <t xml:space="preserve">666506 — Pelvic, non-intact · ~96% FPY (Martins)</t>
        </is>
      </c>
    </row>
    <row r="27" ht="44" customHeight="true">
      <c r="A27" s="20" t="inlineStr">
        <is>
          <t xml:space="preserve">Tighter spec, best yield of the group. Rejects: membrane/urethra damage, a couple early blood clots.</t>
        </is>
      </c>
    </row>
    <row r="28" ht="16" customHeight="true">
      <c r="A28" s="19" t="inlineStr">
        <is>
          <t xml:space="preserve">666518 — Pelvic, intact SM · ~84% FPY (Parks)</t>
        </is>
      </c>
    </row>
    <row r="29" ht="44" customHeight="true">
      <c r="A29" s="20" t="inlineStr">
        <is>
          <t xml:space="preserve">Batch-less Parks pelvic; Parks transitioned to 666541 by mid-August. Through 07/30 ~84%, driven by short blocks and mesentery/ureter damage. See the Parks deep-dive deck.</t>
        </is>
      </c>
    </row>
    <row r="30" ht="16" customHeight="true">
      <c r="A30" s="19" t="inlineStr">
        <is>
          <t xml:space="preserve">666521 — Thoracic · ~18% FPY (Nahunta)  — WORSENING</t>
        </is>
      </c>
    </row>
    <row r="31" ht="44" customHeight="true">
      <c r="A31" s="20" t="inlineStr">
        <is>
          <t xml:space="preserve">Thoracic at Nahunta, declining: 32% (7/29) → 0% (8/5) → 15% (8/12) → 21% (8/19). Right-lung perimeter and now heart lacerations, harvesting-side. Escalated with Ricardo; heart lacerations (inspector-side) now the main gap.</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G99"/>
  <sheetViews>
    <sheetView workbookViewId="0">
      <selection activeCell="A1" sqref="A1"/>
    </sheetView>
  </sheetViews>
  <sheetFormatPr defaultRowHeight="15"/>
  <cols>
    <col min="1" max="1" width="34" customWidth="1"/>
    <col min="2" max="6" width="10" customWidth="1"/>
    <col min="7" max="7" width="11" customWidth="1"/>
  </cols>
  <sheetData>
    <row r="1" ht="22" customHeight="true">
      <c r="A1" s="1" t="inlineStr">
        <is>
          <t xml:space="preserve">Monthly Breakdown — Inspections by Tissue × Slaughterhouse</t>
        </is>
      </c>
    </row>
    <row r="2" ht="58" customHeight="true">
      <c r="A2" s="2" t="inlineStr">
        <is>
          <t xml:space="preserve">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is>
      </c>
    </row>
    <row r="3"/>
    <row r="4" ht="18" customHeight="true">
      <c r="A4" s="3" t="inlineStr">
        <is>
          <t xml:space="preserve">OVERVIEW — FIRST-PASS YIELD BY MONTH</t>
        </is>
      </c>
    </row>
    <row r="5">
      <c r="A5" s="11" t="inlineStr">
        <is>
          <t xml:space="preserve">Tissue @ SH · Part</t>
        </is>
      </c>
      <c r="B5" s="11" t="inlineStr">
        <is>
          <t xml:space="preserve">April</t>
        </is>
      </c>
      <c r="C5" s="11" t="inlineStr">
        <is>
          <t xml:space="preserve">May</t>
        </is>
      </c>
      <c r="D5" s="11" t="inlineStr">
        <is>
          <t xml:space="preserve">June</t>
        </is>
      </c>
      <c r="E5" s="11" t="inlineStr">
        <is>
          <t xml:space="preserve">July</t>
        </is>
      </c>
      <c r="F5" s="11" t="inlineStr">
        <is>
          <t xml:space="preserve">August</t>
        </is>
      </c>
      <c r="G5" s="11" t="inlineStr">
        <is>
          <t xml:space="preserve">Total</t>
        </is>
      </c>
    </row>
    <row r="6">
      <c r="A6" s="5" t="inlineStr">
        <is>
          <t xml:space="preserve">Pelvic @ Martins · 666541</t>
        </is>
      </c>
      <c r="B6" s="15" t="n">
        <f aca="false">IF(SUMPRODUCT((LEFT('Slaughterhouse IQC'!$A$6:$A$64,7)="2026-04")*('Slaughterhouse IQC'!$B$6:$B$64="Martins")*('Slaughterhouse IQC'!$F$6:$F$64="666541")*'Slaughterhouse IQC'!$I$6:$I$64)=0,"",SUMPRODUCT((LEFT('Slaughterhouse IQC'!$A$6:$A$64,7)="2026-04")*('Slaughterhouse IQC'!$B$6:$B$64="Martins")*('Slaughterhouse IQC'!$F$6:$F$64="666541")*'Slaughterhouse IQC'!$J$6:$J$64)/SUMPRODUCT((LEFT('Slaughterhouse IQC'!$A$6:$A$64,7)="2026-04")*('Slaughterhouse IQC'!$B$6:$B$64="Martins")*('Slaughterhouse IQC'!$F$6:$F$64="666541")*'Slaughterhouse IQC'!$I$6:$I$64))</f>
      </c>
      <c r="C6" s="15" t="n">
        <f aca="false">IF(SUMPRODUCT((LEFT('Slaughterhouse IQC'!$A$6:$A$64,7)="2026-05")*('Slaughterhouse IQC'!$B$6:$B$64="Martins")*('Slaughterhouse IQC'!$F$6:$F$64="666541")*'Slaughterhouse IQC'!$I$6:$I$64)=0,"",SUMPRODUCT((LEFT('Slaughterhouse IQC'!$A$6:$A$64,7)="2026-05")*('Slaughterhouse IQC'!$B$6:$B$64="Martins")*('Slaughterhouse IQC'!$F$6:$F$64="666541")*'Slaughterhouse IQC'!$J$6:$J$64)/SUMPRODUCT((LEFT('Slaughterhouse IQC'!$A$6:$A$64,7)="2026-05")*('Slaughterhouse IQC'!$B$6:$B$64="Martins")*('Slaughterhouse IQC'!$F$6:$F$64="666541")*'Slaughterhouse IQC'!$I$6:$I$64))</f>
      </c>
      <c r="D6" s="15" t="n">
        <f aca="false">IF(SUMPRODUCT((LEFT('Slaughterhouse IQC'!$A$6:$A$64,7)="2026-06")*('Slaughterhouse IQC'!$B$6:$B$64="Martins")*('Slaughterhouse IQC'!$F$6:$F$64="666541")*'Slaughterhouse IQC'!$I$6:$I$64)=0,"",SUMPRODUCT((LEFT('Slaughterhouse IQC'!$A$6:$A$64,7)="2026-06")*('Slaughterhouse IQC'!$B$6:$B$64="Martins")*('Slaughterhouse IQC'!$F$6:$F$64="666541")*'Slaughterhouse IQC'!$J$6:$J$64)/SUMPRODUCT((LEFT('Slaughterhouse IQC'!$A$6:$A$64,7)="2026-06")*('Slaughterhouse IQC'!$B$6:$B$64="Martins")*('Slaughterhouse IQC'!$F$6:$F$64="666541")*'Slaughterhouse IQC'!$I$6:$I$64))</f>
      </c>
      <c r="E6" s="15" t="n">
        <f aca="false">IF(SUMPRODUCT((LEFT('Slaughterhouse IQC'!$A$6:$A$64,7)="2026-07")*('Slaughterhouse IQC'!$B$6:$B$64="Martins")*('Slaughterhouse IQC'!$F$6:$F$64="666541")*'Slaughterhouse IQC'!$I$6:$I$64)=0,"",SUMPRODUCT((LEFT('Slaughterhouse IQC'!$A$6:$A$64,7)="2026-07")*('Slaughterhouse IQC'!$B$6:$B$64="Martins")*('Slaughterhouse IQC'!$F$6:$F$64="666541")*'Slaughterhouse IQC'!$J$6:$J$64)/SUMPRODUCT((LEFT('Slaughterhouse IQC'!$A$6:$A$64,7)="2026-07")*('Slaughterhouse IQC'!$B$6:$B$64="Martins")*('Slaughterhouse IQC'!$F$6:$F$64="666541")*'Slaughterhouse IQC'!$I$6:$I$64))</f>
      </c>
      <c r="F6" s="15" t="n">
        <f aca="false">IF(SUMPRODUCT((LEFT('Slaughterhouse IQC'!$A$6:$A$64,7)="2026-08")*('Slaughterhouse IQC'!$B$6:$B$64="Martins")*('Slaughterhouse IQC'!$F$6:$F$64="666541")*'Slaughterhouse IQC'!$I$6:$I$64)=0,"",SUMPRODUCT((LEFT('Slaughterhouse IQC'!$A$6:$A$64,7)="2026-08")*('Slaughterhouse IQC'!$B$6:$B$64="Martins")*('Slaughterhouse IQC'!$F$6:$F$64="666541")*'Slaughterhouse IQC'!$J$6:$J$64)/SUMPRODUCT((LEFT('Slaughterhouse IQC'!$A$6:$A$64,7)="2026-08")*('Slaughterhouse IQC'!$B$6:$B$64="Martins")*('Slaughterhouse IQC'!$F$6:$F$64="666541")*'Slaughterhouse IQC'!$I$6:$I$64))</f>
      </c>
      <c r="G6" s="15" t="n">
        <f aca="false">IF(SUMPRODUCT(('Slaughterhouse IQC'!$B$6:$B$64="Martins")*('Slaughterhouse IQC'!$F$6:$F$64="666541")*'Slaughterhouse IQC'!$I$6:$I$64)=0,"",SUMPRODUCT(('Slaughterhouse IQC'!$B$6:$B$64="Martins")*('Slaughterhouse IQC'!$F$6:$F$64="666541")*'Slaughterhouse IQC'!$J$6:$J$64)/SUMPRODUCT(('Slaughterhouse IQC'!$B$6:$B$64="Martins")*('Slaughterhouse IQC'!$F$6:$F$64="666541")*'Slaughterhouse IQC'!$I$6:$I$64))</f>
      </c>
    </row>
    <row r="7">
      <c r="A7" s="5" t="inlineStr">
        <is>
          <t xml:space="preserve">Pelvic @ Martins · 666506</t>
        </is>
      </c>
      <c r="B7" s="15" t="n">
        <f aca="false">IF(SUMPRODUCT((LEFT('Slaughterhouse IQC'!$A$6:$A$64,7)="2026-04")*('Slaughterhouse IQC'!$B$6:$B$64="Martins")*('Slaughterhouse IQC'!$F$6:$F$64="666506")*'Slaughterhouse IQC'!$I$6:$I$64)=0,"",SUMPRODUCT((LEFT('Slaughterhouse IQC'!$A$6:$A$64,7)="2026-04")*('Slaughterhouse IQC'!$B$6:$B$64="Martins")*('Slaughterhouse IQC'!$F$6:$F$64="666506")*'Slaughterhouse IQC'!$J$6:$J$64)/SUMPRODUCT((LEFT('Slaughterhouse IQC'!$A$6:$A$64,7)="2026-04")*('Slaughterhouse IQC'!$B$6:$B$64="Martins")*('Slaughterhouse IQC'!$F$6:$F$64="666506")*'Slaughterhouse IQC'!$I$6:$I$64))</f>
      </c>
      <c r="C7" s="15" t="n">
        <f aca="false">IF(SUMPRODUCT((LEFT('Slaughterhouse IQC'!$A$6:$A$64,7)="2026-05")*('Slaughterhouse IQC'!$B$6:$B$64="Martins")*('Slaughterhouse IQC'!$F$6:$F$64="666506")*'Slaughterhouse IQC'!$I$6:$I$64)=0,"",SUMPRODUCT((LEFT('Slaughterhouse IQC'!$A$6:$A$64,7)="2026-05")*('Slaughterhouse IQC'!$B$6:$B$64="Martins")*('Slaughterhouse IQC'!$F$6:$F$64="666506")*'Slaughterhouse IQC'!$J$6:$J$64)/SUMPRODUCT((LEFT('Slaughterhouse IQC'!$A$6:$A$64,7)="2026-05")*('Slaughterhouse IQC'!$B$6:$B$64="Martins")*('Slaughterhouse IQC'!$F$6:$F$64="666506")*'Slaughterhouse IQC'!$I$6:$I$64))</f>
      </c>
      <c r="D7" s="15" t="n">
        <f aca="false">IF(SUMPRODUCT((LEFT('Slaughterhouse IQC'!$A$6:$A$64,7)="2026-06")*('Slaughterhouse IQC'!$B$6:$B$64="Martins")*('Slaughterhouse IQC'!$F$6:$F$64="666506")*'Slaughterhouse IQC'!$I$6:$I$64)=0,"",SUMPRODUCT((LEFT('Slaughterhouse IQC'!$A$6:$A$64,7)="2026-06")*('Slaughterhouse IQC'!$B$6:$B$64="Martins")*('Slaughterhouse IQC'!$F$6:$F$64="666506")*'Slaughterhouse IQC'!$J$6:$J$64)/SUMPRODUCT((LEFT('Slaughterhouse IQC'!$A$6:$A$64,7)="2026-06")*('Slaughterhouse IQC'!$B$6:$B$64="Martins")*('Slaughterhouse IQC'!$F$6:$F$64="666506")*'Slaughterhouse IQC'!$I$6:$I$64))</f>
      </c>
      <c r="E7" s="15" t="n">
        <f aca="false">IF(SUMPRODUCT((LEFT('Slaughterhouse IQC'!$A$6:$A$64,7)="2026-07")*('Slaughterhouse IQC'!$B$6:$B$64="Martins")*('Slaughterhouse IQC'!$F$6:$F$64="666506")*'Slaughterhouse IQC'!$I$6:$I$64)=0,"",SUMPRODUCT((LEFT('Slaughterhouse IQC'!$A$6:$A$64,7)="2026-07")*('Slaughterhouse IQC'!$B$6:$B$64="Martins")*('Slaughterhouse IQC'!$F$6:$F$64="666506")*'Slaughterhouse IQC'!$J$6:$J$64)/SUMPRODUCT((LEFT('Slaughterhouse IQC'!$A$6:$A$64,7)="2026-07")*('Slaughterhouse IQC'!$B$6:$B$64="Martins")*('Slaughterhouse IQC'!$F$6:$F$64="666506")*'Slaughterhouse IQC'!$I$6:$I$64))</f>
      </c>
      <c r="F7" s="15" t="n">
        <f aca="false">IF(SUMPRODUCT((LEFT('Slaughterhouse IQC'!$A$6:$A$64,7)="2026-08")*('Slaughterhouse IQC'!$B$6:$B$64="Martins")*('Slaughterhouse IQC'!$F$6:$F$64="666506")*'Slaughterhouse IQC'!$I$6:$I$64)=0,"",SUMPRODUCT((LEFT('Slaughterhouse IQC'!$A$6:$A$64,7)="2026-08")*('Slaughterhouse IQC'!$B$6:$B$64="Martins")*('Slaughterhouse IQC'!$F$6:$F$64="666506")*'Slaughterhouse IQC'!$J$6:$J$64)/SUMPRODUCT((LEFT('Slaughterhouse IQC'!$A$6:$A$64,7)="2026-08")*('Slaughterhouse IQC'!$B$6:$B$64="Martins")*('Slaughterhouse IQC'!$F$6:$F$64="666506")*'Slaughterhouse IQC'!$I$6:$I$64))</f>
      </c>
      <c r="G7" s="15" t="n">
        <f aca="false">IF(SUMPRODUCT(('Slaughterhouse IQC'!$B$6:$B$64="Martins")*('Slaughterhouse IQC'!$F$6:$F$64="666506")*'Slaughterhouse IQC'!$I$6:$I$64)=0,"",SUMPRODUCT(('Slaughterhouse IQC'!$B$6:$B$64="Martins")*('Slaughterhouse IQC'!$F$6:$F$64="666506")*'Slaughterhouse IQC'!$J$6:$J$64)/SUMPRODUCT(('Slaughterhouse IQC'!$B$6:$B$64="Martins")*('Slaughterhouse IQC'!$F$6:$F$64="666506")*'Slaughterhouse IQC'!$I$6:$I$64))</f>
      </c>
    </row>
    <row r="8">
      <c r="A8" s="5" t="inlineStr">
        <is>
          <t xml:space="preserve">Pelvic @ Parks · 666518</t>
        </is>
      </c>
      <c r="B8" s="15"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IQC'!$J$6:$J$64)/SUMPRODUCT((LEFT('Slaughterhouse IQC'!$A$6:$A$64,7)="2026-04")*('Slaughterhouse IQC'!$B$6:$B$64="Parks Family Meats")*('Slaughterhouse IQC'!$F$6:$F$64="666518")*'Slaughterhouse IQC'!$I$6:$I$64))</f>
      </c>
      <c r="C8" s="15"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IQC'!$J$6:$J$64)/SUMPRODUCT((LEFT('Slaughterhouse IQC'!$A$6:$A$64,7)="2026-05")*('Slaughterhouse IQC'!$B$6:$B$64="Parks Family Meats")*('Slaughterhouse IQC'!$F$6:$F$64="666518")*'Slaughterhouse IQC'!$I$6:$I$64))</f>
      </c>
      <c r="D8" s="15"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IQC'!$J$6:$J$64)/SUMPRODUCT((LEFT('Slaughterhouse IQC'!$A$6:$A$64,7)="2026-06")*('Slaughterhouse IQC'!$B$6:$B$64="Parks Family Meats")*('Slaughterhouse IQC'!$F$6:$F$64="666518")*'Slaughterhouse IQC'!$I$6:$I$64))</f>
      </c>
      <c r="E8" s="15"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IQC'!$J$6:$J$64)/SUMPRODUCT((LEFT('Slaughterhouse IQC'!$A$6:$A$64,7)="2026-07")*('Slaughterhouse IQC'!$B$6:$B$64="Parks Family Meats")*('Slaughterhouse IQC'!$F$6:$F$64="666518")*'Slaughterhouse IQC'!$I$6:$I$64))</f>
      </c>
      <c r="F8" s="15"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IQC'!$J$6:$J$64)/SUMPRODUCT((LEFT('Slaughterhouse IQC'!$A$6:$A$64,7)="2026-08")*('Slaughterhouse IQC'!$B$6:$B$64="Parks Family Meats")*('Slaughterhouse IQC'!$F$6:$F$64="666518")*'Slaughterhouse IQC'!$I$6:$I$64))</f>
      </c>
      <c r="G8" s="15" t="n">
        <f aca="false">IF(SUMPRODUCT(('Slaughterhouse IQC'!$B$6:$B$64="Parks Family Meats")*('Slaughterhouse IQC'!$F$6:$F$64="666518")*'Slaughterhouse IQC'!$I$6:$I$64)=0,"",SUMPRODUCT(('Slaughterhouse IQC'!$B$6:$B$64="Parks Family Meats")*('Slaughterhouse IQC'!$F$6:$F$64="666518")*'Slaughterhouse IQC'!$J$6:$J$64)/SUMPRODUCT(('Slaughterhouse IQC'!$B$6:$B$64="Parks Family Meats")*('Slaughterhouse IQC'!$F$6:$F$64="666518")*'Slaughterhouse IQC'!$I$6:$I$64))</f>
      </c>
    </row>
    <row r="9">
      <c r="A9" s="5" t="inlineStr">
        <is>
          <t xml:space="preserve">Pelvic @ Parks · 666541</t>
        </is>
      </c>
      <c r="B9" s="15"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IQC'!$J$6:$J$64)/SUMPRODUCT((LEFT('Slaughterhouse IQC'!$A$6:$A$64,7)="2026-04")*('Slaughterhouse IQC'!$B$6:$B$64="Parks Family Meats")*('Slaughterhouse IQC'!$F$6:$F$64="666541")*'Slaughterhouse IQC'!$I$6:$I$64))</f>
      </c>
      <c r="C9" s="15"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IQC'!$J$6:$J$64)/SUMPRODUCT((LEFT('Slaughterhouse IQC'!$A$6:$A$64,7)="2026-05")*('Slaughterhouse IQC'!$B$6:$B$64="Parks Family Meats")*('Slaughterhouse IQC'!$F$6:$F$64="666541")*'Slaughterhouse IQC'!$I$6:$I$64))</f>
      </c>
      <c r="D9" s="15"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IQC'!$J$6:$J$64)/SUMPRODUCT((LEFT('Slaughterhouse IQC'!$A$6:$A$64,7)="2026-06")*('Slaughterhouse IQC'!$B$6:$B$64="Parks Family Meats")*('Slaughterhouse IQC'!$F$6:$F$64="666541")*'Slaughterhouse IQC'!$I$6:$I$64))</f>
      </c>
      <c r="E9" s="15"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IQC'!$J$6:$J$64)/SUMPRODUCT((LEFT('Slaughterhouse IQC'!$A$6:$A$64,7)="2026-07")*('Slaughterhouse IQC'!$B$6:$B$64="Parks Family Meats")*('Slaughterhouse IQC'!$F$6:$F$64="666541")*'Slaughterhouse IQC'!$I$6:$I$64))</f>
      </c>
      <c r="F9" s="15"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IQC'!$J$6:$J$64)/SUMPRODUCT((LEFT('Slaughterhouse IQC'!$A$6:$A$64,7)="2026-08")*('Slaughterhouse IQC'!$B$6:$B$64="Parks Family Meats")*('Slaughterhouse IQC'!$F$6:$F$64="666541")*'Slaughterhouse IQC'!$I$6:$I$64))</f>
      </c>
      <c r="G9" s="15" t="n">
        <f aca="false">IF(SUMPRODUCT(('Slaughterhouse IQC'!$B$6:$B$64="Parks Family Meats")*('Slaughterhouse IQC'!$F$6:$F$64="666541")*'Slaughterhouse IQC'!$I$6:$I$64)=0,"",SUMPRODUCT(('Slaughterhouse IQC'!$B$6:$B$64="Parks Family Meats")*('Slaughterhouse IQC'!$F$6:$F$64="666541")*'Slaughterhouse IQC'!$J$6:$J$64)/SUMPRODUCT(('Slaughterhouse IQC'!$B$6:$B$64="Parks Family Meats")*('Slaughterhouse IQC'!$F$6:$F$64="666541")*'Slaughterhouse IQC'!$I$6:$I$64))</f>
      </c>
    </row>
    <row r="10">
      <c r="A10" s="5" t="inlineStr">
        <is>
          <t xml:space="preserve">Pelvic @ Nahunta · 666541</t>
        </is>
      </c>
      <c r="B10" s="15" t="n">
        <f aca="false">IF(SUMPRODUCT((LEFT('Slaughterhouse IQC'!$A$6:$A$64,7)="2026-04")*('Slaughterhouse IQC'!$B$6:$B$64="Nahunta")*('Slaughterhouse IQC'!$F$6:$F$64="666541")*'Slaughterhouse IQC'!$I$6:$I$64)=0,"",SUMPRODUCT((LEFT('Slaughterhouse IQC'!$A$6:$A$64,7)="2026-04")*('Slaughterhouse IQC'!$B$6:$B$64="Nahunta")*('Slaughterhouse IQC'!$F$6:$F$64="666541")*'Slaughterhouse IQC'!$J$6:$J$64)/SUMPRODUCT((LEFT('Slaughterhouse IQC'!$A$6:$A$64,7)="2026-04")*('Slaughterhouse IQC'!$B$6:$B$64="Nahunta")*('Slaughterhouse IQC'!$F$6:$F$64="666541")*'Slaughterhouse IQC'!$I$6:$I$64))</f>
      </c>
      <c r="C10" s="15" t="n">
        <f aca="false">IF(SUMPRODUCT((LEFT('Slaughterhouse IQC'!$A$6:$A$64,7)="2026-05")*('Slaughterhouse IQC'!$B$6:$B$64="Nahunta")*('Slaughterhouse IQC'!$F$6:$F$64="666541")*'Slaughterhouse IQC'!$I$6:$I$64)=0,"",SUMPRODUCT((LEFT('Slaughterhouse IQC'!$A$6:$A$64,7)="2026-05")*('Slaughterhouse IQC'!$B$6:$B$64="Nahunta")*('Slaughterhouse IQC'!$F$6:$F$64="666541")*'Slaughterhouse IQC'!$J$6:$J$64)/SUMPRODUCT((LEFT('Slaughterhouse IQC'!$A$6:$A$64,7)="2026-05")*('Slaughterhouse IQC'!$B$6:$B$64="Nahunta")*('Slaughterhouse IQC'!$F$6:$F$64="666541")*'Slaughterhouse IQC'!$I$6:$I$64))</f>
      </c>
      <c r="D10" s="15" t="n">
        <f aca="false">IF(SUMPRODUCT((LEFT('Slaughterhouse IQC'!$A$6:$A$64,7)="2026-06")*('Slaughterhouse IQC'!$B$6:$B$64="Nahunta")*('Slaughterhouse IQC'!$F$6:$F$64="666541")*'Slaughterhouse IQC'!$I$6:$I$64)=0,"",SUMPRODUCT((LEFT('Slaughterhouse IQC'!$A$6:$A$64,7)="2026-06")*('Slaughterhouse IQC'!$B$6:$B$64="Nahunta")*('Slaughterhouse IQC'!$F$6:$F$64="666541")*'Slaughterhouse IQC'!$J$6:$J$64)/SUMPRODUCT((LEFT('Slaughterhouse IQC'!$A$6:$A$64,7)="2026-06")*('Slaughterhouse IQC'!$B$6:$B$64="Nahunta")*('Slaughterhouse IQC'!$F$6:$F$64="666541")*'Slaughterhouse IQC'!$I$6:$I$64))</f>
      </c>
      <c r="E10" s="15" t="n">
        <f aca="false">IF(SUMPRODUCT((LEFT('Slaughterhouse IQC'!$A$6:$A$64,7)="2026-07")*('Slaughterhouse IQC'!$B$6:$B$64="Nahunta")*('Slaughterhouse IQC'!$F$6:$F$64="666541")*'Slaughterhouse IQC'!$I$6:$I$64)=0,"",SUMPRODUCT((LEFT('Slaughterhouse IQC'!$A$6:$A$64,7)="2026-07")*('Slaughterhouse IQC'!$B$6:$B$64="Nahunta")*('Slaughterhouse IQC'!$F$6:$F$64="666541")*'Slaughterhouse IQC'!$J$6:$J$64)/SUMPRODUCT((LEFT('Slaughterhouse IQC'!$A$6:$A$64,7)="2026-07")*('Slaughterhouse IQC'!$B$6:$B$64="Nahunta")*('Slaughterhouse IQC'!$F$6:$F$64="666541")*'Slaughterhouse IQC'!$I$6:$I$64))</f>
      </c>
      <c r="F10" s="15" t="n">
        <f aca="false">IF(SUMPRODUCT((LEFT('Slaughterhouse IQC'!$A$6:$A$64,7)="2026-08")*('Slaughterhouse IQC'!$B$6:$B$64="Nahunta")*('Slaughterhouse IQC'!$F$6:$F$64="666541")*'Slaughterhouse IQC'!$I$6:$I$64)=0,"",SUMPRODUCT((LEFT('Slaughterhouse IQC'!$A$6:$A$64,7)="2026-08")*('Slaughterhouse IQC'!$B$6:$B$64="Nahunta")*('Slaughterhouse IQC'!$F$6:$F$64="666541")*'Slaughterhouse IQC'!$J$6:$J$64)/SUMPRODUCT((LEFT('Slaughterhouse IQC'!$A$6:$A$64,7)="2026-08")*('Slaughterhouse IQC'!$B$6:$B$64="Nahunta")*('Slaughterhouse IQC'!$F$6:$F$64="666541")*'Slaughterhouse IQC'!$I$6:$I$64))</f>
      </c>
      <c r="G10" s="15" t="n">
        <f aca="false">IF(SUMPRODUCT(('Slaughterhouse IQC'!$B$6:$B$64="Nahunta")*('Slaughterhouse IQC'!$F$6:$F$64="666541")*'Slaughterhouse IQC'!$I$6:$I$64)=0,"",SUMPRODUCT(('Slaughterhouse IQC'!$B$6:$B$64="Nahunta")*('Slaughterhouse IQC'!$F$6:$F$64="666541")*'Slaughterhouse IQC'!$J$6:$J$64)/SUMPRODUCT(('Slaughterhouse IQC'!$B$6:$B$64="Nahunta")*('Slaughterhouse IQC'!$F$6:$F$64="666541")*'Slaughterhouse IQC'!$I$6:$I$64))</f>
      </c>
    </row>
    <row r="11">
      <c r="A11" s="5" t="inlineStr">
        <is>
          <t xml:space="preserve">Thoracic @ Nahunta · 666521</t>
        </is>
      </c>
      <c r="B11" s="15" t="n">
        <f aca="false">IF(SUMPRODUCT((LEFT('Slaughterhouse IQC'!$A$6:$A$64,7)="2026-04")*('Slaughterhouse IQC'!$B$6:$B$64="Nahunta")*('Slaughterhouse IQC'!$F$6:$F$64="666521")*'Slaughterhouse IQC'!$I$6:$I$64)=0,"",SUMPRODUCT((LEFT('Slaughterhouse IQC'!$A$6:$A$64,7)="2026-04")*('Slaughterhouse IQC'!$B$6:$B$64="Nahunta")*('Slaughterhouse IQC'!$F$6:$F$64="666521")*'Slaughterhouse IQC'!$J$6:$J$64)/SUMPRODUCT((LEFT('Slaughterhouse IQC'!$A$6:$A$64,7)="2026-04")*('Slaughterhouse IQC'!$B$6:$B$64="Nahunta")*('Slaughterhouse IQC'!$F$6:$F$64="666521")*'Slaughterhouse IQC'!$I$6:$I$64))</f>
      </c>
      <c r="C11" s="15" t="n">
        <f aca="false">IF(SUMPRODUCT((LEFT('Slaughterhouse IQC'!$A$6:$A$64,7)="2026-05")*('Slaughterhouse IQC'!$B$6:$B$64="Nahunta")*('Slaughterhouse IQC'!$F$6:$F$64="666521")*'Slaughterhouse IQC'!$I$6:$I$64)=0,"",SUMPRODUCT((LEFT('Slaughterhouse IQC'!$A$6:$A$64,7)="2026-05")*('Slaughterhouse IQC'!$B$6:$B$64="Nahunta")*('Slaughterhouse IQC'!$F$6:$F$64="666521")*'Slaughterhouse IQC'!$J$6:$J$64)/SUMPRODUCT((LEFT('Slaughterhouse IQC'!$A$6:$A$64,7)="2026-05")*('Slaughterhouse IQC'!$B$6:$B$64="Nahunta")*('Slaughterhouse IQC'!$F$6:$F$64="666521")*'Slaughterhouse IQC'!$I$6:$I$64))</f>
      </c>
      <c r="D11" s="15" t="n">
        <f aca="false">IF(SUMPRODUCT((LEFT('Slaughterhouse IQC'!$A$6:$A$64,7)="2026-06")*('Slaughterhouse IQC'!$B$6:$B$64="Nahunta")*('Slaughterhouse IQC'!$F$6:$F$64="666521")*'Slaughterhouse IQC'!$I$6:$I$64)=0,"",SUMPRODUCT((LEFT('Slaughterhouse IQC'!$A$6:$A$64,7)="2026-06")*('Slaughterhouse IQC'!$B$6:$B$64="Nahunta")*('Slaughterhouse IQC'!$F$6:$F$64="666521")*'Slaughterhouse IQC'!$J$6:$J$64)/SUMPRODUCT((LEFT('Slaughterhouse IQC'!$A$6:$A$64,7)="2026-06")*('Slaughterhouse IQC'!$B$6:$B$64="Nahunta")*('Slaughterhouse IQC'!$F$6:$F$64="666521")*'Slaughterhouse IQC'!$I$6:$I$64))</f>
      </c>
      <c r="E11" s="15" t="n">
        <f aca="false">IF(SUMPRODUCT((LEFT('Slaughterhouse IQC'!$A$6:$A$64,7)="2026-07")*('Slaughterhouse IQC'!$B$6:$B$64="Nahunta")*('Slaughterhouse IQC'!$F$6:$F$64="666521")*'Slaughterhouse IQC'!$I$6:$I$64)=0,"",SUMPRODUCT((LEFT('Slaughterhouse IQC'!$A$6:$A$64,7)="2026-07")*('Slaughterhouse IQC'!$B$6:$B$64="Nahunta")*('Slaughterhouse IQC'!$F$6:$F$64="666521")*'Slaughterhouse IQC'!$J$6:$J$64)/SUMPRODUCT((LEFT('Slaughterhouse IQC'!$A$6:$A$64,7)="2026-07")*('Slaughterhouse IQC'!$B$6:$B$64="Nahunta")*('Slaughterhouse IQC'!$F$6:$F$64="666521")*'Slaughterhouse IQC'!$I$6:$I$64))</f>
      </c>
      <c r="F11" s="15" t="n">
        <f aca="false">IF(SUMPRODUCT((LEFT('Slaughterhouse IQC'!$A$6:$A$64,7)="2026-08")*('Slaughterhouse IQC'!$B$6:$B$64="Nahunta")*('Slaughterhouse IQC'!$F$6:$F$64="666521")*'Slaughterhouse IQC'!$I$6:$I$64)=0,"",SUMPRODUCT((LEFT('Slaughterhouse IQC'!$A$6:$A$64,7)="2026-08")*('Slaughterhouse IQC'!$B$6:$B$64="Nahunta")*('Slaughterhouse IQC'!$F$6:$F$64="666521")*'Slaughterhouse IQC'!$J$6:$J$64)/SUMPRODUCT((LEFT('Slaughterhouse IQC'!$A$6:$A$64,7)="2026-08")*('Slaughterhouse IQC'!$B$6:$B$64="Nahunta")*('Slaughterhouse IQC'!$F$6:$F$64="666521")*'Slaughterhouse IQC'!$I$6:$I$64))</f>
      </c>
      <c r="G11" s="15" t="n">
        <f aca="false">IF(SUMPRODUCT(('Slaughterhouse IQC'!$B$6:$B$64="Nahunta")*('Slaughterhouse IQC'!$F$6:$F$64="666521")*'Slaughterhouse IQC'!$I$6:$I$64)=0,"",SUMPRODUCT(('Slaughterhouse IQC'!$B$6:$B$64="Nahunta")*('Slaughterhouse IQC'!$F$6:$F$64="666521")*'Slaughterhouse IQC'!$J$6:$J$64)/SUMPRODUCT(('Slaughterhouse IQC'!$B$6:$B$64="Nahunta")*('Slaughterhouse IQC'!$F$6:$F$64="666521")*'Slaughterhouse IQC'!$I$6:$I$64))</f>
      </c>
    </row>
    <row r="12"/>
    <row r="13" ht="18" customHeight="true">
      <c r="A13" s="3" t="inlineStr">
        <is>
          <t xml:space="preserve">OVERVIEW — ISSUES FOUND (# FAILED) BY MONTH</t>
        </is>
      </c>
    </row>
    <row r="14">
      <c r="A14" s="11" t="inlineStr">
        <is>
          <t xml:space="preserve">Tissue @ SH · Part</t>
        </is>
      </c>
      <c r="B14" s="11" t="inlineStr">
        <is>
          <t xml:space="preserve">April</t>
        </is>
      </c>
      <c r="C14" s="11" t="inlineStr">
        <is>
          <t xml:space="preserve">May</t>
        </is>
      </c>
      <c r="D14" s="11" t="inlineStr">
        <is>
          <t xml:space="preserve">June</t>
        </is>
      </c>
      <c r="E14" s="11" t="inlineStr">
        <is>
          <t xml:space="preserve">July</t>
        </is>
      </c>
      <c r="F14" s="11" t="inlineStr">
        <is>
          <t xml:space="preserve">August</t>
        </is>
      </c>
      <c r="G14" s="11" t="inlineStr">
        <is>
          <t xml:space="preserve">Total</t>
        </is>
      </c>
    </row>
    <row r="15">
      <c r="A15" s="5" t="inlineStr">
        <is>
          <t xml:space="preserve">Pelvic @ Martins · 666541</t>
        </is>
      </c>
      <c r="B15" s="6" t="n">
        <f aca="false">IF(SUMPRODUCT((LEFT('Slaughterhouse IQC'!$A$6:$A$64,7)="2026-04")*('Slaughterhouse IQC'!$B$6:$B$64="Martins")*('Slaughterhouse IQC'!$F$6:$F$64="666541")*'Slaughterhouse IQC'!$I$6:$I$64)=0,"",SUMPRODUCT((LEFT('Slaughterhouse IQC'!$A$6:$A$64,7)="2026-04")*('Slaughterhouse IQC'!$B$6:$B$64="Martins")*('Slaughterhouse IQC'!$F$6:$F$64="666541")*'Slaughterhouse IQC'!$K$6:$K$64))</f>
      </c>
      <c r="C15" s="6" t="n">
        <f aca="false">IF(SUMPRODUCT((LEFT('Slaughterhouse IQC'!$A$6:$A$64,7)="2026-05")*('Slaughterhouse IQC'!$B$6:$B$64="Martins")*('Slaughterhouse IQC'!$F$6:$F$64="666541")*'Slaughterhouse IQC'!$I$6:$I$64)=0,"",SUMPRODUCT((LEFT('Slaughterhouse IQC'!$A$6:$A$64,7)="2026-05")*('Slaughterhouse IQC'!$B$6:$B$64="Martins")*('Slaughterhouse IQC'!$F$6:$F$64="666541")*'Slaughterhouse IQC'!$K$6:$K$64))</f>
      </c>
      <c r="D15" s="6" t="n">
        <f aca="false">IF(SUMPRODUCT((LEFT('Slaughterhouse IQC'!$A$6:$A$64,7)="2026-06")*('Slaughterhouse IQC'!$B$6:$B$64="Martins")*('Slaughterhouse IQC'!$F$6:$F$64="666541")*'Slaughterhouse IQC'!$I$6:$I$64)=0,"",SUMPRODUCT((LEFT('Slaughterhouse IQC'!$A$6:$A$64,7)="2026-06")*('Slaughterhouse IQC'!$B$6:$B$64="Martins")*('Slaughterhouse IQC'!$F$6:$F$64="666541")*'Slaughterhouse IQC'!$K$6:$K$64))</f>
      </c>
      <c r="E15" s="6" t="n">
        <f aca="false">IF(SUMPRODUCT((LEFT('Slaughterhouse IQC'!$A$6:$A$64,7)="2026-07")*('Slaughterhouse IQC'!$B$6:$B$64="Martins")*('Slaughterhouse IQC'!$F$6:$F$64="666541")*'Slaughterhouse IQC'!$I$6:$I$64)=0,"",SUMPRODUCT((LEFT('Slaughterhouse IQC'!$A$6:$A$64,7)="2026-07")*('Slaughterhouse IQC'!$B$6:$B$64="Martins")*('Slaughterhouse IQC'!$F$6:$F$64="666541")*'Slaughterhouse IQC'!$K$6:$K$64))</f>
      </c>
      <c r="F15" s="6" t="n">
        <f aca="false">IF(SUMPRODUCT((LEFT('Slaughterhouse IQC'!$A$6:$A$64,7)="2026-08")*('Slaughterhouse IQC'!$B$6:$B$64="Martins")*('Slaughterhouse IQC'!$F$6:$F$64="666541")*'Slaughterhouse IQC'!$I$6:$I$64)=0,"",SUMPRODUCT((LEFT('Slaughterhouse IQC'!$A$6:$A$64,7)="2026-08")*('Slaughterhouse IQC'!$B$6:$B$64="Martins")*('Slaughterhouse IQC'!$F$6:$F$64="666541")*'Slaughterhouse IQC'!$K$6:$K$64))</f>
      </c>
      <c r="G15" s="6" t="n">
        <f aca="false">SUMPRODUCT(('Slaughterhouse IQC'!$B$6:$B$64="Martins")*('Slaughterhouse IQC'!$F$6:$F$64="666541")*'Slaughterhouse IQC'!$K$6:$K$64)</f>
      </c>
    </row>
    <row r="16">
      <c r="A16" s="5" t="inlineStr">
        <is>
          <t xml:space="preserve">Pelvic @ Martins · 666506</t>
        </is>
      </c>
      <c r="B16" s="6" t="n">
        <f aca="false">IF(SUMPRODUCT((LEFT('Slaughterhouse IQC'!$A$6:$A$64,7)="2026-04")*('Slaughterhouse IQC'!$B$6:$B$64="Martins")*('Slaughterhouse IQC'!$F$6:$F$64="666506")*'Slaughterhouse IQC'!$I$6:$I$64)=0,"",SUMPRODUCT((LEFT('Slaughterhouse IQC'!$A$6:$A$64,7)="2026-04")*('Slaughterhouse IQC'!$B$6:$B$64="Martins")*('Slaughterhouse IQC'!$F$6:$F$64="666506")*'Slaughterhouse IQC'!$K$6:$K$64))</f>
      </c>
      <c r="C16" s="6" t="n">
        <f aca="false">IF(SUMPRODUCT((LEFT('Slaughterhouse IQC'!$A$6:$A$64,7)="2026-05")*('Slaughterhouse IQC'!$B$6:$B$64="Martins")*('Slaughterhouse IQC'!$F$6:$F$64="666506")*'Slaughterhouse IQC'!$I$6:$I$64)=0,"",SUMPRODUCT((LEFT('Slaughterhouse IQC'!$A$6:$A$64,7)="2026-05")*('Slaughterhouse IQC'!$B$6:$B$64="Martins")*('Slaughterhouse IQC'!$F$6:$F$64="666506")*'Slaughterhouse IQC'!$K$6:$K$64))</f>
      </c>
      <c r="D16" s="6" t="n">
        <f aca="false">IF(SUMPRODUCT((LEFT('Slaughterhouse IQC'!$A$6:$A$64,7)="2026-06")*('Slaughterhouse IQC'!$B$6:$B$64="Martins")*('Slaughterhouse IQC'!$F$6:$F$64="666506")*'Slaughterhouse IQC'!$I$6:$I$64)=0,"",SUMPRODUCT((LEFT('Slaughterhouse IQC'!$A$6:$A$64,7)="2026-06")*('Slaughterhouse IQC'!$B$6:$B$64="Martins")*('Slaughterhouse IQC'!$F$6:$F$64="666506")*'Slaughterhouse IQC'!$K$6:$K$64))</f>
      </c>
      <c r="E16" s="6" t="n">
        <f aca="false">IF(SUMPRODUCT((LEFT('Slaughterhouse IQC'!$A$6:$A$64,7)="2026-07")*('Slaughterhouse IQC'!$B$6:$B$64="Martins")*('Slaughterhouse IQC'!$F$6:$F$64="666506")*'Slaughterhouse IQC'!$I$6:$I$64)=0,"",SUMPRODUCT((LEFT('Slaughterhouse IQC'!$A$6:$A$64,7)="2026-07")*('Slaughterhouse IQC'!$B$6:$B$64="Martins")*('Slaughterhouse IQC'!$F$6:$F$64="666506")*'Slaughterhouse IQC'!$K$6:$K$64))</f>
      </c>
      <c r="F16" s="6" t="n">
        <f aca="false">IF(SUMPRODUCT((LEFT('Slaughterhouse IQC'!$A$6:$A$64,7)="2026-08")*('Slaughterhouse IQC'!$B$6:$B$64="Martins")*('Slaughterhouse IQC'!$F$6:$F$64="666506")*'Slaughterhouse IQC'!$I$6:$I$64)=0,"",SUMPRODUCT((LEFT('Slaughterhouse IQC'!$A$6:$A$64,7)="2026-08")*('Slaughterhouse IQC'!$B$6:$B$64="Martins")*('Slaughterhouse IQC'!$F$6:$F$64="666506")*'Slaughterhouse IQC'!$K$6:$K$64))</f>
      </c>
      <c r="G16" s="6" t="n">
        <f aca="false">SUMPRODUCT(('Slaughterhouse IQC'!$B$6:$B$64="Martins")*('Slaughterhouse IQC'!$F$6:$F$64="666506")*'Slaughterhouse IQC'!$K$6:$K$64)</f>
      </c>
    </row>
    <row r="17">
      <c r="A17" s="5" t="inlineStr">
        <is>
          <t xml:space="preserve">Pelvic @ Parks · 666518</t>
        </is>
      </c>
      <c r="B17"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IQC'!$K$6:$K$64))</f>
      </c>
      <c r="C17"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IQC'!$K$6:$K$64))</f>
      </c>
      <c r="D17"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IQC'!$K$6:$K$64))</f>
      </c>
      <c r="E17"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IQC'!$K$6:$K$64))</f>
      </c>
      <c r="F17"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IQC'!$K$6:$K$64))</f>
      </c>
      <c r="G17" s="6" t="n">
        <f aca="false">SUMPRODUCT(('Slaughterhouse IQC'!$B$6:$B$64="Parks Family Meats")*('Slaughterhouse IQC'!$F$6:$F$64="666518")*'Slaughterhouse IQC'!$K$6:$K$64)</f>
      </c>
    </row>
    <row r="18">
      <c r="A18" s="5" t="inlineStr">
        <is>
          <t xml:space="preserve">Pelvic @ Parks · 666541</t>
        </is>
      </c>
      <c r="B18"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IQC'!$K$6:$K$64))</f>
      </c>
      <c r="C18"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IQC'!$K$6:$K$64))</f>
      </c>
      <c r="D18"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IQC'!$K$6:$K$64))</f>
      </c>
      <c r="E18"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IQC'!$K$6:$K$64))</f>
      </c>
      <c r="F18"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IQC'!$K$6:$K$64))</f>
      </c>
      <c r="G18" s="6" t="n">
        <f aca="false">SUMPRODUCT(('Slaughterhouse IQC'!$B$6:$B$64="Parks Family Meats")*('Slaughterhouse IQC'!$F$6:$F$64="666541")*'Slaughterhouse IQC'!$K$6:$K$64)</f>
      </c>
    </row>
    <row r="19">
      <c r="A19" s="5" t="inlineStr">
        <is>
          <t xml:space="preserve">Pelvic @ Nahunta · 666541</t>
        </is>
      </c>
      <c r="B19" s="6" t="n">
        <f aca="false">IF(SUMPRODUCT((LEFT('Slaughterhouse IQC'!$A$6:$A$64,7)="2026-04")*('Slaughterhouse IQC'!$B$6:$B$64="Nahunta")*('Slaughterhouse IQC'!$F$6:$F$64="666541")*'Slaughterhouse IQC'!$I$6:$I$64)=0,"",SUMPRODUCT((LEFT('Slaughterhouse IQC'!$A$6:$A$64,7)="2026-04")*('Slaughterhouse IQC'!$B$6:$B$64="Nahunta")*('Slaughterhouse IQC'!$F$6:$F$64="666541")*'Slaughterhouse IQC'!$K$6:$K$64))</f>
      </c>
      <c r="C19" s="6" t="n">
        <f aca="false">IF(SUMPRODUCT((LEFT('Slaughterhouse IQC'!$A$6:$A$64,7)="2026-05")*('Slaughterhouse IQC'!$B$6:$B$64="Nahunta")*('Slaughterhouse IQC'!$F$6:$F$64="666541")*'Slaughterhouse IQC'!$I$6:$I$64)=0,"",SUMPRODUCT((LEFT('Slaughterhouse IQC'!$A$6:$A$64,7)="2026-05")*('Slaughterhouse IQC'!$B$6:$B$64="Nahunta")*('Slaughterhouse IQC'!$F$6:$F$64="666541")*'Slaughterhouse IQC'!$K$6:$K$64))</f>
      </c>
      <c r="D19" s="6" t="n">
        <f aca="false">IF(SUMPRODUCT((LEFT('Slaughterhouse IQC'!$A$6:$A$64,7)="2026-06")*('Slaughterhouse IQC'!$B$6:$B$64="Nahunta")*('Slaughterhouse IQC'!$F$6:$F$64="666541")*'Slaughterhouse IQC'!$I$6:$I$64)=0,"",SUMPRODUCT((LEFT('Slaughterhouse IQC'!$A$6:$A$64,7)="2026-06")*('Slaughterhouse IQC'!$B$6:$B$64="Nahunta")*('Slaughterhouse IQC'!$F$6:$F$64="666541")*'Slaughterhouse IQC'!$K$6:$K$64))</f>
      </c>
      <c r="E19" s="6" t="n">
        <f aca="false">IF(SUMPRODUCT((LEFT('Slaughterhouse IQC'!$A$6:$A$64,7)="2026-07")*('Slaughterhouse IQC'!$B$6:$B$64="Nahunta")*('Slaughterhouse IQC'!$F$6:$F$64="666541")*'Slaughterhouse IQC'!$I$6:$I$64)=0,"",SUMPRODUCT((LEFT('Slaughterhouse IQC'!$A$6:$A$64,7)="2026-07")*('Slaughterhouse IQC'!$B$6:$B$64="Nahunta")*('Slaughterhouse IQC'!$F$6:$F$64="666541")*'Slaughterhouse IQC'!$K$6:$K$64))</f>
      </c>
      <c r="F19" s="6" t="n">
        <f aca="false">IF(SUMPRODUCT((LEFT('Slaughterhouse IQC'!$A$6:$A$64,7)="2026-08")*('Slaughterhouse IQC'!$B$6:$B$64="Nahunta")*('Slaughterhouse IQC'!$F$6:$F$64="666541")*'Slaughterhouse IQC'!$I$6:$I$64)=0,"",SUMPRODUCT((LEFT('Slaughterhouse IQC'!$A$6:$A$64,7)="2026-08")*('Slaughterhouse IQC'!$B$6:$B$64="Nahunta")*('Slaughterhouse IQC'!$F$6:$F$64="666541")*'Slaughterhouse IQC'!$K$6:$K$64))</f>
      </c>
      <c r="G19" s="6" t="n">
        <f aca="false">SUMPRODUCT(('Slaughterhouse IQC'!$B$6:$B$64="Nahunta")*('Slaughterhouse IQC'!$F$6:$F$64="666541")*'Slaughterhouse IQC'!$K$6:$K$64)</f>
      </c>
    </row>
    <row r="20">
      <c r="A20" s="5" t="inlineStr">
        <is>
          <t xml:space="preserve">Thoracic @ Nahunta · 666521</t>
        </is>
      </c>
      <c r="B20" s="6" t="n">
        <f aca="false">IF(SUMPRODUCT((LEFT('Slaughterhouse IQC'!$A$6:$A$64,7)="2026-04")*('Slaughterhouse IQC'!$B$6:$B$64="Nahunta")*('Slaughterhouse IQC'!$F$6:$F$64="666521")*'Slaughterhouse IQC'!$I$6:$I$64)=0,"",SUMPRODUCT((LEFT('Slaughterhouse IQC'!$A$6:$A$64,7)="2026-04")*('Slaughterhouse IQC'!$B$6:$B$64="Nahunta")*('Slaughterhouse IQC'!$F$6:$F$64="666521")*'Slaughterhouse IQC'!$K$6:$K$64))</f>
      </c>
      <c r="C20" s="6" t="n">
        <f aca="false">IF(SUMPRODUCT((LEFT('Slaughterhouse IQC'!$A$6:$A$64,7)="2026-05")*('Slaughterhouse IQC'!$B$6:$B$64="Nahunta")*('Slaughterhouse IQC'!$F$6:$F$64="666521")*'Slaughterhouse IQC'!$I$6:$I$64)=0,"",SUMPRODUCT((LEFT('Slaughterhouse IQC'!$A$6:$A$64,7)="2026-05")*('Slaughterhouse IQC'!$B$6:$B$64="Nahunta")*('Slaughterhouse IQC'!$F$6:$F$64="666521")*'Slaughterhouse IQC'!$K$6:$K$64))</f>
      </c>
      <c r="D20" s="6" t="n">
        <f aca="false">IF(SUMPRODUCT((LEFT('Slaughterhouse IQC'!$A$6:$A$64,7)="2026-06")*('Slaughterhouse IQC'!$B$6:$B$64="Nahunta")*('Slaughterhouse IQC'!$F$6:$F$64="666521")*'Slaughterhouse IQC'!$I$6:$I$64)=0,"",SUMPRODUCT((LEFT('Slaughterhouse IQC'!$A$6:$A$64,7)="2026-06")*('Slaughterhouse IQC'!$B$6:$B$64="Nahunta")*('Slaughterhouse IQC'!$F$6:$F$64="666521")*'Slaughterhouse IQC'!$K$6:$K$64))</f>
      </c>
      <c r="E20" s="6" t="n">
        <f aca="false">IF(SUMPRODUCT((LEFT('Slaughterhouse IQC'!$A$6:$A$64,7)="2026-07")*('Slaughterhouse IQC'!$B$6:$B$64="Nahunta")*('Slaughterhouse IQC'!$F$6:$F$64="666521")*'Slaughterhouse IQC'!$I$6:$I$64)=0,"",SUMPRODUCT((LEFT('Slaughterhouse IQC'!$A$6:$A$64,7)="2026-07")*('Slaughterhouse IQC'!$B$6:$B$64="Nahunta")*('Slaughterhouse IQC'!$F$6:$F$64="666521")*'Slaughterhouse IQC'!$K$6:$K$64))</f>
      </c>
      <c r="F20" s="6" t="n">
        <f aca="false">IF(SUMPRODUCT((LEFT('Slaughterhouse IQC'!$A$6:$A$64,7)="2026-08")*('Slaughterhouse IQC'!$B$6:$B$64="Nahunta")*('Slaughterhouse IQC'!$F$6:$F$64="666521")*'Slaughterhouse IQC'!$I$6:$I$64)=0,"",SUMPRODUCT((LEFT('Slaughterhouse IQC'!$A$6:$A$64,7)="2026-08")*('Slaughterhouse IQC'!$B$6:$B$64="Nahunta")*('Slaughterhouse IQC'!$F$6:$F$64="666521")*'Slaughterhouse IQC'!$K$6:$K$64))</f>
      </c>
      <c r="G20" s="6" t="n">
        <f aca="false">SUMPRODUCT(('Slaughterhouse IQC'!$B$6:$B$64="Nahunta")*('Slaughterhouse IQC'!$F$6:$F$64="666521")*'Slaughterhouse IQC'!$K$6:$K$64)</f>
      </c>
    </row>
    <row r="21"/>
    <row r="22" ht="18" customHeight="true">
      <c r="A22" s="3" t="inlineStr">
        <is>
          <t xml:space="preserve">PELVIC @ MARTINS — 666541 (intact)</t>
        </is>
      </c>
    </row>
    <row r="23">
      <c r="A23" s="11" t="inlineStr">
        <is>
          <t xml:space="preserve">Metric</t>
        </is>
      </c>
      <c r="B23" s="11" t="inlineStr">
        <is>
          <t xml:space="preserve">April</t>
        </is>
      </c>
      <c r="C23" s="11" t="inlineStr">
        <is>
          <t xml:space="preserve">May</t>
        </is>
      </c>
      <c r="D23" s="11" t="inlineStr">
        <is>
          <t xml:space="preserve">June</t>
        </is>
      </c>
      <c r="E23" s="11" t="inlineStr">
        <is>
          <t xml:space="preserve">July</t>
        </is>
      </c>
      <c r="F23" s="11" t="inlineStr">
        <is>
          <t xml:space="preserve">August</t>
        </is>
      </c>
      <c r="G23" s="11" t="inlineStr">
        <is>
          <t xml:space="preserve">Total</t>
        </is>
      </c>
    </row>
    <row r="24">
      <c r="A24" s="5" t="inlineStr">
        <is>
          <t xml:space="preserve"># Inspected</t>
        </is>
      </c>
      <c r="B24" s="6" t="n">
        <f aca="false">IF(SUMPRODUCT((LEFT('Slaughterhouse IQC'!$A$6:$A$64,7)="2026-04")*('Slaughterhouse IQC'!$B$6:$B$64="Martins")*('Slaughterhouse IQC'!$F$6:$F$64="666541")*'Slaughterhouse IQC'!$I$6:$I$64)=0,"",SUMPRODUCT((LEFT('Slaughterhouse IQC'!$A$6:$A$64,7)="2026-04")*('Slaughterhouse IQC'!$B$6:$B$64="Martins")*('Slaughterhouse IQC'!$F$6:$F$64="666541")*'Slaughterhouse IQC'!$I$6:$I$64))</f>
      </c>
      <c r="C24" s="6" t="n">
        <f aca="false">IF(SUMPRODUCT((LEFT('Slaughterhouse IQC'!$A$6:$A$64,7)="2026-05")*('Slaughterhouse IQC'!$B$6:$B$64="Martins")*('Slaughterhouse IQC'!$F$6:$F$64="666541")*'Slaughterhouse IQC'!$I$6:$I$64)=0,"",SUMPRODUCT((LEFT('Slaughterhouse IQC'!$A$6:$A$64,7)="2026-05")*('Slaughterhouse IQC'!$B$6:$B$64="Martins")*('Slaughterhouse IQC'!$F$6:$F$64="666541")*'Slaughterhouse IQC'!$I$6:$I$64))</f>
      </c>
      <c r="D24" s="6" t="n">
        <f aca="false">IF(SUMPRODUCT((LEFT('Slaughterhouse IQC'!$A$6:$A$64,7)="2026-06")*('Slaughterhouse IQC'!$B$6:$B$64="Martins")*('Slaughterhouse IQC'!$F$6:$F$64="666541")*'Slaughterhouse IQC'!$I$6:$I$64)=0,"",SUMPRODUCT((LEFT('Slaughterhouse IQC'!$A$6:$A$64,7)="2026-06")*('Slaughterhouse IQC'!$B$6:$B$64="Martins")*('Slaughterhouse IQC'!$F$6:$F$64="666541")*'Slaughterhouse IQC'!$I$6:$I$64))</f>
      </c>
      <c r="E24" s="6" t="n">
        <f aca="false">IF(SUMPRODUCT((LEFT('Slaughterhouse IQC'!$A$6:$A$64,7)="2026-07")*('Slaughterhouse IQC'!$B$6:$B$64="Martins")*('Slaughterhouse IQC'!$F$6:$F$64="666541")*'Slaughterhouse IQC'!$I$6:$I$64)=0,"",SUMPRODUCT((LEFT('Slaughterhouse IQC'!$A$6:$A$64,7)="2026-07")*('Slaughterhouse IQC'!$B$6:$B$64="Martins")*('Slaughterhouse IQC'!$F$6:$F$64="666541")*'Slaughterhouse IQC'!$I$6:$I$64))</f>
      </c>
      <c r="F24" s="6" t="n">
        <f aca="false">IF(SUMPRODUCT((LEFT('Slaughterhouse IQC'!$A$6:$A$64,7)="2026-08")*('Slaughterhouse IQC'!$B$6:$B$64="Martins")*('Slaughterhouse IQC'!$F$6:$F$64="666541")*'Slaughterhouse IQC'!$I$6:$I$64)=0,"",SUMPRODUCT((LEFT('Slaughterhouse IQC'!$A$6:$A$64,7)="2026-08")*('Slaughterhouse IQC'!$B$6:$B$64="Martins")*('Slaughterhouse IQC'!$F$6:$F$64="666541")*'Slaughterhouse IQC'!$I$6:$I$64))</f>
      </c>
      <c r="G24" s="6" t="n">
        <f aca="false">SUM(B24:F24)</f>
      </c>
    </row>
    <row r="25">
      <c r="A25" s="5" t="inlineStr">
        <is>
          <t xml:space="preserve"># Pass</t>
        </is>
      </c>
      <c r="B25" s="6" t="n">
        <f aca="false">IF(SUMPRODUCT((LEFT('Slaughterhouse IQC'!$A$6:$A$64,7)="2026-04")*('Slaughterhouse IQC'!$B$6:$B$64="Martins")*('Slaughterhouse IQC'!$F$6:$F$64="666541")*'Slaughterhouse IQC'!$I$6:$I$64)=0,"",SUMPRODUCT((LEFT('Slaughterhouse IQC'!$A$6:$A$64,7)="2026-04")*('Slaughterhouse IQC'!$B$6:$B$64="Martins")*('Slaughterhouse IQC'!$F$6:$F$64="666541")*'Slaughterhouse IQC'!$J$6:$J$64))</f>
      </c>
      <c r="C25" s="6" t="n">
        <f aca="false">IF(SUMPRODUCT((LEFT('Slaughterhouse IQC'!$A$6:$A$64,7)="2026-05")*('Slaughterhouse IQC'!$B$6:$B$64="Martins")*('Slaughterhouse IQC'!$F$6:$F$64="666541")*'Slaughterhouse IQC'!$I$6:$I$64)=0,"",SUMPRODUCT((LEFT('Slaughterhouse IQC'!$A$6:$A$64,7)="2026-05")*('Slaughterhouse IQC'!$B$6:$B$64="Martins")*('Slaughterhouse IQC'!$F$6:$F$64="666541")*'Slaughterhouse IQC'!$J$6:$J$64))</f>
      </c>
      <c r="D25" s="6" t="n">
        <f aca="false">IF(SUMPRODUCT((LEFT('Slaughterhouse IQC'!$A$6:$A$64,7)="2026-06")*('Slaughterhouse IQC'!$B$6:$B$64="Martins")*('Slaughterhouse IQC'!$F$6:$F$64="666541")*'Slaughterhouse IQC'!$I$6:$I$64)=0,"",SUMPRODUCT((LEFT('Slaughterhouse IQC'!$A$6:$A$64,7)="2026-06")*('Slaughterhouse IQC'!$B$6:$B$64="Martins")*('Slaughterhouse IQC'!$F$6:$F$64="666541")*'Slaughterhouse IQC'!$J$6:$J$64))</f>
      </c>
      <c r="E25" s="6" t="n">
        <f aca="false">IF(SUMPRODUCT((LEFT('Slaughterhouse IQC'!$A$6:$A$64,7)="2026-07")*('Slaughterhouse IQC'!$B$6:$B$64="Martins")*('Slaughterhouse IQC'!$F$6:$F$64="666541")*'Slaughterhouse IQC'!$I$6:$I$64)=0,"",SUMPRODUCT((LEFT('Slaughterhouse IQC'!$A$6:$A$64,7)="2026-07")*('Slaughterhouse IQC'!$B$6:$B$64="Martins")*('Slaughterhouse IQC'!$F$6:$F$64="666541")*'Slaughterhouse IQC'!$J$6:$J$64))</f>
      </c>
      <c r="F25" s="6" t="n">
        <f aca="false">IF(SUMPRODUCT((LEFT('Slaughterhouse IQC'!$A$6:$A$64,7)="2026-08")*('Slaughterhouse IQC'!$B$6:$B$64="Martins")*('Slaughterhouse IQC'!$F$6:$F$64="666541")*'Slaughterhouse IQC'!$I$6:$I$64)=0,"",SUMPRODUCT((LEFT('Slaughterhouse IQC'!$A$6:$A$64,7)="2026-08")*('Slaughterhouse IQC'!$B$6:$B$64="Martins")*('Slaughterhouse IQC'!$F$6:$F$64="666541")*'Slaughterhouse IQC'!$J$6:$J$64))</f>
      </c>
      <c r="G25" s="6" t="n">
        <f aca="false">SUM(B25:F25)</f>
      </c>
    </row>
    <row r="26">
      <c r="A26" s="5" t="inlineStr">
        <is>
          <t xml:space="preserve"># Fail</t>
        </is>
      </c>
      <c r="B26" s="6" t="n">
        <f aca="false">IF(SUMPRODUCT((LEFT('Slaughterhouse IQC'!$A$6:$A$64,7)="2026-04")*('Slaughterhouse IQC'!$B$6:$B$64="Martins")*('Slaughterhouse IQC'!$F$6:$F$64="666541")*'Slaughterhouse IQC'!$I$6:$I$64)=0,"",SUMPRODUCT((LEFT('Slaughterhouse IQC'!$A$6:$A$64,7)="2026-04")*('Slaughterhouse IQC'!$B$6:$B$64="Martins")*('Slaughterhouse IQC'!$F$6:$F$64="666541")*'Slaughterhouse IQC'!$K$6:$K$64))</f>
      </c>
      <c r="C26" s="6" t="n">
        <f aca="false">IF(SUMPRODUCT((LEFT('Slaughterhouse IQC'!$A$6:$A$64,7)="2026-05")*('Slaughterhouse IQC'!$B$6:$B$64="Martins")*('Slaughterhouse IQC'!$F$6:$F$64="666541")*'Slaughterhouse IQC'!$I$6:$I$64)=0,"",SUMPRODUCT((LEFT('Slaughterhouse IQC'!$A$6:$A$64,7)="2026-05")*('Slaughterhouse IQC'!$B$6:$B$64="Martins")*('Slaughterhouse IQC'!$F$6:$F$64="666541")*'Slaughterhouse IQC'!$K$6:$K$64))</f>
      </c>
      <c r="D26" s="6" t="n">
        <f aca="false">IF(SUMPRODUCT((LEFT('Slaughterhouse IQC'!$A$6:$A$64,7)="2026-06")*('Slaughterhouse IQC'!$B$6:$B$64="Martins")*('Slaughterhouse IQC'!$F$6:$F$64="666541")*'Slaughterhouse IQC'!$I$6:$I$64)=0,"",SUMPRODUCT((LEFT('Slaughterhouse IQC'!$A$6:$A$64,7)="2026-06")*('Slaughterhouse IQC'!$B$6:$B$64="Martins")*('Slaughterhouse IQC'!$F$6:$F$64="666541")*'Slaughterhouse IQC'!$K$6:$K$64))</f>
      </c>
      <c r="E26" s="6" t="n">
        <f aca="false">IF(SUMPRODUCT((LEFT('Slaughterhouse IQC'!$A$6:$A$64,7)="2026-07")*('Slaughterhouse IQC'!$B$6:$B$64="Martins")*('Slaughterhouse IQC'!$F$6:$F$64="666541")*'Slaughterhouse IQC'!$I$6:$I$64)=0,"",SUMPRODUCT((LEFT('Slaughterhouse IQC'!$A$6:$A$64,7)="2026-07")*('Slaughterhouse IQC'!$B$6:$B$64="Martins")*('Slaughterhouse IQC'!$F$6:$F$64="666541")*'Slaughterhouse IQC'!$K$6:$K$64))</f>
      </c>
      <c r="F26" s="6" t="n">
        <f aca="false">IF(SUMPRODUCT((LEFT('Slaughterhouse IQC'!$A$6:$A$64,7)="2026-08")*('Slaughterhouse IQC'!$B$6:$B$64="Martins")*('Slaughterhouse IQC'!$F$6:$F$64="666541")*'Slaughterhouse IQC'!$I$6:$I$64)=0,"",SUMPRODUCT((LEFT('Slaughterhouse IQC'!$A$6:$A$64,7)="2026-08")*('Slaughterhouse IQC'!$B$6:$B$64="Martins")*('Slaughterhouse IQC'!$F$6:$F$64="666541")*'Slaughterhouse IQC'!$K$6:$K$64))</f>
      </c>
      <c r="G26" s="6" t="n">
        <f aca="false">SUM(B26:F26)</f>
      </c>
    </row>
    <row r="27">
      <c r="A27" s="12" t="inlineStr">
        <is>
          <t xml:space="preserve">First-Pass Yield</t>
        </is>
      </c>
      <c r="B27" s="15" t="n">
        <f aca="false">IF(B24="","",IF(B24=0,"",B25/B24))</f>
      </c>
      <c r="C27" s="15" t="n">
        <f aca="false">IF(C24="","",IF(C24=0,"",C25/C24))</f>
      </c>
      <c r="D27" s="15" t="n">
        <f aca="false">IF(D24="","",IF(D24=0,"",D25/D24))</f>
      </c>
      <c r="E27" s="15" t="n">
        <f aca="false">IF(E24="","",IF(E24=0,"",E25/E24))</f>
      </c>
      <c r="F27" s="15" t="n">
        <f aca="false">IF(F24="","",IF(F24=0,"",F25/F24))</f>
      </c>
      <c r="G27" s="15" t="n">
        <f aca="false">IF(G24=0,"",G25/G24)</f>
      </c>
    </row>
    <row r="28" ht="15" customHeight="true">
      <c r="A28" s="19" t="inlineStr">
        <is>
          <t xml:space="preserve">Issues found (defect category counts)</t>
        </is>
      </c>
    </row>
    <row r="29">
      <c r="A29" s="16" t="inlineStr">
        <is>
          <t xml:space="preserve">   Urethra / bladder damage</t>
        </is>
      </c>
      <c r="B29" s="6" t="n">
        <v>2</v>
      </c>
      <c r="C29" s="6" t="n">
        <v>9</v>
      </c>
      <c r="D29" s="6" t="n">
        <v>4</v>
      </c>
      <c r="E29" s="6" t="n">
        <v>3</v>
      </c>
      <c r="F29" s="6" t="n">
        <v>2</v>
      </c>
      <c r="G29" s="6" t="n">
        <v>20</v>
      </c>
    </row>
    <row r="30">
      <c r="A30" s="16" t="inlineStr">
        <is>
          <t xml:space="preserve">   Membrane damage</t>
        </is>
      </c>
      <c r="C30" s="6" t="n">
        <v>2</v>
      </c>
      <c r="D30" s="6" t="n">
        <v>3</v>
      </c>
      <c r="E30" s="6" t="n">
        <v>2</v>
      </c>
      <c r="F30" s="6" t="n">
        <v>1</v>
      </c>
      <c r="G30" s="6" t="n">
        <v>8</v>
      </c>
    </row>
    <row r="31">
      <c r="A31" s="16" t="inlineStr">
        <is>
          <t xml:space="preserve">   Bowel damage / separation</t>
        </is>
      </c>
      <c r="B31" s="6" t="n">
        <v>2</v>
      </c>
      <c r="C31" s="6" t="n">
        <v>1</v>
      </c>
      <c r="D31" s="6" t="n">
        <v>1</v>
      </c>
      <c r="F31" s="6" t="n">
        <v>2</v>
      </c>
      <c r="G31" s="6" t="n">
        <v>6</v>
      </c>
    </row>
    <row r="32">
      <c r="A32" s="16" t="inlineStr">
        <is>
          <t xml:space="preserve">   Short block / mesentery length</t>
        </is>
      </c>
      <c r="C32" s="6" t="n">
        <v>1</v>
      </c>
      <c r="G32" s="6" t="n">
        <v>1</v>
      </c>
    </row>
    <row r="33">
      <c r="A33" s="16" t="inlineStr">
        <is>
          <t xml:space="preserve">   Other / unspecified</t>
        </is>
      </c>
      <c r="B33" s="6" t="n">
        <v>2</v>
      </c>
      <c r="E33" s="6" t="n">
        <v>1</v>
      </c>
      <c r="G33" s="6" t="n">
        <v>3</v>
      </c>
    </row>
    <row r="34">
      <c r="A34" s="12" t="inlineStr">
        <is>
          <t xml:space="preserve">   Total issues</t>
        </is>
      </c>
      <c r="B34" s="6" t="n">
        <f aca="false">IF(SUM(B29:B33)=0,"",SUM(B29:B33))</f>
      </c>
      <c r="C34" s="6" t="n">
        <f aca="false">IF(SUM(C29:C33)=0,"",SUM(C29:C33))</f>
      </c>
      <c r="D34" s="6" t="n">
        <f aca="false">IF(SUM(D29:D33)=0,"",SUM(D29:D33))</f>
      </c>
      <c r="E34" s="6" t="n">
        <f aca="false">IF(SUM(E29:E33)=0,"",SUM(E29:E33))</f>
      </c>
      <c r="F34" s="6" t="n">
        <f aca="false">IF(SUM(F29:F33)=0,"",SUM(F29:F33))</f>
      </c>
      <c r="G34" s="6" t="n">
        <f aca="false">SUM(G29:G33)</f>
      </c>
    </row>
    <row r="35"/>
    <row r="36" ht="18" customHeight="true">
      <c r="A36" s="3" t="inlineStr">
        <is>
          <t xml:space="preserve">PELVIC @ MARTINS — 666506 (non-intact)</t>
        </is>
      </c>
    </row>
    <row r="37">
      <c r="A37" s="11" t="inlineStr">
        <is>
          <t xml:space="preserve">Metric</t>
        </is>
      </c>
      <c r="B37" s="11" t="inlineStr">
        <is>
          <t xml:space="preserve">April</t>
        </is>
      </c>
      <c r="C37" s="11" t="inlineStr">
        <is>
          <t xml:space="preserve">May</t>
        </is>
      </c>
      <c r="D37" s="11" t="inlineStr">
        <is>
          <t xml:space="preserve">June</t>
        </is>
      </c>
      <c r="E37" s="11" t="inlineStr">
        <is>
          <t xml:space="preserve">July</t>
        </is>
      </c>
      <c r="F37" s="11" t="inlineStr">
        <is>
          <t xml:space="preserve">August</t>
        </is>
      </c>
      <c r="G37" s="11" t="inlineStr">
        <is>
          <t xml:space="preserve">Total</t>
        </is>
      </c>
    </row>
    <row r="38">
      <c r="A38" s="5" t="inlineStr">
        <is>
          <t xml:space="preserve"># Inspected</t>
        </is>
      </c>
      <c r="B38" s="6" t="n">
        <f aca="false">IF(SUMPRODUCT((LEFT('Slaughterhouse IQC'!$A$6:$A$64,7)="2026-04")*('Slaughterhouse IQC'!$B$6:$B$64="Martins")*('Slaughterhouse IQC'!$F$6:$F$64="666506")*'Slaughterhouse IQC'!$I$6:$I$64)=0,"",SUMPRODUCT((LEFT('Slaughterhouse IQC'!$A$6:$A$64,7)="2026-04")*('Slaughterhouse IQC'!$B$6:$B$64="Martins")*('Slaughterhouse IQC'!$F$6:$F$64="666506")*'Slaughterhouse IQC'!$I$6:$I$64))</f>
      </c>
      <c r="C38" s="6" t="n">
        <f aca="false">IF(SUMPRODUCT((LEFT('Slaughterhouse IQC'!$A$6:$A$64,7)="2026-05")*('Slaughterhouse IQC'!$B$6:$B$64="Martins")*('Slaughterhouse IQC'!$F$6:$F$64="666506")*'Slaughterhouse IQC'!$I$6:$I$64)=0,"",SUMPRODUCT((LEFT('Slaughterhouse IQC'!$A$6:$A$64,7)="2026-05")*('Slaughterhouse IQC'!$B$6:$B$64="Martins")*('Slaughterhouse IQC'!$F$6:$F$64="666506")*'Slaughterhouse IQC'!$I$6:$I$64))</f>
      </c>
      <c r="D38" s="6" t="n">
        <f aca="false">IF(SUMPRODUCT((LEFT('Slaughterhouse IQC'!$A$6:$A$64,7)="2026-06")*('Slaughterhouse IQC'!$B$6:$B$64="Martins")*('Slaughterhouse IQC'!$F$6:$F$64="666506")*'Slaughterhouse IQC'!$I$6:$I$64)=0,"",SUMPRODUCT((LEFT('Slaughterhouse IQC'!$A$6:$A$64,7)="2026-06")*('Slaughterhouse IQC'!$B$6:$B$64="Martins")*('Slaughterhouse IQC'!$F$6:$F$64="666506")*'Slaughterhouse IQC'!$I$6:$I$64))</f>
      </c>
      <c r="E38" s="6" t="n">
        <f aca="false">IF(SUMPRODUCT((LEFT('Slaughterhouse IQC'!$A$6:$A$64,7)="2026-07")*('Slaughterhouse IQC'!$B$6:$B$64="Martins")*('Slaughterhouse IQC'!$F$6:$F$64="666506")*'Slaughterhouse IQC'!$I$6:$I$64)=0,"",SUMPRODUCT((LEFT('Slaughterhouse IQC'!$A$6:$A$64,7)="2026-07")*('Slaughterhouse IQC'!$B$6:$B$64="Martins")*('Slaughterhouse IQC'!$F$6:$F$64="666506")*'Slaughterhouse IQC'!$I$6:$I$64))</f>
      </c>
      <c r="F38" s="6" t="n">
        <f aca="false">IF(SUMPRODUCT((LEFT('Slaughterhouse IQC'!$A$6:$A$64,7)="2026-08")*('Slaughterhouse IQC'!$B$6:$B$64="Martins")*('Slaughterhouse IQC'!$F$6:$F$64="666506")*'Slaughterhouse IQC'!$I$6:$I$64)=0,"",SUMPRODUCT((LEFT('Slaughterhouse IQC'!$A$6:$A$64,7)="2026-08")*('Slaughterhouse IQC'!$B$6:$B$64="Martins")*('Slaughterhouse IQC'!$F$6:$F$64="666506")*'Slaughterhouse IQC'!$I$6:$I$64))</f>
      </c>
      <c r="G38" s="6" t="n">
        <f aca="false">SUM(B38:F38)</f>
      </c>
    </row>
    <row r="39">
      <c r="A39" s="5" t="inlineStr">
        <is>
          <t xml:space="preserve"># Pass</t>
        </is>
      </c>
      <c r="B39" s="6" t="n">
        <f aca="false">IF(SUMPRODUCT((LEFT('Slaughterhouse IQC'!$A$6:$A$64,7)="2026-04")*('Slaughterhouse IQC'!$B$6:$B$64="Martins")*('Slaughterhouse IQC'!$F$6:$F$64="666506")*'Slaughterhouse IQC'!$I$6:$I$64)=0,"",SUMPRODUCT((LEFT('Slaughterhouse IQC'!$A$6:$A$64,7)="2026-04")*('Slaughterhouse IQC'!$B$6:$B$64="Martins")*('Slaughterhouse IQC'!$F$6:$F$64="666506")*'Slaughterhouse IQC'!$J$6:$J$64))</f>
      </c>
      <c r="C39" s="6" t="n">
        <f aca="false">IF(SUMPRODUCT((LEFT('Slaughterhouse IQC'!$A$6:$A$64,7)="2026-05")*('Slaughterhouse IQC'!$B$6:$B$64="Martins")*('Slaughterhouse IQC'!$F$6:$F$64="666506")*'Slaughterhouse IQC'!$I$6:$I$64)=0,"",SUMPRODUCT((LEFT('Slaughterhouse IQC'!$A$6:$A$64,7)="2026-05")*('Slaughterhouse IQC'!$B$6:$B$64="Martins")*('Slaughterhouse IQC'!$F$6:$F$64="666506")*'Slaughterhouse IQC'!$J$6:$J$64))</f>
      </c>
      <c r="D39" s="6" t="n">
        <f aca="false">IF(SUMPRODUCT((LEFT('Slaughterhouse IQC'!$A$6:$A$64,7)="2026-06")*('Slaughterhouse IQC'!$B$6:$B$64="Martins")*('Slaughterhouse IQC'!$F$6:$F$64="666506")*'Slaughterhouse IQC'!$I$6:$I$64)=0,"",SUMPRODUCT((LEFT('Slaughterhouse IQC'!$A$6:$A$64,7)="2026-06")*('Slaughterhouse IQC'!$B$6:$B$64="Martins")*('Slaughterhouse IQC'!$F$6:$F$64="666506")*'Slaughterhouse IQC'!$J$6:$J$64))</f>
      </c>
      <c r="E39" s="6" t="n">
        <f aca="false">IF(SUMPRODUCT((LEFT('Slaughterhouse IQC'!$A$6:$A$64,7)="2026-07")*('Slaughterhouse IQC'!$B$6:$B$64="Martins")*('Slaughterhouse IQC'!$F$6:$F$64="666506")*'Slaughterhouse IQC'!$I$6:$I$64)=0,"",SUMPRODUCT((LEFT('Slaughterhouse IQC'!$A$6:$A$64,7)="2026-07")*('Slaughterhouse IQC'!$B$6:$B$64="Martins")*('Slaughterhouse IQC'!$F$6:$F$64="666506")*'Slaughterhouse IQC'!$J$6:$J$64))</f>
      </c>
      <c r="F39" s="6" t="n">
        <f aca="false">IF(SUMPRODUCT((LEFT('Slaughterhouse IQC'!$A$6:$A$64,7)="2026-08")*('Slaughterhouse IQC'!$B$6:$B$64="Martins")*('Slaughterhouse IQC'!$F$6:$F$64="666506")*'Slaughterhouse IQC'!$I$6:$I$64)=0,"",SUMPRODUCT((LEFT('Slaughterhouse IQC'!$A$6:$A$64,7)="2026-08")*('Slaughterhouse IQC'!$B$6:$B$64="Martins")*('Slaughterhouse IQC'!$F$6:$F$64="666506")*'Slaughterhouse IQC'!$J$6:$J$64))</f>
      </c>
      <c r="G39" s="6" t="n">
        <f aca="false">SUM(B39:F39)</f>
      </c>
    </row>
    <row r="40">
      <c r="A40" s="5" t="inlineStr">
        <is>
          <t xml:space="preserve"># Fail</t>
        </is>
      </c>
      <c r="B40" s="6" t="n">
        <f aca="false">IF(SUMPRODUCT((LEFT('Slaughterhouse IQC'!$A$6:$A$64,7)="2026-04")*('Slaughterhouse IQC'!$B$6:$B$64="Martins")*('Slaughterhouse IQC'!$F$6:$F$64="666506")*'Slaughterhouse IQC'!$I$6:$I$64)=0,"",SUMPRODUCT((LEFT('Slaughterhouse IQC'!$A$6:$A$64,7)="2026-04")*('Slaughterhouse IQC'!$B$6:$B$64="Martins")*('Slaughterhouse IQC'!$F$6:$F$64="666506")*'Slaughterhouse IQC'!$K$6:$K$64))</f>
      </c>
      <c r="C40" s="6" t="n">
        <f aca="false">IF(SUMPRODUCT((LEFT('Slaughterhouse IQC'!$A$6:$A$64,7)="2026-05")*('Slaughterhouse IQC'!$B$6:$B$64="Martins")*('Slaughterhouse IQC'!$F$6:$F$64="666506")*'Slaughterhouse IQC'!$I$6:$I$64)=0,"",SUMPRODUCT((LEFT('Slaughterhouse IQC'!$A$6:$A$64,7)="2026-05")*('Slaughterhouse IQC'!$B$6:$B$64="Martins")*('Slaughterhouse IQC'!$F$6:$F$64="666506")*'Slaughterhouse IQC'!$K$6:$K$64))</f>
      </c>
      <c r="D40" s="6" t="n">
        <f aca="false">IF(SUMPRODUCT((LEFT('Slaughterhouse IQC'!$A$6:$A$64,7)="2026-06")*('Slaughterhouse IQC'!$B$6:$B$64="Martins")*('Slaughterhouse IQC'!$F$6:$F$64="666506")*'Slaughterhouse IQC'!$I$6:$I$64)=0,"",SUMPRODUCT((LEFT('Slaughterhouse IQC'!$A$6:$A$64,7)="2026-06")*('Slaughterhouse IQC'!$B$6:$B$64="Martins")*('Slaughterhouse IQC'!$F$6:$F$64="666506")*'Slaughterhouse IQC'!$K$6:$K$64))</f>
      </c>
      <c r="E40" s="6" t="n">
        <f aca="false">IF(SUMPRODUCT((LEFT('Slaughterhouse IQC'!$A$6:$A$64,7)="2026-07")*('Slaughterhouse IQC'!$B$6:$B$64="Martins")*('Slaughterhouse IQC'!$F$6:$F$64="666506")*'Slaughterhouse IQC'!$I$6:$I$64)=0,"",SUMPRODUCT((LEFT('Slaughterhouse IQC'!$A$6:$A$64,7)="2026-07")*('Slaughterhouse IQC'!$B$6:$B$64="Martins")*('Slaughterhouse IQC'!$F$6:$F$64="666506")*'Slaughterhouse IQC'!$K$6:$K$64))</f>
      </c>
      <c r="F40" s="6" t="n">
        <f aca="false">IF(SUMPRODUCT((LEFT('Slaughterhouse IQC'!$A$6:$A$64,7)="2026-08")*('Slaughterhouse IQC'!$B$6:$B$64="Martins")*('Slaughterhouse IQC'!$F$6:$F$64="666506")*'Slaughterhouse IQC'!$I$6:$I$64)=0,"",SUMPRODUCT((LEFT('Slaughterhouse IQC'!$A$6:$A$64,7)="2026-08")*('Slaughterhouse IQC'!$B$6:$B$64="Martins")*('Slaughterhouse IQC'!$F$6:$F$64="666506")*'Slaughterhouse IQC'!$K$6:$K$64))</f>
      </c>
      <c r="G40" s="6" t="n">
        <f aca="false">SUM(B40:F40)</f>
      </c>
    </row>
    <row r="41">
      <c r="A41" s="12" t="inlineStr">
        <is>
          <t xml:space="preserve">First-Pass Yield</t>
        </is>
      </c>
      <c r="B41" s="15" t="n">
        <f aca="false">IF(B38="","",IF(B38=0,"",B39/B38))</f>
      </c>
      <c r="C41" s="15" t="n">
        <f aca="false">IF(C38="","",IF(C38=0,"",C39/C38))</f>
      </c>
      <c r="D41" s="15" t="n">
        <f aca="false">IF(D38="","",IF(D38=0,"",D39/D38))</f>
      </c>
      <c r="E41" s="15" t="n">
        <f aca="false">IF(E38="","",IF(E38=0,"",E39/E38))</f>
      </c>
      <c r="F41" s="15" t="n">
        <f aca="false">IF(F38="","",IF(F38=0,"",F39/F38))</f>
      </c>
      <c r="G41" s="15" t="n">
        <f aca="false">IF(G38=0,"",G39/G38)</f>
      </c>
    </row>
    <row r="42" ht="15" customHeight="true">
      <c r="A42" s="19" t="inlineStr">
        <is>
          <t xml:space="preserve">Issues found (defect category counts)</t>
        </is>
      </c>
    </row>
    <row r="43">
      <c r="A43" s="16" t="inlineStr">
        <is>
          <t xml:space="preserve">   Urethra / bladder damage</t>
        </is>
      </c>
      <c r="C43" s="6" t="n">
        <v>4</v>
      </c>
      <c r="G43" s="6" t="n">
        <v>4</v>
      </c>
    </row>
    <row r="44">
      <c r="A44" s="16" t="inlineStr">
        <is>
          <t xml:space="preserve">   Membrane damage</t>
        </is>
      </c>
      <c r="C44" s="6" t="n">
        <v>1</v>
      </c>
      <c r="E44" s="6" t="n">
        <v>2</v>
      </c>
      <c r="G44" s="6" t="n">
        <v>3</v>
      </c>
    </row>
    <row r="45">
      <c r="A45" s="16" t="inlineStr">
        <is>
          <t xml:space="preserve">   Bowel damage / separation</t>
        </is>
      </c>
      <c r="B45" s="6" t="n">
        <v>2</v>
      </c>
      <c r="G45" s="6" t="n">
        <v>2</v>
      </c>
    </row>
    <row r="46">
      <c r="A46" s="16" t="inlineStr">
        <is>
          <t xml:space="preserve">   Short block / mesentery length</t>
        </is>
      </c>
      <c r="D46" s="6" t="n">
        <v>1</v>
      </c>
      <c r="G46" s="6" t="n">
        <v>1</v>
      </c>
    </row>
    <row r="47">
      <c r="A47" s="16" t="inlineStr">
        <is>
          <t xml:space="preserve">   Other / unspecified</t>
        </is>
      </c>
      <c r="B47" s="6" t="n">
        <v>2</v>
      </c>
      <c r="C47" s="6" t="n">
        <v>1</v>
      </c>
      <c r="G47" s="6" t="n">
        <v>3</v>
      </c>
    </row>
    <row r="48">
      <c r="A48" s="12" t="inlineStr">
        <is>
          <t xml:space="preserve">   Total issues</t>
        </is>
      </c>
      <c r="B48" s="6" t="n">
        <f aca="false">IF(SUM(B43:B47)=0,"",SUM(B43:B47))</f>
      </c>
      <c r="C48" s="6" t="n">
        <f aca="false">IF(SUM(C43:C47)=0,"",SUM(C43:C47))</f>
      </c>
      <c r="D48" s="6" t="n">
        <f aca="false">IF(SUM(D43:D47)=0,"",SUM(D43:D47))</f>
      </c>
      <c r="E48" s="6" t="n">
        <f aca="false">IF(SUM(E43:E47)=0,"",SUM(E43:E47))</f>
      </c>
      <c r="F48" s="6" t="n">
        <f aca="false">IF(SUM(F43:F47)=0,"",SUM(F43:F47))</f>
      </c>
      <c r="G48" s="6" t="n">
        <f aca="false">SUM(G43:G47)</f>
      </c>
    </row>
    <row r="49"/>
    <row r="50" ht="18" customHeight="true">
      <c r="A50" s="3" t="inlineStr">
        <is>
          <t xml:space="preserve">PELVIC @ PARKS — 666518 (intact, SM)</t>
        </is>
      </c>
    </row>
    <row r="51">
      <c r="A51" s="11" t="inlineStr">
        <is>
          <t xml:space="preserve">Metric</t>
        </is>
      </c>
      <c r="B51" s="11" t="inlineStr">
        <is>
          <t xml:space="preserve">April</t>
        </is>
      </c>
      <c r="C51" s="11" t="inlineStr">
        <is>
          <t xml:space="preserve">May</t>
        </is>
      </c>
      <c r="D51" s="11" t="inlineStr">
        <is>
          <t xml:space="preserve">June</t>
        </is>
      </c>
      <c r="E51" s="11" t="inlineStr">
        <is>
          <t xml:space="preserve">July</t>
        </is>
      </c>
      <c r="F51" s="11" t="inlineStr">
        <is>
          <t xml:space="preserve">August</t>
        </is>
      </c>
      <c r="G51" s="11" t="inlineStr">
        <is>
          <t xml:space="preserve">Total</t>
        </is>
      </c>
    </row>
    <row r="52">
      <c r="A52" s="5" t="inlineStr">
        <is>
          <t xml:space="preserve"># Inspected</t>
        </is>
      </c>
      <c r="B52"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IQC'!$I$6:$I$64))</f>
      </c>
      <c r="C52"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IQC'!$I$6:$I$64))</f>
      </c>
      <c r="D52"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IQC'!$I$6:$I$64))</f>
      </c>
      <c r="E52"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IQC'!$I$6:$I$64))</f>
      </c>
      <c r="F52"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IQC'!$I$6:$I$64))</f>
      </c>
      <c r="G52" s="6" t="n">
        <f aca="false">SUM(B52:F52)</f>
      </c>
    </row>
    <row r="53">
      <c r="A53" s="5" t="inlineStr">
        <is>
          <t xml:space="preserve"># Pass</t>
        </is>
      </c>
      <c r="B53"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IQC'!$J$6:$J$64))</f>
      </c>
      <c r="C53"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IQC'!$J$6:$J$64))</f>
      </c>
      <c r="D53"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IQC'!$J$6:$J$64))</f>
      </c>
      <c r="E53"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IQC'!$J$6:$J$64))</f>
      </c>
      <c r="F53"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IQC'!$J$6:$J$64))</f>
      </c>
      <c r="G53" s="6" t="n">
        <f aca="false">SUM(B53:F53)</f>
      </c>
    </row>
    <row r="54">
      <c r="A54" s="5" t="inlineStr">
        <is>
          <t xml:space="preserve"># Fail</t>
        </is>
      </c>
      <c r="B54"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IQC'!$K$6:$K$64))</f>
      </c>
      <c r="C54"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IQC'!$K$6:$K$64))</f>
      </c>
      <c r="D54"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IQC'!$K$6:$K$64))</f>
      </c>
      <c r="E54"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IQC'!$K$6:$K$64))</f>
      </c>
      <c r="F54"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IQC'!$K$6:$K$64))</f>
      </c>
      <c r="G54" s="6" t="n">
        <f aca="false">SUM(B54:F54)</f>
      </c>
    </row>
    <row r="55">
      <c r="A55" s="12" t="inlineStr">
        <is>
          <t xml:space="preserve">First-Pass Yield</t>
        </is>
      </c>
      <c r="B55" s="15" t="n">
        <f aca="false">IF(B52="","",IF(B52=0,"",B53/B52))</f>
      </c>
      <c r="C55" s="15" t="n">
        <f aca="false">IF(C52="","",IF(C52=0,"",C53/C52))</f>
      </c>
      <c r="D55" s="15" t="n">
        <f aca="false">IF(D52="","",IF(D52=0,"",D53/D52))</f>
      </c>
      <c r="E55" s="15" t="n">
        <f aca="false">IF(E52="","",IF(E52=0,"",E53/E52))</f>
      </c>
      <c r="F55" s="15" t="n">
        <f aca="false">IF(F52="","",IF(F52=0,"",F53/F52))</f>
      </c>
      <c r="G55" s="15" t="n">
        <f aca="false">IF(G52=0,"",G53/G52)</f>
      </c>
    </row>
    <row r="56" ht="15" customHeight="true">
      <c r="A56" s="19" t="inlineStr">
        <is>
          <t xml:space="preserve">Issues found (defect category counts)</t>
        </is>
      </c>
    </row>
    <row r="57">
      <c r="A57" s="16" t="inlineStr">
        <is>
          <t xml:space="preserve">   Urethra / bladder damage</t>
        </is>
      </c>
      <c r="C57" s="6" t="n">
        <v>1</v>
      </c>
      <c r="D57" s="6" t="n">
        <v>10</v>
      </c>
      <c r="G57" s="6" t="n">
        <v>11</v>
      </c>
    </row>
    <row r="58">
      <c r="A58" s="16" t="inlineStr">
        <is>
          <t xml:space="preserve">   Bowel damage / separation</t>
        </is>
      </c>
      <c r="D58" s="6" t="n">
        <v>2</v>
      </c>
      <c r="E58" s="6" t="n">
        <v>3</v>
      </c>
      <c r="G58" s="6" t="n">
        <v>5</v>
      </c>
    </row>
    <row r="59">
      <c r="A59" s="16" t="inlineStr">
        <is>
          <t xml:space="preserve">   Short block / mesentery length</t>
        </is>
      </c>
      <c r="C59" s="6" t="n">
        <v>4</v>
      </c>
      <c r="D59" s="6" t="n">
        <v>5</v>
      </c>
      <c r="E59" s="6" t="n">
        <v>6</v>
      </c>
      <c r="G59" s="6" t="n">
        <v>15</v>
      </c>
    </row>
    <row r="60">
      <c r="A60" s="16" t="inlineStr">
        <is>
          <t xml:space="preserve">   Critical-area laceration</t>
        </is>
      </c>
      <c r="D60" s="6" t="n">
        <v>3</v>
      </c>
      <c r="E60" s="6" t="n">
        <v>3</v>
      </c>
      <c r="G60" s="6" t="n">
        <v>6</v>
      </c>
    </row>
    <row r="61">
      <c r="A61" s="16" t="inlineStr">
        <is>
          <t xml:space="preserve">   Ureter damage</t>
        </is>
      </c>
      <c r="D61" s="6" t="n">
        <v>2</v>
      </c>
      <c r="E61" s="6" t="n">
        <v>1</v>
      </c>
      <c r="G61" s="6" t="n">
        <v>3</v>
      </c>
    </row>
    <row r="62">
      <c r="A62" s="12" t="inlineStr">
        <is>
          <t xml:space="preserve">   Total issues</t>
        </is>
      </c>
      <c r="B62" s="6" t="n">
        <f aca="false">IF(SUM(B57:B61)=0,"",SUM(B57:B61))</f>
      </c>
      <c r="C62" s="6" t="n">
        <f aca="false">IF(SUM(C57:C61)=0,"",SUM(C57:C61))</f>
      </c>
      <c r="D62" s="6" t="n">
        <f aca="false">IF(SUM(D57:D61)=0,"",SUM(D57:D61))</f>
      </c>
      <c r="E62" s="6" t="n">
        <f aca="false">IF(SUM(E57:E61)=0,"",SUM(E57:E61))</f>
      </c>
      <c r="F62" s="6" t="n">
        <f aca="false">IF(SUM(F57:F61)=0,"",SUM(F57:F61))</f>
      </c>
      <c r="G62" s="6" t="n">
        <f aca="false">SUM(G57:G61)</f>
      </c>
    </row>
    <row r="63"/>
    <row r="64" ht="18" customHeight="true">
      <c r="A64" s="3" t="inlineStr">
        <is>
          <t xml:space="preserve">PELVIC @ PARKS — 666541 (intact — spec transition, from 08/10)</t>
        </is>
      </c>
    </row>
    <row r="65">
      <c r="A65" s="11" t="inlineStr">
        <is>
          <t xml:space="preserve">Metric</t>
        </is>
      </c>
      <c r="B65" s="11" t="inlineStr">
        <is>
          <t xml:space="preserve">April</t>
        </is>
      </c>
      <c r="C65" s="11" t="inlineStr">
        <is>
          <t xml:space="preserve">May</t>
        </is>
      </c>
      <c r="D65" s="11" t="inlineStr">
        <is>
          <t xml:space="preserve">June</t>
        </is>
      </c>
      <c r="E65" s="11" t="inlineStr">
        <is>
          <t xml:space="preserve">July</t>
        </is>
      </c>
      <c r="F65" s="11" t="inlineStr">
        <is>
          <t xml:space="preserve">August</t>
        </is>
      </c>
      <c r="G65" s="11" t="inlineStr">
        <is>
          <t xml:space="preserve">Total</t>
        </is>
      </c>
    </row>
    <row r="66">
      <c r="A66" s="5" t="inlineStr">
        <is>
          <t xml:space="preserve"># Inspected</t>
        </is>
      </c>
      <c r="B66"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IQC'!$I$6:$I$64))</f>
      </c>
      <c r="C66"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IQC'!$I$6:$I$64))</f>
      </c>
      <c r="D66"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IQC'!$I$6:$I$64))</f>
      </c>
      <c r="E66"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IQC'!$I$6:$I$64))</f>
      </c>
      <c r="F66"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IQC'!$I$6:$I$64))</f>
      </c>
      <c r="G66" s="6" t="n">
        <f aca="false">SUM(B66:F66)</f>
      </c>
    </row>
    <row r="67">
      <c r="A67" s="5" t="inlineStr">
        <is>
          <t xml:space="preserve"># Pass</t>
        </is>
      </c>
      <c r="B67"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IQC'!$J$6:$J$64))</f>
      </c>
      <c r="C67"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IQC'!$J$6:$J$64))</f>
      </c>
      <c r="D67"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IQC'!$J$6:$J$64))</f>
      </c>
      <c r="E67"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IQC'!$J$6:$J$64))</f>
      </c>
      <c r="F67"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IQC'!$J$6:$J$64))</f>
      </c>
      <c r="G67" s="6" t="n">
        <f aca="false">SUM(B67:F67)</f>
      </c>
    </row>
    <row r="68">
      <c r="A68" s="5" t="inlineStr">
        <is>
          <t xml:space="preserve"># Fail</t>
        </is>
      </c>
      <c r="B68"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IQC'!$K$6:$K$64))</f>
      </c>
      <c r="C68"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IQC'!$K$6:$K$64))</f>
      </c>
      <c r="D68"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IQC'!$K$6:$K$64))</f>
      </c>
      <c r="E68"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IQC'!$K$6:$K$64))</f>
      </c>
      <c r="F68"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IQC'!$K$6:$K$64))</f>
      </c>
      <c r="G68" s="6" t="n">
        <f aca="false">SUM(B68:F68)</f>
      </c>
    </row>
    <row r="69">
      <c r="A69" s="12" t="inlineStr">
        <is>
          <t xml:space="preserve">First-Pass Yield</t>
        </is>
      </c>
      <c r="B69" s="15" t="n">
        <f aca="false">IF(B66="","",IF(B66=0,"",B67/B66))</f>
      </c>
      <c r="C69" s="15" t="n">
        <f aca="false">IF(C66="","",IF(C66=0,"",C67/C66))</f>
      </c>
      <c r="D69" s="15" t="n">
        <f aca="false">IF(D66="","",IF(D66=0,"",D67/D66))</f>
      </c>
      <c r="E69" s="15" t="n">
        <f aca="false">IF(E66="","",IF(E66=0,"",E67/E66))</f>
      </c>
      <c r="F69" s="15" t="n">
        <f aca="false">IF(F66="","",IF(F66=0,"",F67/F66))</f>
      </c>
      <c r="G69" s="15" t="n">
        <f aca="false">IF(G66=0,"",G67/G66)</f>
      </c>
    </row>
    <row r="70" ht="15" customHeight="true">
      <c r="A70" s="19" t="inlineStr">
        <is>
          <t xml:space="preserve">Issues found (defect category counts)</t>
        </is>
      </c>
    </row>
    <row r="71">
      <c r="A71" s="16" t="inlineStr">
        <is>
          <t xml:space="preserve">   Bowel damage / separation</t>
        </is>
      </c>
      <c r="F71" s="6" t="n">
        <v>1</v>
      </c>
      <c r="G71" s="6" t="n">
        <v>1</v>
      </c>
    </row>
    <row r="72">
      <c r="A72" s="12" t="inlineStr">
        <is>
          <t xml:space="preserve">   Total issues</t>
        </is>
      </c>
      <c r="B72" s="6" t="n">
        <f aca="false">IF(SUM(B71:B71)=0,"",SUM(B71:B71))</f>
      </c>
      <c r="C72" s="6" t="n">
        <f aca="false">IF(SUM(C71:C71)=0,"",SUM(C71:C71))</f>
      </c>
      <c r="D72" s="6" t="n">
        <f aca="false">IF(SUM(D71:D71)=0,"",SUM(D71:D71))</f>
      </c>
      <c r="E72" s="6" t="n">
        <f aca="false">IF(SUM(E71:E71)=0,"",SUM(E71:E71))</f>
      </c>
      <c r="F72" s="6" t="n">
        <f aca="false">IF(SUM(F71:F71)=0,"",SUM(F71:F71))</f>
      </c>
      <c r="G72" s="6" t="n">
        <f aca="false">SUM(G71:G71)</f>
      </c>
    </row>
    <row r="73"/>
    <row r="74" ht="18" customHeight="true">
      <c r="A74" s="3" t="inlineStr">
        <is>
          <t xml:space="preserve">PELVIC @ NAHUNTA — 666541 (intact — side line)</t>
        </is>
      </c>
    </row>
    <row r="75">
      <c r="A75" s="11" t="inlineStr">
        <is>
          <t xml:space="preserve">Metric</t>
        </is>
      </c>
      <c r="B75" s="11" t="inlineStr">
        <is>
          <t xml:space="preserve">April</t>
        </is>
      </c>
      <c r="C75" s="11" t="inlineStr">
        <is>
          <t xml:space="preserve">May</t>
        </is>
      </c>
      <c r="D75" s="11" t="inlineStr">
        <is>
          <t xml:space="preserve">June</t>
        </is>
      </c>
      <c r="E75" s="11" t="inlineStr">
        <is>
          <t xml:space="preserve">July</t>
        </is>
      </c>
      <c r="F75" s="11" t="inlineStr">
        <is>
          <t xml:space="preserve">August</t>
        </is>
      </c>
      <c r="G75" s="11" t="inlineStr">
        <is>
          <t xml:space="preserve">Total</t>
        </is>
      </c>
    </row>
    <row r="76">
      <c r="A76" s="5" t="inlineStr">
        <is>
          <t xml:space="preserve"># Inspected</t>
        </is>
      </c>
      <c r="B76" s="6" t="n">
        <f aca="false">IF(SUMPRODUCT((LEFT('Slaughterhouse IQC'!$A$6:$A$64,7)="2026-04")*('Slaughterhouse IQC'!$B$6:$B$64="Nahunta")*('Slaughterhouse IQC'!$F$6:$F$64="666541")*'Slaughterhouse IQC'!$I$6:$I$64)=0,"",SUMPRODUCT((LEFT('Slaughterhouse IQC'!$A$6:$A$64,7)="2026-04")*('Slaughterhouse IQC'!$B$6:$B$64="Nahunta")*('Slaughterhouse IQC'!$F$6:$F$64="666541")*'Slaughterhouse IQC'!$I$6:$I$64))</f>
      </c>
      <c r="C76" s="6" t="n">
        <f aca="false">IF(SUMPRODUCT((LEFT('Slaughterhouse IQC'!$A$6:$A$64,7)="2026-05")*('Slaughterhouse IQC'!$B$6:$B$64="Nahunta")*('Slaughterhouse IQC'!$F$6:$F$64="666541")*'Slaughterhouse IQC'!$I$6:$I$64)=0,"",SUMPRODUCT((LEFT('Slaughterhouse IQC'!$A$6:$A$64,7)="2026-05")*('Slaughterhouse IQC'!$B$6:$B$64="Nahunta")*('Slaughterhouse IQC'!$F$6:$F$64="666541")*'Slaughterhouse IQC'!$I$6:$I$64))</f>
      </c>
      <c r="D76" s="6" t="n">
        <f aca="false">IF(SUMPRODUCT((LEFT('Slaughterhouse IQC'!$A$6:$A$64,7)="2026-06")*('Slaughterhouse IQC'!$B$6:$B$64="Nahunta")*('Slaughterhouse IQC'!$F$6:$F$64="666541")*'Slaughterhouse IQC'!$I$6:$I$64)=0,"",SUMPRODUCT((LEFT('Slaughterhouse IQC'!$A$6:$A$64,7)="2026-06")*('Slaughterhouse IQC'!$B$6:$B$64="Nahunta")*('Slaughterhouse IQC'!$F$6:$F$64="666541")*'Slaughterhouse IQC'!$I$6:$I$64))</f>
      </c>
      <c r="E76" s="6" t="n">
        <f aca="false">IF(SUMPRODUCT((LEFT('Slaughterhouse IQC'!$A$6:$A$64,7)="2026-07")*('Slaughterhouse IQC'!$B$6:$B$64="Nahunta")*('Slaughterhouse IQC'!$F$6:$F$64="666541")*'Slaughterhouse IQC'!$I$6:$I$64)=0,"",SUMPRODUCT((LEFT('Slaughterhouse IQC'!$A$6:$A$64,7)="2026-07")*('Slaughterhouse IQC'!$B$6:$B$64="Nahunta")*('Slaughterhouse IQC'!$F$6:$F$64="666541")*'Slaughterhouse IQC'!$I$6:$I$64))</f>
      </c>
      <c r="F76" s="6" t="n">
        <f aca="false">IF(SUMPRODUCT((LEFT('Slaughterhouse IQC'!$A$6:$A$64,7)="2026-08")*('Slaughterhouse IQC'!$B$6:$B$64="Nahunta")*('Slaughterhouse IQC'!$F$6:$F$64="666541")*'Slaughterhouse IQC'!$I$6:$I$64)=0,"",SUMPRODUCT((LEFT('Slaughterhouse IQC'!$A$6:$A$64,7)="2026-08")*('Slaughterhouse IQC'!$B$6:$B$64="Nahunta")*('Slaughterhouse IQC'!$F$6:$F$64="666541")*'Slaughterhouse IQC'!$I$6:$I$64))</f>
      </c>
      <c r="G76" s="6" t="n">
        <f aca="false">SUM(B76:F76)</f>
      </c>
    </row>
    <row r="77">
      <c r="A77" s="5" t="inlineStr">
        <is>
          <t xml:space="preserve"># Pass</t>
        </is>
      </c>
      <c r="B77" s="6" t="n">
        <f aca="false">IF(SUMPRODUCT((LEFT('Slaughterhouse IQC'!$A$6:$A$64,7)="2026-04")*('Slaughterhouse IQC'!$B$6:$B$64="Nahunta")*('Slaughterhouse IQC'!$F$6:$F$64="666541")*'Slaughterhouse IQC'!$I$6:$I$64)=0,"",SUMPRODUCT((LEFT('Slaughterhouse IQC'!$A$6:$A$64,7)="2026-04")*('Slaughterhouse IQC'!$B$6:$B$64="Nahunta")*('Slaughterhouse IQC'!$F$6:$F$64="666541")*'Slaughterhouse IQC'!$J$6:$J$64))</f>
      </c>
      <c r="C77" s="6" t="n">
        <f aca="false">IF(SUMPRODUCT((LEFT('Slaughterhouse IQC'!$A$6:$A$64,7)="2026-05")*('Slaughterhouse IQC'!$B$6:$B$64="Nahunta")*('Slaughterhouse IQC'!$F$6:$F$64="666541")*'Slaughterhouse IQC'!$I$6:$I$64)=0,"",SUMPRODUCT((LEFT('Slaughterhouse IQC'!$A$6:$A$64,7)="2026-05")*('Slaughterhouse IQC'!$B$6:$B$64="Nahunta")*('Slaughterhouse IQC'!$F$6:$F$64="666541")*'Slaughterhouse IQC'!$J$6:$J$64))</f>
      </c>
      <c r="D77" s="6" t="n">
        <f aca="false">IF(SUMPRODUCT((LEFT('Slaughterhouse IQC'!$A$6:$A$64,7)="2026-06")*('Slaughterhouse IQC'!$B$6:$B$64="Nahunta")*('Slaughterhouse IQC'!$F$6:$F$64="666541")*'Slaughterhouse IQC'!$I$6:$I$64)=0,"",SUMPRODUCT((LEFT('Slaughterhouse IQC'!$A$6:$A$64,7)="2026-06")*('Slaughterhouse IQC'!$B$6:$B$64="Nahunta")*('Slaughterhouse IQC'!$F$6:$F$64="666541")*'Slaughterhouse IQC'!$J$6:$J$64))</f>
      </c>
      <c r="E77" s="6" t="n">
        <f aca="false">IF(SUMPRODUCT((LEFT('Slaughterhouse IQC'!$A$6:$A$64,7)="2026-07")*('Slaughterhouse IQC'!$B$6:$B$64="Nahunta")*('Slaughterhouse IQC'!$F$6:$F$64="666541")*'Slaughterhouse IQC'!$I$6:$I$64)=0,"",SUMPRODUCT((LEFT('Slaughterhouse IQC'!$A$6:$A$64,7)="2026-07")*('Slaughterhouse IQC'!$B$6:$B$64="Nahunta")*('Slaughterhouse IQC'!$F$6:$F$64="666541")*'Slaughterhouse IQC'!$J$6:$J$64))</f>
      </c>
      <c r="F77" s="6" t="n">
        <f aca="false">IF(SUMPRODUCT((LEFT('Slaughterhouse IQC'!$A$6:$A$64,7)="2026-08")*('Slaughterhouse IQC'!$B$6:$B$64="Nahunta")*('Slaughterhouse IQC'!$F$6:$F$64="666541")*'Slaughterhouse IQC'!$I$6:$I$64)=0,"",SUMPRODUCT((LEFT('Slaughterhouse IQC'!$A$6:$A$64,7)="2026-08")*('Slaughterhouse IQC'!$B$6:$B$64="Nahunta")*('Slaughterhouse IQC'!$F$6:$F$64="666541")*'Slaughterhouse IQC'!$J$6:$J$64))</f>
      </c>
      <c r="G77" s="6" t="n">
        <f aca="false">SUM(B77:F77)</f>
      </c>
    </row>
    <row r="78">
      <c r="A78" s="5" t="inlineStr">
        <is>
          <t xml:space="preserve"># Fail</t>
        </is>
      </c>
      <c r="B78" s="6" t="n">
        <f aca="false">IF(SUMPRODUCT((LEFT('Slaughterhouse IQC'!$A$6:$A$64,7)="2026-04")*('Slaughterhouse IQC'!$B$6:$B$64="Nahunta")*('Slaughterhouse IQC'!$F$6:$F$64="666541")*'Slaughterhouse IQC'!$I$6:$I$64)=0,"",SUMPRODUCT((LEFT('Slaughterhouse IQC'!$A$6:$A$64,7)="2026-04")*('Slaughterhouse IQC'!$B$6:$B$64="Nahunta")*('Slaughterhouse IQC'!$F$6:$F$64="666541")*'Slaughterhouse IQC'!$K$6:$K$64))</f>
      </c>
      <c r="C78" s="6" t="n">
        <f aca="false">IF(SUMPRODUCT((LEFT('Slaughterhouse IQC'!$A$6:$A$64,7)="2026-05")*('Slaughterhouse IQC'!$B$6:$B$64="Nahunta")*('Slaughterhouse IQC'!$F$6:$F$64="666541")*'Slaughterhouse IQC'!$I$6:$I$64)=0,"",SUMPRODUCT((LEFT('Slaughterhouse IQC'!$A$6:$A$64,7)="2026-05")*('Slaughterhouse IQC'!$B$6:$B$64="Nahunta")*('Slaughterhouse IQC'!$F$6:$F$64="666541")*'Slaughterhouse IQC'!$K$6:$K$64))</f>
      </c>
      <c r="D78" s="6" t="n">
        <f aca="false">IF(SUMPRODUCT((LEFT('Slaughterhouse IQC'!$A$6:$A$64,7)="2026-06")*('Slaughterhouse IQC'!$B$6:$B$64="Nahunta")*('Slaughterhouse IQC'!$F$6:$F$64="666541")*'Slaughterhouse IQC'!$I$6:$I$64)=0,"",SUMPRODUCT((LEFT('Slaughterhouse IQC'!$A$6:$A$64,7)="2026-06")*('Slaughterhouse IQC'!$B$6:$B$64="Nahunta")*('Slaughterhouse IQC'!$F$6:$F$64="666541")*'Slaughterhouse IQC'!$K$6:$K$64))</f>
      </c>
      <c r="E78" s="6" t="n">
        <f aca="false">IF(SUMPRODUCT((LEFT('Slaughterhouse IQC'!$A$6:$A$64,7)="2026-07")*('Slaughterhouse IQC'!$B$6:$B$64="Nahunta")*('Slaughterhouse IQC'!$F$6:$F$64="666541")*'Slaughterhouse IQC'!$I$6:$I$64)=0,"",SUMPRODUCT((LEFT('Slaughterhouse IQC'!$A$6:$A$64,7)="2026-07")*('Slaughterhouse IQC'!$B$6:$B$64="Nahunta")*('Slaughterhouse IQC'!$F$6:$F$64="666541")*'Slaughterhouse IQC'!$K$6:$K$64))</f>
      </c>
      <c r="F78" s="6" t="n">
        <f aca="false">IF(SUMPRODUCT((LEFT('Slaughterhouse IQC'!$A$6:$A$64,7)="2026-08")*('Slaughterhouse IQC'!$B$6:$B$64="Nahunta")*('Slaughterhouse IQC'!$F$6:$F$64="666541")*'Slaughterhouse IQC'!$I$6:$I$64)=0,"",SUMPRODUCT((LEFT('Slaughterhouse IQC'!$A$6:$A$64,7)="2026-08")*('Slaughterhouse IQC'!$B$6:$B$64="Nahunta")*('Slaughterhouse IQC'!$F$6:$F$64="666541")*'Slaughterhouse IQC'!$K$6:$K$64))</f>
      </c>
      <c r="G78" s="6" t="n">
        <f aca="false">SUM(B78:F78)</f>
      </c>
    </row>
    <row r="79">
      <c r="A79" s="12" t="inlineStr">
        <is>
          <t xml:space="preserve">First-Pass Yield</t>
        </is>
      </c>
      <c r="B79" s="15" t="n">
        <f aca="false">IF(B76="","",IF(B76=0,"",B77/B76))</f>
      </c>
      <c r="C79" s="15" t="n">
        <f aca="false">IF(C76="","",IF(C76=0,"",C77/C76))</f>
      </c>
      <c r="D79" s="15" t="n">
        <f aca="false">IF(D76="","",IF(D76=0,"",D77/D76))</f>
      </c>
      <c r="E79" s="15" t="n">
        <f aca="false">IF(E76="","",IF(E76=0,"",E77/E76))</f>
      </c>
      <c r="F79" s="15" t="n">
        <f aca="false">IF(F76="","",IF(F76=0,"",F77/F76))</f>
      </c>
      <c r="G79" s="15" t="n">
        <f aca="false">IF(G76=0,"",G77/G76)</f>
      </c>
    </row>
    <row r="80" ht="15" customHeight="true">
      <c r="A80" s="19" t="inlineStr">
        <is>
          <t xml:space="preserve">Issues found (defect category counts)</t>
        </is>
      </c>
    </row>
    <row r="81">
      <c r="A81" s="16" t="inlineStr">
        <is>
          <t xml:space="preserve">   Other / unspecified</t>
        </is>
      </c>
      <c r="F81" s="6" t="n">
        <v>12</v>
      </c>
      <c r="G81" s="6" t="n">
        <v>12</v>
      </c>
    </row>
    <row r="82">
      <c r="A82" s="12" t="inlineStr">
        <is>
          <t xml:space="preserve">   Total issues</t>
        </is>
      </c>
      <c r="B82" s="6" t="n">
        <f aca="false">IF(SUM(B81:B81)=0,"",SUM(B81:B81))</f>
      </c>
      <c r="C82" s="6" t="n">
        <f aca="false">IF(SUM(C81:C81)=0,"",SUM(C81:C81))</f>
      </c>
      <c r="D82" s="6" t="n">
        <f aca="false">IF(SUM(D81:D81)=0,"",SUM(D81:D81))</f>
      </c>
      <c r="E82" s="6" t="n">
        <f aca="false">IF(SUM(E81:E81)=0,"",SUM(E81:E81))</f>
      </c>
      <c r="F82" s="6" t="n">
        <f aca="false">IF(SUM(F81:F81)=0,"",SUM(F81:F81))</f>
      </c>
      <c r="G82" s="6" t="n">
        <f aca="false">SUM(G81:G81)</f>
      </c>
    </row>
    <row r="83"/>
    <row r="84" ht="18" customHeight="true">
      <c r="A84" s="3" t="inlineStr">
        <is>
          <t xml:space="preserve">THORACIC @ NAHUNTA — 666521 (lung / heart)</t>
        </is>
      </c>
    </row>
    <row r="85">
      <c r="A85" s="11" t="inlineStr">
        <is>
          <t xml:space="preserve">Metric</t>
        </is>
      </c>
      <c r="B85" s="11" t="inlineStr">
        <is>
          <t xml:space="preserve">April</t>
        </is>
      </c>
      <c r="C85" s="11" t="inlineStr">
        <is>
          <t xml:space="preserve">May</t>
        </is>
      </c>
      <c r="D85" s="11" t="inlineStr">
        <is>
          <t xml:space="preserve">June</t>
        </is>
      </c>
      <c r="E85" s="11" t="inlineStr">
        <is>
          <t xml:space="preserve">July</t>
        </is>
      </c>
      <c r="F85" s="11" t="inlineStr">
        <is>
          <t xml:space="preserve">August</t>
        </is>
      </c>
      <c r="G85" s="11" t="inlineStr">
        <is>
          <t xml:space="preserve">Total</t>
        </is>
      </c>
    </row>
    <row r="86">
      <c r="A86" s="5" t="inlineStr">
        <is>
          <t xml:space="preserve"># Inspected</t>
        </is>
      </c>
      <c r="B86" s="6" t="n">
        <f aca="false">IF(SUMPRODUCT((LEFT('Slaughterhouse IQC'!$A$6:$A$64,7)="2026-04")*('Slaughterhouse IQC'!$B$6:$B$64="Nahunta")*('Slaughterhouse IQC'!$F$6:$F$64="666521")*'Slaughterhouse IQC'!$I$6:$I$64)=0,"",SUMPRODUCT((LEFT('Slaughterhouse IQC'!$A$6:$A$64,7)="2026-04")*('Slaughterhouse IQC'!$B$6:$B$64="Nahunta")*('Slaughterhouse IQC'!$F$6:$F$64="666521")*'Slaughterhouse IQC'!$I$6:$I$64))</f>
      </c>
      <c r="C86" s="6" t="n">
        <f aca="false">IF(SUMPRODUCT((LEFT('Slaughterhouse IQC'!$A$6:$A$64,7)="2026-05")*('Slaughterhouse IQC'!$B$6:$B$64="Nahunta")*('Slaughterhouse IQC'!$F$6:$F$64="666521")*'Slaughterhouse IQC'!$I$6:$I$64)=0,"",SUMPRODUCT((LEFT('Slaughterhouse IQC'!$A$6:$A$64,7)="2026-05")*('Slaughterhouse IQC'!$B$6:$B$64="Nahunta")*('Slaughterhouse IQC'!$F$6:$F$64="666521")*'Slaughterhouse IQC'!$I$6:$I$64))</f>
      </c>
      <c r="D86" s="6" t="n">
        <f aca="false">IF(SUMPRODUCT((LEFT('Slaughterhouse IQC'!$A$6:$A$64,7)="2026-06")*('Slaughterhouse IQC'!$B$6:$B$64="Nahunta")*('Slaughterhouse IQC'!$F$6:$F$64="666521")*'Slaughterhouse IQC'!$I$6:$I$64)=0,"",SUMPRODUCT((LEFT('Slaughterhouse IQC'!$A$6:$A$64,7)="2026-06")*('Slaughterhouse IQC'!$B$6:$B$64="Nahunta")*('Slaughterhouse IQC'!$F$6:$F$64="666521")*'Slaughterhouse IQC'!$I$6:$I$64))</f>
      </c>
      <c r="E86" s="6" t="n">
        <f aca="false">IF(SUMPRODUCT((LEFT('Slaughterhouse IQC'!$A$6:$A$64,7)="2026-07")*('Slaughterhouse IQC'!$B$6:$B$64="Nahunta")*('Slaughterhouse IQC'!$F$6:$F$64="666521")*'Slaughterhouse IQC'!$I$6:$I$64)=0,"",SUMPRODUCT((LEFT('Slaughterhouse IQC'!$A$6:$A$64,7)="2026-07")*('Slaughterhouse IQC'!$B$6:$B$64="Nahunta")*('Slaughterhouse IQC'!$F$6:$F$64="666521")*'Slaughterhouse IQC'!$I$6:$I$64))</f>
      </c>
      <c r="F86" s="6" t="n">
        <f aca="false">IF(SUMPRODUCT((LEFT('Slaughterhouse IQC'!$A$6:$A$64,7)="2026-08")*('Slaughterhouse IQC'!$B$6:$B$64="Nahunta")*('Slaughterhouse IQC'!$F$6:$F$64="666521")*'Slaughterhouse IQC'!$I$6:$I$64)=0,"",SUMPRODUCT((LEFT('Slaughterhouse IQC'!$A$6:$A$64,7)="2026-08")*('Slaughterhouse IQC'!$B$6:$B$64="Nahunta")*('Slaughterhouse IQC'!$F$6:$F$64="666521")*'Slaughterhouse IQC'!$I$6:$I$64))</f>
      </c>
      <c r="G86" s="6" t="n">
        <f aca="false">SUM(B86:F86)</f>
      </c>
    </row>
    <row r="87">
      <c r="A87" s="5" t="inlineStr">
        <is>
          <t xml:space="preserve"># Pass</t>
        </is>
      </c>
      <c r="B87" s="6" t="n">
        <f aca="false">IF(SUMPRODUCT((LEFT('Slaughterhouse IQC'!$A$6:$A$64,7)="2026-04")*('Slaughterhouse IQC'!$B$6:$B$64="Nahunta")*('Slaughterhouse IQC'!$F$6:$F$64="666521")*'Slaughterhouse IQC'!$I$6:$I$64)=0,"",SUMPRODUCT((LEFT('Slaughterhouse IQC'!$A$6:$A$64,7)="2026-04")*('Slaughterhouse IQC'!$B$6:$B$64="Nahunta")*('Slaughterhouse IQC'!$F$6:$F$64="666521")*'Slaughterhouse IQC'!$J$6:$J$64))</f>
      </c>
      <c r="C87" s="6" t="n">
        <f aca="false">IF(SUMPRODUCT((LEFT('Slaughterhouse IQC'!$A$6:$A$64,7)="2026-05")*('Slaughterhouse IQC'!$B$6:$B$64="Nahunta")*('Slaughterhouse IQC'!$F$6:$F$64="666521")*'Slaughterhouse IQC'!$I$6:$I$64)=0,"",SUMPRODUCT((LEFT('Slaughterhouse IQC'!$A$6:$A$64,7)="2026-05")*('Slaughterhouse IQC'!$B$6:$B$64="Nahunta")*('Slaughterhouse IQC'!$F$6:$F$64="666521")*'Slaughterhouse IQC'!$J$6:$J$64))</f>
      </c>
      <c r="D87" s="6" t="n">
        <f aca="false">IF(SUMPRODUCT((LEFT('Slaughterhouse IQC'!$A$6:$A$64,7)="2026-06")*('Slaughterhouse IQC'!$B$6:$B$64="Nahunta")*('Slaughterhouse IQC'!$F$6:$F$64="666521")*'Slaughterhouse IQC'!$I$6:$I$64)=0,"",SUMPRODUCT((LEFT('Slaughterhouse IQC'!$A$6:$A$64,7)="2026-06")*('Slaughterhouse IQC'!$B$6:$B$64="Nahunta")*('Slaughterhouse IQC'!$F$6:$F$64="666521")*'Slaughterhouse IQC'!$J$6:$J$64))</f>
      </c>
      <c r="E87" s="6" t="n">
        <f aca="false">IF(SUMPRODUCT((LEFT('Slaughterhouse IQC'!$A$6:$A$64,7)="2026-07")*('Slaughterhouse IQC'!$B$6:$B$64="Nahunta")*('Slaughterhouse IQC'!$F$6:$F$64="666521")*'Slaughterhouse IQC'!$I$6:$I$64)=0,"",SUMPRODUCT((LEFT('Slaughterhouse IQC'!$A$6:$A$64,7)="2026-07")*('Slaughterhouse IQC'!$B$6:$B$64="Nahunta")*('Slaughterhouse IQC'!$F$6:$F$64="666521")*'Slaughterhouse IQC'!$J$6:$J$64))</f>
      </c>
      <c r="F87" s="6" t="n">
        <f aca="false">IF(SUMPRODUCT((LEFT('Slaughterhouse IQC'!$A$6:$A$64,7)="2026-08")*('Slaughterhouse IQC'!$B$6:$B$64="Nahunta")*('Slaughterhouse IQC'!$F$6:$F$64="666521")*'Slaughterhouse IQC'!$I$6:$I$64)=0,"",SUMPRODUCT((LEFT('Slaughterhouse IQC'!$A$6:$A$64,7)="2026-08")*('Slaughterhouse IQC'!$B$6:$B$64="Nahunta")*('Slaughterhouse IQC'!$F$6:$F$64="666521")*'Slaughterhouse IQC'!$J$6:$J$64))</f>
      </c>
      <c r="G87" s="6" t="n">
        <f aca="false">SUM(B87:F87)</f>
      </c>
    </row>
    <row r="88">
      <c r="A88" s="5" t="inlineStr">
        <is>
          <t xml:space="preserve"># Fail</t>
        </is>
      </c>
      <c r="B88" s="6" t="n">
        <f aca="false">IF(SUMPRODUCT((LEFT('Slaughterhouse IQC'!$A$6:$A$64,7)="2026-04")*('Slaughterhouse IQC'!$B$6:$B$64="Nahunta")*('Slaughterhouse IQC'!$F$6:$F$64="666521")*'Slaughterhouse IQC'!$I$6:$I$64)=0,"",SUMPRODUCT((LEFT('Slaughterhouse IQC'!$A$6:$A$64,7)="2026-04")*('Slaughterhouse IQC'!$B$6:$B$64="Nahunta")*('Slaughterhouse IQC'!$F$6:$F$64="666521")*'Slaughterhouse IQC'!$K$6:$K$64))</f>
      </c>
      <c r="C88" s="6" t="n">
        <f aca="false">IF(SUMPRODUCT((LEFT('Slaughterhouse IQC'!$A$6:$A$64,7)="2026-05")*('Slaughterhouse IQC'!$B$6:$B$64="Nahunta")*('Slaughterhouse IQC'!$F$6:$F$64="666521")*'Slaughterhouse IQC'!$I$6:$I$64)=0,"",SUMPRODUCT((LEFT('Slaughterhouse IQC'!$A$6:$A$64,7)="2026-05")*('Slaughterhouse IQC'!$B$6:$B$64="Nahunta")*('Slaughterhouse IQC'!$F$6:$F$64="666521")*'Slaughterhouse IQC'!$K$6:$K$64))</f>
      </c>
      <c r="D88" s="6" t="n">
        <f aca="false">IF(SUMPRODUCT((LEFT('Slaughterhouse IQC'!$A$6:$A$64,7)="2026-06")*('Slaughterhouse IQC'!$B$6:$B$64="Nahunta")*('Slaughterhouse IQC'!$F$6:$F$64="666521")*'Slaughterhouse IQC'!$I$6:$I$64)=0,"",SUMPRODUCT((LEFT('Slaughterhouse IQC'!$A$6:$A$64,7)="2026-06")*('Slaughterhouse IQC'!$B$6:$B$64="Nahunta")*('Slaughterhouse IQC'!$F$6:$F$64="666521")*'Slaughterhouse IQC'!$K$6:$K$64))</f>
      </c>
      <c r="E88" s="6" t="n">
        <f aca="false">IF(SUMPRODUCT((LEFT('Slaughterhouse IQC'!$A$6:$A$64,7)="2026-07")*('Slaughterhouse IQC'!$B$6:$B$64="Nahunta")*('Slaughterhouse IQC'!$F$6:$F$64="666521")*'Slaughterhouse IQC'!$I$6:$I$64)=0,"",SUMPRODUCT((LEFT('Slaughterhouse IQC'!$A$6:$A$64,7)="2026-07")*('Slaughterhouse IQC'!$B$6:$B$64="Nahunta")*('Slaughterhouse IQC'!$F$6:$F$64="666521")*'Slaughterhouse IQC'!$K$6:$K$64))</f>
      </c>
      <c r="F88" s="6" t="n">
        <f aca="false">IF(SUMPRODUCT((LEFT('Slaughterhouse IQC'!$A$6:$A$64,7)="2026-08")*('Slaughterhouse IQC'!$B$6:$B$64="Nahunta")*('Slaughterhouse IQC'!$F$6:$F$64="666521")*'Slaughterhouse IQC'!$I$6:$I$64)=0,"",SUMPRODUCT((LEFT('Slaughterhouse IQC'!$A$6:$A$64,7)="2026-08")*('Slaughterhouse IQC'!$B$6:$B$64="Nahunta")*('Slaughterhouse IQC'!$F$6:$F$64="666521")*'Slaughterhouse IQC'!$K$6:$K$64))</f>
      </c>
      <c r="G88" s="6" t="n">
        <f aca="false">SUM(B88:F88)</f>
      </c>
    </row>
    <row r="89">
      <c r="A89" s="12" t="inlineStr">
        <is>
          <t xml:space="preserve">First-Pass Yield</t>
        </is>
      </c>
      <c r="B89" s="15" t="n">
        <f aca="false">IF(B86="","",IF(B86=0,"",B87/B86))</f>
      </c>
      <c r="C89" s="15" t="n">
        <f aca="false">IF(C86="","",IF(C86=0,"",C87/C86))</f>
      </c>
      <c r="D89" s="15" t="n">
        <f aca="false">IF(D86="","",IF(D86=0,"",D87/D86))</f>
      </c>
      <c r="E89" s="15" t="n">
        <f aca="false">IF(E86="","",IF(E86=0,"",E87/E86))</f>
      </c>
      <c r="F89" s="15" t="n">
        <f aca="false">IF(F86="","",IF(F86=0,"",F87/F86))</f>
      </c>
      <c r="G89" s="15" t="n">
        <f aca="false">IF(G86=0,"",G87/G86)</f>
      </c>
    </row>
    <row r="90" ht="15" customHeight="true">
      <c r="A90" s="19" t="inlineStr">
        <is>
          <t xml:space="preserve">Issues found (defect category counts)</t>
        </is>
      </c>
    </row>
    <row r="91">
      <c r="A91" s="16" t="inlineStr">
        <is>
          <t xml:space="preserve">   Lung laceration</t>
        </is>
      </c>
      <c r="E91" s="6" t="n">
        <v>11</v>
      </c>
      <c r="F91" s="6" t="n">
        <v>31</v>
      </c>
      <c r="G91" s="6" t="n">
        <v>42</v>
      </c>
    </row>
    <row r="92">
      <c r="A92" s="16" t="inlineStr">
        <is>
          <t xml:space="preserve">   Heart damage</t>
        </is>
      </c>
      <c r="E92" s="6" t="n">
        <v>2</v>
      </c>
      <c r="F92" s="6" t="n">
        <v>19</v>
      </c>
      <c r="G92" s="6" t="n">
        <v>21</v>
      </c>
    </row>
    <row r="93">
      <c r="A93" s="12" t="inlineStr">
        <is>
          <t xml:space="preserve">   Total issues</t>
        </is>
      </c>
      <c r="B93" s="6" t="n">
        <f aca="false">IF(SUM(B91:B92)=0,"",SUM(B91:B92))</f>
      </c>
      <c r="C93" s="6" t="n">
        <f aca="false">IF(SUM(C91:C92)=0,"",SUM(C91:C92))</f>
      </c>
      <c r="D93" s="6" t="n">
        <f aca="false">IF(SUM(D91:D92)=0,"",SUM(D91:D92))</f>
      </c>
      <c r="E93" s="6" t="n">
        <f aca="false">IF(SUM(E91:E92)=0,"",SUM(E91:E92))</f>
      </c>
      <c r="F93" s="6" t="n">
        <f aca="false">IF(SUM(F91:F92)=0,"",SUM(F91:F92))</f>
      </c>
      <c r="G93" s="6" t="n">
        <f aca="false">SUM(G91:G92)</f>
      </c>
    </row>
    <row r="94"/>
    <row r="95" ht="18" customHeight="true">
      <c r="A95" s="3" t="inlineStr">
        <is>
          <t xml:space="preserve">NOTES</t>
        </is>
      </c>
    </row>
    <row r="96" ht="44" customHeight="true">
      <c r="A96" s="20" t="inlineStr">
        <is>
          <t xml:space="preserve">•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is>
      </c>
    </row>
    <row r="97" ht="44" customHeight="true">
      <c r="A97" s="20" t="inlineStr">
        <is>
          <t xml:space="preserve">• Volume rows (# Inspected / Pass / Fail, FPY) are live formulas over the Inspection Log (rows 6–64) — they update automatically when the log grows within that range. Defect-category counts are analyst-tagged from scrap notes (static snapshot through 08/19); retag new rows when appending.</t>
        </is>
      </c>
    </row>
    <row r="98" ht="44" customHeight="true">
      <c r="A98" s="20" t="inlineStr">
        <is>
          <t xml:space="preserve">•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is>
      </c>
    </row>
    <row r="99" ht="44" customHeight="true">
      <c r="A99" s="20" t="inlineStr">
        <is>
          <t xml:space="preserve">• Parks runs as two part lines across the spec transition: 666518 through 07/30, 666541 from 08/10 — shown separately by request. Nahunta pelvic is a side line (thoracic is the primary part there).</t>
        </is>
      </c>
    </row>
  </sheetData>
  <mergeCells count="21">
    <mergeCell ref="A1:G1"/>
    <mergeCell ref="A2:G2"/>
    <mergeCell ref="A4:G4"/>
    <mergeCell ref="A13:G13"/>
    <mergeCell ref="A22:G22"/>
    <mergeCell ref="A28:G28"/>
    <mergeCell ref="A36:G36"/>
    <mergeCell ref="A42:G42"/>
    <mergeCell ref="A50:G50"/>
    <mergeCell ref="A56:G56"/>
    <mergeCell ref="A64:G64"/>
    <mergeCell ref="A70:G70"/>
    <mergeCell ref="A74:G74"/>
    <mergeCell ref="A80:G80"/>
    <mergeCell ref="A84:G84"/>
    <mergeCell ref="A90:G90"/>
    <mergeCell ref="A95:G95"/>
    <mergeCell ref="A96:G96"/>
    <mergeCell ref="A97:G97"/>
    <mergeCell ref="A98:G98"/>
    <mergeCell ref="A99:G99"/>
  </mergeCells>
  <conditionalFormatting sqref="B6:G11 B27:G27 B41:G41 B55:G55 B69:G69 B79:G79 B89:G89">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16.xml><?xml version="1.0" encoding="utf-8"?>
<worksheet xmlns="http://schemas.openxmlformats.org/spreadsheetml/2006/main" xmlns:r="http://schemas.openxmlformats.org/officeDocument/2006/relationships">
  <dimension ref="A1:J3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true">
      <c r="A1" s="1" t="inlineStr">
        <is>
          <t xml:space="preserve">APRIL 2026 — SH IQC Inspections</t>
        </is>
      </c>
    </row>
    <row r="2" ht="44" customHeight="true">
      <c r="A2" s="2" t="inlineStr">
        <is>
          <t xml:space="preserve">8 part-inspections across 4 harvest days at Martins. Month totals: 181 inspected / 171 pass / 10 fail — first-pass yield 94.5%. Snapshot from the Inspection Log; defect ranking uses the standard categories (see Monthly Breakdown notes).</t>
        </is>
      </c>
    </row>
    <row r="3"/>
    <row r="4" ht="18" customHeight="true">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122</v>
      </c>
      <c r="D6" s="6" t="n">
        <v>116</v>
      </c>
      <c r="E6" s="6" t="n">
        <v>6</v>
      </c>
      <c r="F6" s="15" t="n">
        <v>0.9508</v>
      </c>
      <c r="G6" s="16" t="inlineStr">
        <is>
          <t xml:space="preserve">Urethra / bladder damage (2)</t>
        </is>
      </c>
    </row>
    <row r="7">
      <c r="A7" s="5" t="inlineStr">
        <is>
          <t xml:space="preserve">Pelvic @ Martins</t>
        </is>
      </c>
      <c r="B7" s="5" t="inlineStr">
        <is>
          <t xml:space="preserve">666506</t>
        </is>
      </c>
      <c r="C7" s="6" t="n">
        <v>59</v>
      </c>
      <c r="D7" s="6" t="n">
        <v>55</v>
      </c>
      <c r="E7" s="6" t="n">
        <v>4</v>
      </c>
      <c r="F7" s="15" t="n">
        <v>0.9322</v>
      </c>
      <c r="G7" s="16" t="inlineStr">
        <is>
          <t xml:space="preserve">Bowel damage / separation (2)</t>
        </is>
      </c>
    </row>
    <row r="8"/>
    <row r="9" ht="18" customHeight="true">
      <c r="A9" s="3" t="inlineStr">
        <is>
          <t xml:space="preserve">MOST RECURRING DEFECTS — BY TISSUE × SLAUGHTERHOUSE</t>
        </is>
      </c>
    </row>
    <row r="10" ht="16" customHeight="true">
      <c r="A10" s="19" t="inlineStr">
        <is>
          <t xml:space="preserve">Pelvic @ Martins · 666541 — 6 fails of 122 inspected</t>
        </is>
      </c>
    </row>
    <row r="11">
      <c r="A11" s="11" t="inlineStr">
        <is>
          <t xml:space="preserve">Rank</t>
        </is>
      </c>
      <c r="B11" s="11" t="inlineStr">
        <is>
          <t xml:space="preserve">Defect category</t>
        </is>
      </c>
      <c r="F11" s="11" t="inlineStr">
        <is>
          <t xml:space="preserve">Count</t>
        </is>
      </c>
      <c r="G11" s="11" t="inlineStr">
        <is>
          <t xml:space="preserve">% of fails</t>
        </is>
      </c>
    </row>
    <row r="12">
      <c r="A12" s="6" t="n">
        <v>1</v>
      </c>
      <c r="B12" s="5" t="inlineStr">
        <is>
          <t xml:space="preserve">Urethra / bladder damage</t>
        </is>
      </c>
      <c r="F12" s="6" t="n">
        <v>2</v>
      </c>
      <c r="G12" s="15" t="n">
        <v>0.3333</v>
      </c>
    </row>
    <row r="13">
      <c r="A13" s="6" t="n">
        <v>2</v>
      </c>
      <c r="B13" s="5" t="inlineStr">
        <is>
          <t xml:space="preserve">Bowel damage / separation</t>
        </is>
      </c>
      <c r="F13" s="6" t="n">
        <v>2</v>
      </c>
      <c r="G13" s="15" t="n">
        <v>0.3333</v>
      </c>
    </row>
    <row r="14">
      <c r="A14" s="6" t="n">
        <v>3</v>
      </c>
      <c r="B14" s="5" t="inlineStr">
        <is>
          <t xml:space="preserve">Other / unspecified</t>
        </is>
      </c>
      <c r="F14" s="6" t="n">
        <v>2</v>
      </c>
      <c r="G14" s="15" t="n">
        <v>0.3333</v>
      </c>
    </row>
    <row r="15"/>
    <row r="16" ht="16" customHeight="true">
      <c r="A16" s="19" t="inlineStr">
        <is>
          <t xml:space="preserve">Pelvic @ Martins · 666506 — 4 fails of 59 inspected</t>
        </is>
      </c>
    </row>
    <row r="17">
      <c r="A17" s="11" t="inlineStr">
        <is>
          <t xml:space="preserve">Rank</t>
        </is>
      </c>
      <c r="B17" s="11" t="inlineStr">
        <is>
          <t xml:space="preserve">Defect category</t>
        </is>
      </c>
      <c r="F17" s="11" t="inlineStr">
        <is>
          <t xml:space="preserve">Count</t>
        </is>
      </c>
      <c r="G17" s="11" t="inlineStr">
        <is>
          <t xml:space="preserve">% of fails</t>
        </is>
      </c>
    </row>
    <row r="18">
      <c r="A18" s="6" t="n">
        <v>1</v>
      </c>
      <c r="B18" s="5" t="inlineStr">
        <is>
          <t xml:space="preserve">Bowel damage / separation</t>
        </is>
      </c>
      <c r="F18" s="6" t="n">
        <v>2</v>
      </c>
      <c r="G18" s="15" t="n">
        <v>0.5</v>
      </c>
    </row>
    <row r="19">
      <c r="A19" s="6" t="n">
        <v>2</v>
      </c>
      <c r="B19" s="5" t="inlineStr">
        <is>
          <t xml:space="preserve">Other / unspecified</t>
        </is>
      </c>
      <c r="F19" s="6" t="n">
        <v>2</v>
      </c>
      <c r="G19" s="15" t="n">
        <v>0.5</v>
      </c>
    </row>
    <row r="20"/>
    <row r="21" ht="18" customHeight="true">
      <c r="A21" s="3" t="inlineStr">
        <is>
          <t xml:space="preserve">ALL INSPECTIONS THIS MONTH</t>
        </is>
      </c>
    </row>
    <row r="22">
      <c r="A22" s="11" t="inlineStr">
        <is>
          <t xml:space="preserve">Harvest Date</t>
        </is>
      </c>
      <c r="B22" s="11" t="inlineStr">
        <is>
          <t xml:space="preserve">Slaughterhouse</t>
        </is>
      </c>
      <c r="C22" s="11" t="inlineStr">
        <is>
          <t xml:space="preserve">Tissue</t>
        </is>
      </c>
      <c r="D22" s="11" t="inlineStr">
        <is>
          <t xml:space="preserve">Part #</t>
        </is>
      </c>
      <c r="E22" s="11" t="inlineStr">
        <is>
          <t xml:space="preserve">Lot</t>
        </is>
      </c>
      <c r="F22" s="11" t="inlineStr">
        <is>
          <t xml:space="preserve"># Inspected</t>
        </is>
      </c>
      <c r="G22" s="11" t="inlineStr">
        <is>
          <t xml:space="preserve"># Pass</t>
        </is>
      </c>
      <c r="H22" s="11" t="inlineStr">
        <is>
          <t xml:space="preserve"># Fail</t>
        </is>
      </c>
      <c r="I22" s="11" t="inlineStr">
        <is>
          <t xml:space="preserve">FPY</t>
        </is>
      </c>
      <c r="J22" s="11" t="inlineStr">
        <is>
          <t xml:space="preserve">Scrap reason / notes</t>
        </is>
      </c>
    </row>
    <row r="23" ht="13.5" customHeight="true">
      <c r="A23" s="5" t="inlineStr">
        <is>
          <t xml:space="preserve">2026-04-13</t>
        </is>
      </c>
      <c r="B23" s="5" t="inlineStr">
        <is>
          <t xml:space="preserve">Martins</t>
        </is>
      </c>
      <c r="C23" s="5" t="inlineStr">
        <is>
          <t xml:space="preserve">Pelvic</t>
        </is>
      </c>
      <c r="D23" s="5" t="inlineStr">
        <is>
          <t xml:space="preserve">666506</t>
        </is>
      </c>
      <c r="E23" s="5" t="inlineStr">
        <is>
          <t xml:space="preserve">5502378430</t>
        </is>
      </c>
      <c r="F23" s="6" t="n">
        <v>3</v>
      </c>
      <c r="G23" s="6" t="n">
        <v>3</v>
      </c>
      <c r="H23" s="6" t="n">
        <v>0</v>
      </c>
      <c r="I23" s="15" t="n">
        <v>1.0</v>
      </c>
      <c r="J23" s="16" t="inlineStr">
        <is>
          <t xml:space="preserve">3 labels used for thin area in bowel (ran out of labels)</t>
        </is>
      </c>
    </row>
    <row r="24" ht="13.5" customHeight="true">
      <c r="A24" s="5" t="inlineStr">
        <is>
          <t xml:space="preserve">2026-04-13</t>
        </is>
      </c>
      <c r="B24" s="5" t="inlineStr">
        <is>
          <t xml:space="preserve">Martins</t>
        </is>
      </c>
      <c r="C24" s="5" t="inlineStr">
        <is>
          <t xml:space="preserve">Pelvic</t>
        </is>
      </c>
      <c r="D24" s="5" t="inlineStr">
        <is>
          <t xml:space="preserve">666541</t>
        </is>
      </c>
      <c r="E24" s="5" t="inlineStr">
        <is>
          <t xml:space="preserve">5502378434</t>
        </is>
      </c>
      <c r="F24" s="6" t="n">
        <v>48</v>
      </c>
      <c r="G24" s="6" t="n">
        <v>47</v>
      </c>
      <c r="H24" s="6" t="n">
        <v>1</v>
      </c>
      <c r="I24" s="15" t="n">
        <v>0.9792</v>
      </c>
      <c r="J24" s="16" t="inlineStr">
        <is>
          <t xml:space="preserve">1 hole in bowel; 1 label marked for thin area in bowel</t>
        </is>
      </c>
    </row>
    <row r="25" ht="13.5" customHeight="true">
      <c r="A25" s="5" t="inlineStr">
        <is>
          <t xml:space="preserve">2026-04-15</t>
        </is>
      </c>
      <c r="B25" s="5" t="inlineStr">
        <is>
          <t xml:space="preserve">Martins</t>
        </is>
      </c>
      <c r="C25" s="5" t="inlineStr">
        <is>
          <t xml:space="preserve">Pelvic</t>
        </is>
      </c>
      <c r="D25" s="5" t="inlineStr">
        <is>
          <t xml:space="preserve">666506</t>
        </is>
      </c>
      <c r="E25" s="5" t="inlineStr">
        <is>
          <t xml:space="preserve">5502378430</t>
        </is>
      </c>
      <c r="F25" s="6" t="n">
        <v>4</v>
      </c>
      <c r="G25" s="6" t="n">
        <v>4</v>
      </c>
      <c r="H25" s="6" t="n">
        <v>0</v>
      </c>
      <c r="I25" s="15" t="n">
        <v>1.0</v>
      </c>
      <c r="J25" s="16" t="inlineStr">
        <is>
          <t xml:space="preserve"/>
        </is>
      </c>
    </row>
    <row r="26" ht="27.0" customHeight="true">
      <c r="A26" s="5" t="inlineStr">
        <is>
          <t xml:space="preserve">2026-04-15</t>
        </is>
      </c>
      <c r="B26" s="5" t="inlineStr">
        <is>
          <t xml:space="preserve">Martins</t>
        </is>
      </c>
      <c r="C26" s="5" t="inlineStr">
        <is>
          <t xml:space="preserve">Pelvic</t>
        </is>
      </c>
      <c r="D26" s="5" t="inlineStr">
        <is>
          <t xml:space="preserve">666541</t>
        </is>
      </c>
      <c r="E26" s="5" t="inlineStr">
        <is>
          <t xml:space="preserve">5502378434</t>
        </is>
      </c>
      <c r="F26" s="6" t="n">
        <v>17</v>
      </c>
      <c r="G26" s="6" t="n">
        <v>13</v>
      </c>
      <c r="H26" s="6" t="n">
        <v>4</v>
      </c>
      <c r="I26" s="15" t="n">
        <v>0.7647</v>
      </c>
      <c r="J26" s="16" t="inlineStr">
        <is>
          <t xml:space="preserve">2 blood clots (moved to non-intact); 2 scrapped for cut in urethra</t>
        </is>
      </c>
    </row>
    <row r="27" ht="13.5" customHeight="true">
      <c r="A27" s="5" t="inlineStr">
        <is>
          <t xml:space="preserve">2026-04-20</t>
        </is>
      </c>
      <c r="B27" s="5" t="inlineStr">
        <is>
          <t xml:space="preserve">Martins</t>
        </is>
      </c>
      <c r="C27" s="5" t="inlineStr">
        <is>
          <t xml:space="preserve">Pelvic</t>
        </is>
      </c>
      <c r="D27" s="5" t="inlineStr">
        <is>
          <t xml:space="preserve">666506</t>
        </is>
      </c>
      <c r="E27" s="5" t="inlineStr">
        <is>
          <t xml:space="preserve">5502391858</t>
        </is>
      </c>
      <c r="F27" s="6" t="n">
        <v>31</v>
      </c>
      <c r="G27" s="6" t="n">
        <v>29</v>
      </c>
      <c r="H27" s="6" t="n">
        <v>2</v>
      </c>
      <c r="I27" s="15" t="n">
        <v>0.9355</v>
      </c>
      <c r="J27" s="16" t="inlineStr">
        <is>
          <t xml:space="preserve">2 damaged after cleaning</t>
        </is>
      </c>
    </row>
    <row r="28" ht="27.0" customHeight="true">
      <c r="A28" s="5" t="inlineStr">
        <is>
          <t xml:space="preserve">2026-04-20</t>
        </is>
      </c>
      <c r="B28" s="5" t="inlineStr">
        <is>
          <t xml:space="preserve">Martins</t>
        </is>
      </c>
      <c r="C28" s="5" t="inlineStr">
        <is>
          <t xml:space="preserve">Pelvic</t>
        </is>
      </c>
      <c r="D28" s="5" t="inlineStr">
        <is>
          <t xml:space="preserve">666541</t>
        </is>
      </c>
      <c r="E28" s="5" t="inlineStr">
        <is>
          <t xml:space="preserve">5502391862</t>
        </is>
      </c>
      <c r="F28" s="6" t="n">
        <v>0</v>
      </c>
      <c r="G28" s="6" t="n">
        <v>0</v>
      </c>
      <c r="H28" s="6" t="n">
        <v>0</v>
      </c>
      <c r="I28" s="15" t="n">
        <v>0</v>
      </c>
      <c r="J28" s="16" t="inlineStr">
        <is>
          <t xml:space="preserve">Ran out of time (bagging set for later; SH tech start time changed to 8:00–4:30 PM)</t>
        </is>
      </c>
    </row>
    <row r="29" ht="13.5" customHeight="true">
      <c r="A29" s="5" t="inlineStr">
        <is>
          <t xml:space="preserve">2026-04-22</t>
        </is>
      </c>
      <c r="B29" s="5" t="inlineStr">
        <is>
          <t xml:space="preserve">Martins</t>
        </is>
      </c>
      <c r="C29" s="5" t="inlineStr">
        <is>
          <t xml:space="preserve">Pelvic</t>
        </is>
      </c>
      <c r="D29" s="5" t="inlineStr">
        <is>
          <t xml:space="preserve">666506</t>
        </is>
      </c>
      <c r="E29" s="5" t="inlineStr">
        <is>
          <t xml:space="preserve">5502391858</t>
        </is>
      </c>
      <c r="F29" s="6" t="n">
        <v>21</v>
      </c>
      <c r="G29" s="6" t="n">
        <v>19</v>
      </c>
      <c r="H29" s="6" t="n">
        <v>2</v>
      </c>
      <c r="I29" s="15" t="n">
        <v>0.9048</v>
      </c>
      <c r="J29" s="16" t="inlineStr">
        <is>
          <t xml:space="preserve">2 damaged bowel</t>
        </is>
      </c>
    </row>
    <row r="30" ht="13.5" customHeight="true">
      <c r="A30" s="5" t="inlineStr">
        <is>
          <t xml:space="preserve">2026-04-22</t>
        </is>
      </c>
      <c r="B30" s="5" t="inlineStr">
        <is>
          <t xml:space="preserve">Martins</t>
        </is>
      </c>
      <c r="C30" s="5" t="inlineStr">
        <is>
          <t xml:space="preserve">Pelvic</t>
        </is>
      </c>
      <c r="D30" s="5" t="inlineStr">
        <is>
          <t xml:space="preserve">666541</t>
        </is>
      </c>
      <c r="E30" s="5" t="inlineStr">
        <is>
          <t xml:space="preserve">5502391862</t>
        </is>
      </c>
      <c r="F30" s="6" t="n">
        <v>57</v>
      </c>
      <c r="G30" s="6" t="n">
        <v>56</v>
      </c>
      <c r="H30" s="6" t="n">
        <v>1</v>
      </c>
      <c r="I30" s="15" t="n">
        <v>0.9825</v>
      </c>
      <c r="J30" s="16" t="inlineStr">
        <is>
          <t xml:space="preserve">1 damaged bowel</t>
        </is>
      </c>
    </row>
  </sheetData>
  <mergeCells count="17">
    <mergeCell ref="A1:J1"/>
    <mergeCell ref="A2:J2"/>
    <mergeCell ref="A4:J4"/>
    <mergeCell ref="G5:J5"/>
    <mergeCell ref="G6:J6"/>
    <mergeCell ref="G7:J7"/>
    <mergeCell ref="A9:J9"/>
    <mergeCell ref="A10:J10"/>
    <mergeCell ref="B11:E11"/>
    <mergeCell ref="B12:E12"/>
    <mergeCell ref="B13:E13"/>
    <mergeCell ref="B14:E14"/>
    <mergeCell ref="A16:J16"/>
    <mergeCell ref="B17:E17"/>
    <mergeCell ref="B18:E18"/>
    <mergeCell ref="B19:E19"/>
    <mergeCell ref="A21:J21"/>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17.xml><?xml version="1.0" encoding="utf-8"?>
<worksheet xmlns="http://schemas.openxmlformats.org/spreadsheetml/2006/main" xmlns:r="http://schemas.openxmlformats.org/officeDocument/2006/relationships">
  <dimension ref="A1:J4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true">
      <c r="A1" s="1" t="inlineStr">
        <is>
          <t xml:space="preserve">MAY 2026 — SH IQC Inspections</t>
        </is>
      </c>
    </row>
    <row r="2" ht="44" customHeight="true">
      <c r="A2" s="2" t="inlineStr">
        <is>
          <t xml:space="preserve">10 part-inspections across 6 harvest days at Martins, Parks. Month totals: 328 inspected / 304 pass / 24 fail — first-pass yield 92.7%. Snapshot from the Inspection Log; defect ranking uses the standard categories (see Monthly Breakdown notes).</t>
        </is>
      </c>
    </row>
    <row r="3"/>
    <row r="4" ht="18" customHeight="true">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194</v>
      </c>
      <c r="D6" s="6" t="n">
        <v>181</v>
      </c>
      <c r="E6" s="6" t="n">
        <v>13</v>
      </c>
      <c r="F6" s="15" t="n">
        <v>0.933</v>
      </c>
      <c r="G6" s="16" t="inlineStr">
        <is>
          <t xml:space="preserve">Urethra / bladder damage (9)</t>
        </is>
      </c>
    </row>
    <row r="7">
      <c r="A7" s="5" t="inlineStr">
        <is>
          <t xml:space="preserve">Pelvic @ Martins</t>
        </is>
      </c>
      <c r="B7" s="5" t="inlineStr">
        <is>
          <t xml:space="preserve">666506</t>
        </is>
      </c>
      <c r="C7" s="6" t="n">
        <v>118</v>
      </c>
      <c r="D7" s="6" t="n">
        <v>112</v>
      </c>
      <c r="E7" s="6" t="n">
        <v>6</v>
      </c>
      <c r="F7" s="15" t="n">
        <v>0.9492</v>
      </c>
      <c r="G7" s="16" t="inlineStr">
        <is>
          <t xml:space="preserve">Urethra / bladder damage (4)</t>
        </is>
      </c>
    </row>
    <row r="8">
      <c r="A8" s="5" t="inlineStr">
        <is>
          <t xml:space="preserve">Pelvic @ Parks</t>
        </is>
      </c>
      <c r="B8" s="5" t="inlineStr">
        <is>
          <t xml:space="preserve">666518</t>
        </is>
      </c>
      <c r="C8" s="6" t="n">
        <v>16</v>
      </c>
      <c r="D8" s="6" t="n">
        <v>11</v>
      </c>
      <c r="E8" s="6" t="n">
        <v>5</v>
      </c>
      <c r="F8" s="15" t="n">
        <v>0.6875</v>
      </c>
      <c r="G8" s="16" t="inlineStr">
        <is>
          <t xml:space="preserve">Short block / mesentery length (4)</t>
        </is>
      </c>
    </row>
    <row r="9"/>
    <row r="10" ht="18" customHeight="true">
      <c r="A10" s="3" t="inlineStr">
        <is>
          <t xml:space="preserve">MOST RECURRING DEFECTS — BY TISSUE × SLAUGHTERHOUSE</t>
        </is>
      </c>
    </row>
    <row r="11" ht="16" customHeight="true">
      <c r="A11" s="19" t="inlineStr">
        <is>
          <t xml:space="preserve">Pelvic @ Martins · 666541 — 13 fails of 194 inspected</t>
        </is>
      </c>
    </row>
    <row r="12">
      <c r="A12" s="11" t="inlineStr">
        <is>
          <t xml:space="preserve">Rank</t>
        </is>
      </c>
      <c r="B12" s="11" t="inlineStr">
        <is>
          <t xml:space="preserve">Defect category</t>
        </is>
      </c>
      <c r="F12" s="11" t="inlineStr">
        <is>
          <t xml:space="preserve">Count</t>
        </is>
      </c>
      <c r="G12" s="11" t="inlineStr">
        <is>
          <t xml:space="preserve">% of fails</t>
        </is>
      </c>
    </row>
    <row r="13">
      <c r="A13" s="6" t="n">
        <v>1</v>
      </c>
      <c r="B13" s="5" t="inlineStr">
        <is>
          <t xml:space="preserve">Urethra / bladder damage</t>
        </is>
      </c>
      <c r="F13" s="6" t="n">
        <v>9</v>
      </c>
      <c r="G13" s="15" t="n">
        <v>0.6923</v>
      </c>
    </row>
    <row r="14">
      <c r="A14" s="6" t="n">
        <v>2</v>
      </c>
      <c r="B14" s="5" t="inlineStr">
        <is>
          <t xml:space="preserve">Membrane damage</t>
        </is>
      </c>
      <c r="F14" s="6" t="n">
        <v>2</v>
      </c>
      <c r="G14" s="15" t="n">
        <v>0.1538</v>
      </c>
    </row>
    <row r="15">
      <c r="A15" s="6" t="n">
        <v>3</v>
      </c>
      <c r="B15" s="5" t="inlineStr">
        <is>
          <t xml:space="preserve">Bowel damage / separation</t>
        </is>
      </c>
      <c r="F15" s="6" t="n">
        <v>1</v>
      </c>
      <c r="G15" s="15" t="n">
        <v>0.0769</v>
      </c>
    </row>
    <row r="16">
      <c r="A16" s="6" t="n">
        <v>4</v>
      </c>
      <c r="B16" s="5" t="inlineStr">
        <is>
          <t xml:space="preserve">Short block / mesentery length</t>
        </is>
      </c>
      <c r="F16" s="6" t="n">
        <v>1</v>
      </c>
      <c r="G16" s="15" t="n">
        <v>0.0769</v>
      </c>
    </row>
    <row r="17"/>
    <row r="18" ht="16" customHeight="true">
      <c r="A18" s="19" t="inlineStr">
        <is>
          <t xml:space="preserve">Pelvic @ Martins · 666506 — 6 fails of 118 inspected</t>
        </is>
      </c>
    </row>
    <row r="19">
      <c r="A19" s="11" t="inlineStr">
        <is>
          <t xml:space="preserve">Rank</t>
        </is>
      </c>
      <c r="B19" s="11" t="inlineStr">
        <is>
          <t xml:space="preserve">Defect category</t>
        </is>
      </c>
      <c r="F19" s="11" t="inlineStr">
        <is>
          <t xml:space="preserve">Count</t>
        </is>
      </c>
      <c r="G19" s="11" t="inlineStr">
        <is>
          <t xml:space="preserve">% of fails</t>
        </is>
      </c>
    </row>
    <row r="20">
      <c r="A20" s="6" t="n">
        <v>1</v>
      </c>
      <c r="B20" s="5" t="inlineStr">
        <is>
          <t xml:space="preserve">Urethra / bladder damage</t>
        </is>
      </c>
      <c r="F20" s="6" t="n">
        <v>4</v>
      </c>
      <c r="G20" s="15" t="n">
        <v>0.6667</v>
      </c>
    </row>
    <row r="21">
      <c r="A21" s="6" t="n">
        <v>2</v>
      </c>
      <c r="B21" s="5" t="inlineStr">
        <is>
          <t xml:space="preserve">Membrane damage</t>
        </is>
      </c>
      <c r="F21" s="6" t="n">
        <v>1</v>
      </c>
      <c r="G21" s="15" t="n">
        <v>0.1667</v>
      </c>
    </row>
    <row r="22">
      <c r="A22" s="6" t="n">
        <v>3</v>
      </c>
      <c r="B22" s="5" t="inlineStr">
        <is>
          <t xml:space="preserve">Other / unspecified</t>
        </is>
      </c>
      <c r="F22" s="6" t="n">
        <v>1</v>
      </c>
      <c r="G22" s="15" t="n">
        <v>0.1667</v>
      </c>
    </row>
    <row r="23"/>
    <row r="24" ht="16" customHeight="true">
      <c r="A24" s="19" t="inlineStr">
        <is>
          <t xml:space="preserve">Pelvic @ Parks · 666518 — 5 fails of 16 inspected</t>
        </is>
      </c>
    </row>
    <row r="25">
      <c r="A25" s="11" t="inlineStr">
        <is>
          <t xml:space="preserve">Rank</t>
        </is>
      </c>
      <c r="B25" s="11" t="inlineStr">
        <is>
          <t xml:space="preserve">Defect category</t>
        </is>
      </c>
      <c r="F25" s="11" t="inlineStr">
        <is>
          <t xml:space="preserve">Count</t>
        </is>
      </c>
      <c r="G25" s="11" t="inlineStr">
        <is>
          <t xml:space="preserve">% of fails</t>
        </is>
      </c>
    </row>
    <row r="26">
      <c r="A26" s="6" t="n">
        <v>1</v>
      </c>
      <c r="B26" s="5" t="inlineStr">
        <is>
          <t xml:space="preserve">Short block / mesentery length</t>
        </is>
      </c>
      <c r="F26" s="6" t="n">
        <v>4</v>
      </c>
      <c r="G26" s="15" t="n">
        <v>0.8</v>
      </c>
    </row>
    <row r="27">
      <c r="A27" s="6" t="n">
        <v>2</v>
      </c>
      <c r="B27" s="5" t="inlineStr">
        <is>
          <t xml:space="preserve">Urethra / bladder damage</t>
        </is>
      </c>
      <c r="F27" s="6" t="n">
        <v>1</v>
      </c>
      <c r="G27" s="15" t="n">
        <v>0.2</v>
      </c>
    </row>
    <row r="28"/>
    <row r="29" ht="18" customHeight="true">
      <c r="A29" s="3" t="inlineStr">
        <is>
          <t xml:space="preserve">ALL INSPECTIONS THIS MONTH</t>
        </is>
      </c>
    </row>
    <row r="30">
      <c r="A30" s="11" t="inlineStr">
        <is>
          <t xml:space="preserve">Harvest Date</t>
        </is>
      </c>
      <c r="B30" s="11" t="inlineStr">
        <is>
          <t xml:space="preserve">Slaughterhouse</t>
        </is>
      </c>
      <c r="C30" s="11" t="inlineStr">
        <is>
          <t xml:space="preserve">Tissue</t>
        </is>
      </c>
      <c r="D30" s="11" t="inlineStr">
        <is>
          <t xml:space="preserve">Part #</t>
        </is>
      </c>
      <c r="E30" s="11" t="inlineStr">
        <is>
          <t xml:space="preserve">Lot</t>
        </is>
      </c>
      <c r="F30" s="11" t="inlineStr">
        <is>
          <t xml:space="preserve"># Inspected</t>
        </is>
      </c>
      <c r="G30" s="11" t="inlineStr">
        <is>
          <t xml:space="preserve"># Pass</t>
        </is>
      </c>
      <c r="H30" s="11" t="inlineStr">
        <is>
          <t xml:space="preserve"># Fail</t>
        </is>
      </c>
      <c r="I30" s="11" t="inlineStr">
        <is>
          <t xml:space="preserve">FPY</t>
        </is>
      </c>
      <c r="J30" s="11" t="inlineStr">
        <is>
          <t xml:space="preserve">Scrap reason / notes</t>
        </is>
      </c>
    </row>
    <row r="31" ht="13.5" customHeight="true">
      <c r="A31" s="5" t="inlineStr">
        <is>
          <t xml:space="preserve">2026-05-04</t>
        </is>
      </c>
      <c r="B31" s="5" t="inlineStr">
        <is>
          <t xml:space="preserve">Martins</t>
        </is>
      </c>
      <c r="C31" s="5" t="inlineStr">
        <is>
          <t xml:space="preserve">Pelvic</t>
        </is>
      </c>
      <c r="D31" s="5" t="inlineStr">
        <is>
          <t xml:space="preserve">666506</t>
        </is>
      </c>
      <c r="E31" s="5" t="inlineStr">
        <is>
          <t xml:space="preserve">5502404924</t>
        </is>
      </c>
      <c r="F31" s="6" t="n">
        <v>16</v>
      </c>
      <c r="G31" s="6" t="n">
        <v>13</v>
      </c>
      <c r="H31" s="6" t="n">
        <v>3</v>
      </c>
      <c r="I31" s="15" t="n">
        <v>0.8125</v>
      </c>
      <c r="J31" s="16" t="inlineStr">
        <is>
          <t xml:space="preserve">3 damaged urethra</t>
        </is>
      </c>
    </row>
    <row r="32" ht="13.5" customHeight="true">
      <c r="A32" s="5" t="inlineStr">
        <is>
          <t xml:space="preserve">2026-05-04</t>
        </is>
      </c>
      <c r="B32" s="5" t="inlineStr">
        <is>
          <t xml:space="preserve">Martins</t>
        </is>
      </c>
      <c r="C32" s="5" t="inlineStr">
        <is>
          <t xml:space="preserve">Pelvic</t>
        </is>
      </c>
      <c r="D32" s="5" t="inlineStr">
        <is>
          <t xml:space="preserve">666541</t>
        </is>
      </c>
      <c r="E32" s="5" t="inlineStr">
        <is>
          <t xml:space="preserve">5502404928</t>
        </is>
      </c>
      <c r="F32" s="6" t="n">
        <v>37</v>
      </c>
      <c r="G32" s="6" t="n">
        <v>36</v>
      </c>
      <c r="H32" s="6" t="n">
        <v>1</v>
      </c>
      <c r="I32" s="15" t="n">
        <v>0.973</v>
      </c>
      <c r="J32" s="16" t="inlineStr">
        <is>
          <t xml:space="preserve">1 damaged urethra</t>
        </is>
      </c>
    </row>
    <row r="33" ht="13.5" customHeight="true">
      <c r="A33" s="5" t="inlineStr">
        <is>
          <t xml:space="preserve">2026-05-06</t>
        </is>
      </c>
      <c r="B33" s="5" t="inlineStr">
        <is>
          <t xml:space="preserve">Martins</t>
        </is>
      </c>
      <c r="C33" s="5" t="inlineStr">
        <is>
          <t xml:space="preserve">Pelvic</t>
        </is>
      </c>
      <c r="D33" s="5" t="inlineStr">
        <is>
          <t xml:space="preserve">666506</t>
        </is>
      </c>
      <c r="E33" s="5" t="inlineStr">
        <is>
          <t xml:space="preserve">5502404924</t>
        </is>
      </c>
      <c r="F33" s="6" t="n">
        <v>29</v>
      </c>
      <c r="G33" s="6" t="n">
        <v>28</v>
      </c>
      <c r="H33" s="6" t="n">
        <v>1</v>
      </c>
      <c r="I33" s="15" t="n">
        <v>0.9655</v>
      </c>
      <c r="J33" s="16" t="inlineStr">
        <is>
          <t xml:space="preserve">1 small bladder</t>
        </is>
      </c>
    </row>
    <row r="34" ht="13.5" customHeight="true">
      <c r="A34" s="5" t="inlineStr">
        <is>
          <t xml:space="preserve">2026-05-06</t>
        </is>
      </c>
      <c r="B34" s="5" t="inlineStr">
        <is>
          <t xml:space="preserve">Martins</t>
        </is>
      </c>
      <c r="C34" s="5" t="inlineStr">
        <is>
          <t xml:space="preserve">Pelvic</t>
        </is>
      </c>
      <c r="D34" s="5" t="inlineStr">
        <is>
          <t xml:space="preserve">666541</t>
        </is>
      </c>
      <c r="E34" s="5" t="inlineStr">
        <is>
          <t xml:space="preserve">5502404928</t>
        </is>
      </c>
      <c r="F34" s="6" t="n">
        <v>25</v>
      </c>
      <c r="G34" s="6" t="n">
        <v>22</v>
      </c>
      <c r="H34" s="6" t="n">
        <v>3</v>
      </c>
      <c r="I34" s="15" t="n">
        <v>0.88</v>
      </c>
      <c r="J34" s="16" t="inlineStr">
        <is>
          <t xml:space="preserve">3 damaged urethra</t>
        </is>
      </c>
    </row>
    <row r="35" ht="13.5" customHeight="true">
      <c r="A35" s="5" t="inlineStr">
        <is>
          <t xml:space="preserve">2026-05-18</t>
        </is>
      </c>
      <c r="B35" s="5" t="inlineStr">
        <is>
          <t xml:space="preserve">Martins</t>
        </is>
      </c>
      <c r="C35" s="5" t="inlineStr">
        <is>
          <t xml:space="preserve">Pelvic</t>
        </is>
      </c>
      <c r="D35" s="5" t="inlineStr">
        <is>
          <t xml:space="preserve">666506</t>
        </is>
      </c>
      <c r="E35" s="5" t="inlineStr">
        <is>
          <t xml:space="preserve">5502421188</t>
        </is>
      </c>
      <c r="F35" s="6" t="n">
        <v>43</v>
      </c>
      <c r="G35" s="6" t="n">
        <v>42</v>
      </c>
      <c r="H35" s="6" t="n">
        <v>1</v>
      </c>
      <c r="I35" s="15" t="n">
        <v>0.9767</v>
      </c>
      <c r="J35" s="16" t="inlineStr">
        <is>
          <t xml:space="preserve">1 deformed ligaments clumped together</t>
        </is>
      </c>
    </row>
    <row r="36" ht="13.5" customHeight="true">
      <c r="A36" s="5" t="inlineStr">
        <is>
          <t xml:space="preserve">2026-05-18</t>
        </is>
      </c>
      <c r="B36" s="5" t="inlineStr">
        <is>
          <t xml:space="preserve">Martins</t>
        </is>
      </c>
      <c r="C36" s="5" t="inlineStr">
        <is>
          <t xml:space="preserve">Pelvic</t>
        </is>
      </c>
      <c r="D36" s="5" t="inlineStr">
        <is>
          <t xml:space="preserve">666541</t>
        </is>
      </c>
      <c r="E36" s="5" t="inlineStr">
        <is>
          <t xml:space="preserve">5502421192</t>
        </is>
      </c>
      <c r="F36" s="6" t="n">
        <v>62</v>
      </c>
      <c r="G36" s="6" t="n">
        <v>58</v>
      </c>
      <c r="H36" s="6" t="n">
        <v>4</v>
      </c>
      <c r="I36" s="15" t="n">
        <v>0.9355</v>
      </c>
      <c r="J36" s="16" t="inlineStr">
        <is>
          <t xml:space="preserve">3 cut urethra; 1 short block</t>
        </is>
      </c>
    </row>
    <row r="37" ht="13.5" customHeight="true">
      <c r="A37" s="5" t="inlineStr">
        <is>
          <t xml:space="preserve">2026-05-21</t>
        </is>
      </c>
      <c r="B37" s="5" t="inlineStr">
        <is>
          <t xml:space="preserve">Martins</t>
        </is>
      </c>
      <c r="C37" s="5" t="inlineStr">
        <is>
          <t xml:space="preserve">Pelvic</t>
        </is>
      </c>
      <c r="D37" s="5" t="inlineStr">
        <is>
          <t xml:space="preserve">666506</t>
        </is>
      </c>
      <c r="E37" s="5" t="inlineStr">
        <is>
          <t xml:space="preserve">5502421188</t>
        </is>
      </c>
      <c r="F37" s="6" t="n">
        <v>30</v>
      </c>
      <c r="G37" s="6" t="n">
        <v>29</v>
      </c>
      <c r="H37" s="6" t="n">
        <v>1</v>
      </c>
      <c r="I37" s="15" t="n">
        <v>0.9667</v>
      </c>
      <c r="J37" s="16" t="inlineStr">
        <is>
          <t xml:space="preserve">1 damaged membrane and ureter</t>
        </is>
      </c>
    </row>
    <row r="38" ht="13.5" customHeight="true">
      <c r="A38" s="5" t="inlineStr">
        <is>
          <t xml:space="preserve">2026-05-21</t>
        </is>
      </c>
      <c r="B38" s="5" t="inlineStr">
        <is>
          <t xml:space="preserve">Martins</t>
        </is>
      </c>
      <c r="C38" s="5" t="inlineStr">
        <is>
          <t xml:space="preserve">Pelvic</t>
        </is>
      </c>
      <c r="D38" s="5" t="inlineStr">
        <is>
          <t xml:space="preserve">666541</t>
        </is>
      </c>
      <c r="E38" s="5" t="inlineStr">
        <is>
          <t xml:space="preserve">5502421192</t>
        </is>
      </c>
      <c r="F38" s="6" t="n">
        <v>31</v>
      </c>
      <c r="G38" s="6" t="n">
        <v>29</v>
      </c>
      <c r="H38" s="6" t="n">
        <v>2</v>
      </c>
      <c r="I38" s="15" t="n">
        <v>0.9355</v>
      </c>
      <c r="J38" s="16" t="inlineStr">
        <is>
          <t xml:space="preserve">2 cut urethra</t>
        </is>
      </c>
    </row>
    <row r="39" ht="13.5" customHeight="true">
      <c r="A39" s="5" t="inlineStr">
        <is>
          <t xml:space="preserve">2026-05-27</t>
        </is>
      </c>
      <c r="B39" s="5" t="inlineStr">
        <is>
          <t xml:space="preserve">Martins</t>
        </is>
      </c>
      <c r="C39" s="5" t="inlineStr">
        <is>
          <t xml:space="preserve">Pelvic</t>
        </is>
      </c>
      <c r="D39" s="5" t="inlineStr">
        <is>
          <t xml:space="preserve">666541</t>
        </is>
      </c>
      <c r="E39" s="5" t="inlineStr">
        <is>
          <t xml:space="preserve">5502421192</t>
        </is>
      </c>
      <c r="F39" s="6" t="n">
        <v>39</v>
      </c>
      <c r="G39" s="6" t="n">
        <v>36</v>
      </c>
      <c r="H39" s="6" t="n">
        <v>3</v>
      </c>
      <c r="I39" s="15" t="n">
        <v>0.9231</v>
      </c>
      <c r="J39" s="16" t="inlineStr">
        <is>
          <t xml:space="preserve">1 hole in bowel; 2 membrane damage &gt;0.5"</t>
        </is>
      </c>
    </row>
    <row r="40" ht="27.0" customHeight="true">
      <c r="A40" s="5" t="inlineStr">
        <is>
          <t xml:space="preserve">2026-05-28</t>
        </is>
      </c>
      <c r="B40" s="5" t="inlineStr">
        <is>
          <t xml:space="preserve">Parks</t>
        </is>
      </c>
      <c r="C40" s="5" t="inlineStr">
        <is>
          <t xml:space="preserve">Pelvic</t>
        </is>
      </c>
      <c r="D40" s="5" t="inlineStr">
        <is>
          <t xml:space="preserve">666518</t>
        </is>
      </c>
      <c r="E40" s="5" t="inlineStr">
        <is>
          <t xml:space="preserve">(no batch data)</t>
        </is>
      </c>
      <c r="F40" s="6" t="n">
        <v>16</v>
      </c>
      <c r="G40" s="6" t="n">
        <v>11</v>
      </c>
      <c r="H40" s="6" t="n">
        <v>5</v>
      </c>
      <c r="I40" s="15" t="n">
        <v>0.6875</v>
      </c>
      <c r="J40" s="16" t="inlineStr">
        <is>
          <t xml:space="preserve">4 mesentery length too short in critical zone; 1 bladder damage (internals exposed)</t>
        </is>
      </c>
    </row>
  </sheetData>
  <mergeCells count="24">
    <mergeCell ref="A1:J1"/>
    <mergeCell ref="A2:J2"/>
    <mergeCell ref="A4:J4"/>
    <mergeCell ref="G5:J5"/>
    <mergeCell ref="G6:J6"/>
    <mergeCell ref="G7:J7"/>
    <mergeCell ref="G8:J8"/>
    <mergeCell ref="A10:J10"/>
    <mergeCell ref="A11:J11"/>
    <mergeCell ref="B12:E12"/>
    <mergeCell ref="B13:E13"/>
    <mergeCell ref="B14:E14"/>
    <mergeCell ref="B15:E15"/>
    <mergeCell ref="B16:E16"/>
    <mergeCell ref="A18:J18"/>
    <mergeCell ref="B19:E19"/>
    <mergeCell ref="B20:E20"/>
    <mergeCell ref="B21:E21"/>
    <mergeCell ref="B22:E22"/>
    <mergeCell ref="A24:J24"/>
    <mergeCell ref="B25:E25"/>
    <mergeCell ref="B26:E26"/>
    <mergeCell ref="B27:E27"/>
    <mergeCell ref="A29:J29"/>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18.xml><?xml version="1.0" encoding="utf-8"?>
<worksheet xmlns="http://schemas.openxmlformats.org/spreadsheetml/2006/main" xmlns:r="http://schemas.openxmlformats.org/officeDocument/2006/relationships">
  <dimension ref="A1:J45"/>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true">
      <c r="A1" s="1" t="inlineStr">
        <is>
          <t xml:space="preserve">JUNE 2026 — SH IQC Inspections</t>
        </is>
      </c>
    </row>
    <row r="2" ht="44" customHeight="true">
      <c r="A2" s="2" t="inlineStr">
        <is>
          <t xml:space="preserve">15 part-inspections across 10 harvest days at Martins, Parks. Month totals: 333 inspected / 302 pass / 31 fail — first-pass yield 90.7%. Snapshot from the Inspection Log; defect ranking uses the standard categories (see Monthly Breakdown notes).</t>
        </is>
      </c>
    </row>
    <row r="3"/>
    <row r="4" ht="18" customHeight="true">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152</v>
      </c>
      <c r="D6" s="6" t="n">
        <v>144</v>
      </c>
      <c r="E6" s="6" t="n">
        <v>8</v>
      </c>
      <c r="F6" s="15" t="n">
        <v>0.9474</v>
      </c>
      <c r="G6" s="16" t="inlineStr">
        <is>
          <t xml:space="preserve">Urethra / bladder damage (4)</t>
        </is>
      </c>
    </row>
    <row r="7">
      <c r="A7" s="5" t="inlineStr">
        <is>
          <t xml:space="preserve">Pelvic @ Martins</t>
        </is>
      </c>
      <c r="B7" s="5" t="inlineStr">
        <is>
          <t xml:space="preserve">666506</t>
        </is>
      </c>
      <c r="C7" s="6" t="n">
        <v>53</v>
      </c>
      <c r="D7" s="6" t="n">
        <v>52</v>
      </c>
      <c r="E7" s="6" t="n">
        <v>1</v>
      </c>
      <c r="F7" s="15" t="n">
        <v>0.9811</v>
      </c>
      <c r="G7" s="16" t="inlineStr">
        <is>
          <t xml:space="preserve">Short block / mesentery length (1)</t>
        </is>
      </c>
    </row>
    <row r="8">
      <c r="A8" s="5" t="inlineStr">
        <is>
          <t xml:space="preserve">Pelvic @ Parks</t>
        </is>
      </c>
      <c r="B8" s="5" t="inlineStr">
        <is>
          <t xml:space="preserve">666518</t>
        </is>
      </c>
      <c r="C8" s="6" t="n">
        <v>128</v>
      </c>
      <c r="D8" s="6" t="n">
        <v>106</v>
      </c>
      <c r="E8" s="6" t="n">
        <v>22</v>
      </c>
      <c r="F8" s="15" t="n">
        <v>0.8281</v>
      </c>
      <c r="G8" s="16" t="inlineStr">
        <is>
          <t xml:space="preserve">Urethra / bladder damage (10)</t>
        </is>
      </c>
    </row>
    <row r="9"/>
    <row r="10" ht="18" customHeight="true">
      <c r="A10" s="3" t="inlineStr">
        <is>
          <t xml:space="preserve">MOST RECURRING DEFECTS — BY TISSUE × SLAUGHTERHOUSE</t>
        </is>
      </c>
    </row>
    <row r="11" ht="16" customHeight="true">
      <c r="A11" s="19" t="inlineStr">
        <is>
          <t xml:space="preserve">Pelvic @ Martins · 666541 — 8 fails of 152 inspected</t>
        </is>
      </c>
    </row>
    <row r="12">
      <c r="A12" s="11" t="inlineStr">
        <is>
          <t xml:space="preserve">Rank</t>
        </is>
      </c>
      <c r="B12" s="11" t="inlineStr">
        <is>
          <t xml:space="preserve">Defect category</t>
        </is>
      </c>
      <c r="F12" s="11" t="inlineStr">
        <is>
          <t xml:space="preserve">Count</t>
        </is>
      </c>
      <c r="G12" s="11" t="inlineStr">
        <is>
          <t xml:space="preserve">% of fails</t>
        </is>
      </c>
    </row>
    <row r="13">
      <c r="A13" s="6" t="n">
        <v>1</v>
      </c>
      <c r="B13" s="5" t="inlineStr">
        <is>
          <t xml:space="preserve">Urethra / bladder damage</t>
        </is>
      </c>
      <c r="F13" s="6" t="n">
        <v>4</v>
      </c>
      <c r="G13" s="15" t="n">
        <v>0.5</v>
      </c>
    </row>
    <row r="14">
      <c r="A14" s="6" t="n">
        <v>2</v>
      </c>
      <c r="B14" s="5" t="inlineStr">
        <is>
          <t xml:space="preserve">Membrane damage</t>
        </is>
      </c>
      <c r="F14" s="6" t="n">
        <v>3</v>
      </c>
      <c r="G14" s="15" t="n">
        <v>0.375</v>
      </c>
    </row>
    <row r="15">
      <c r="A15" s="6" t="n">
        <v>3</v>
      </c>
      <c r="B15" s="5" t="inlineStr">
        <is>
          <t xml:space="preserve">Bowel damage / separation</t>
        </is>
      </c>
      <c r="F15" s="6" t="n">
        <v>1</v>
      </c>
      <c r="G15" s="15" t="n">
        <v>0.125</v>
      </c>
    </row>
    <row r="16"/>
    <row r="17" ht="16" customHeight="true">
      <c r="A17" s="19" t="inlineStr">
        <is>
          <t xml:space="preserve">Pelvic @ Martins · 666506 — 1 fail of 53 inspected</t>
        </is>
      </c>
    </row>
    <row r="18">
      <c r="A18" s="11" t="inlineStr">
        <is>
          <t xml:space="preserve">Rank</t>
        </is>
      </c>
      <c r="B18" s="11" t="inlineStr">
        <is>
          <t xml:space="preserve">Defect category</t>
        </is>
      </c>
      <c r="F18" s="11" t="inlineStr">
        <is>
          <t xml:space="preserve">Count</t>
        </is>
      </c>
      <c r="G18" s="11" t="inlineStr">
        <is>
          <t xml:space="preserve">% of fails</t>
        </is>
      </c>
    </row>
    <row r="19">
      <c r="A19" s="6" t="n">
        <v>1</v>
      </c>
      <c r="B19" s="5" t="inlineStr">
        <is>
          <t xml:space="preserve">Short block / mesentery length</t>
        </is>
      </c>
      <c r="F19" s="6" t="n">
        <v>1</v>
      </c>
      <c r="G19" s="15" t="n">
        <v>1.0</v>
      </c>
    </row>
    <row r="20"/>
    <row r="21" ht="16" customHeight="true">
      <c r="A21" s="19" t="inlineStr">
        <is>
          <t xml:space="preserve">Pelvic @ Parks · 666518 — 22 fails of 128 inspected</t>
        </is>
      </c>
    </row>
    <row r="22">
      <c r="A22" s="11" t="inlineStr">
        <is>
          <t xml:space="preserve">Rank</t>
        </is>
      </c>
      <c r="B22" s="11" t="inlineStr">
        <is>
          <t xml:space="preserve">Defect category</t>
        </is>
      </c>
      <c r="F22" s="11" t="inlineStr">
        <is>
          <t xml:space="preserve">Count</t>
        </is>
      </c>
      <c r="G22" s="11" t="inlineStr">
        <is>
          <t xml:space="preserve">% of fails</t>
        </is>
      </c>
    </row>
    <row r="23">
      <c r="A23" s="6" t="n">
        <v>1</v>
      </c>
      <c r="B23" s="5" t="inlineStr">
        <is>
          <t xml:space="preserve">Urethra / bladder damage</t>
        </is>
      </c>
      <c r="F23" s="6" t="n">
        <v>10</v>
      </c>
      <c r="G23" s="15" t="n">
        <v>0.4545</v>
      </c>
    </row>
    <row r="24">
      <c r="A24" s="6" t="n">
        <v>2</v>
      </c>
      <c r="B24" s="5" t="inlineStr">
        <is>
          <t xml:space="preserve">Short block / mesentery length</t>
        </is>
      </c>
      <c r="F24" s="6" t="n">
        <v>5</v>
      </c>
      <c r="G24" s="15" t="n">
        <v>0.2273</v>
      </c>
    </row>
    <row r="25">
      <c r="A25" s="6" t="n">
        <v>3</v>
      </c>
      <c r="B25" s="5" t="inlineStr">
        <is>
          <t xml:space="preserve">Critical-area laceration</t>
        </is>
      </c>
      <c r="F25" s="6" t="n">
        <v>3</v>
      </c>
      <c r="G25" s="15" t="n">
        <v>0.1364</v>
      </c>
    </row>
    <row r="26">
      <c r="A26" s="6" t="n">
        <v>4</v>
      </c>
      <c r="B26" s="5" t="inlineStr">
        <is>
          <t xml:space="preserve">Bowel damage / separation</t>
        </is>
      </c>
      <c r="F26" s="6" t="n">
        <v>2</v>
      </c>
      <c r="G26" s="15" t="n">
        <v>0.0909</v>
      </c>
    </row>
    <row r="27">
      <c r="A27" s="6" t="n">
        <v>5</v>
      </c>
      <c r="B27" s="5" t="inlineStr">
        <is>
          <t xml:space="preserve">Ureter damage</t>
        </is>
      </c>
      <c r="F27" s="6" t="n">
        <v>2</v>
      </c>
      <c r="G27" s="15" t="n">
        <v>0.0909</v>
      </c>
    </row>
    <row r="28"/>
    <row r="29" ht="18" customHeight="true">
      <c r="A29" s="3" t="inlineStr">
        <is>
          <t xml:space="preserve">ALL INSPECTIONS THIS MONTH</t>
        </is>
      </c>
    </row>
    <row r="30">
      <c r="A30" s="11" t="inlineStr">
        <is>
          <t xml:space="preserve">Harvest Date</t>
        </is>
      </c>
      <c r="B30" s="11" t="inlineStr">
        <is>
          <t xml:space="preserve">Slaughterhouse</t>
        </is>
      </c>
      <c r="C30" s="11" t="inlineStr">
        <is>
          <t xml:space="preserve">Tissue</t>
        </is>
      </c>
      <c r="D30" s="11" t="inlineStr">
        <is>
          <t xml:space="preserve">Part #</t>
        </is>
      </c>
      <c r="E30" s="11" t="inlineStr">
        <is>
          <t xml:space="preserve">Lot</t>
        </is>
      </c>
      <c r="F30" s="11" t="inlineStr">
        <is>
          <t xml:space="preserve"># Inspected</t>
        </is>
      </c>
      <c r="G30" s="11" t="inlineStr">
        <is>
          <t xml:space="preserve"># Pass</t>
        </is>
      </c>
      <c r="H30" s="11" t="inlineStr">
        <is>
          <t xml:space="preserve"># Fail</t>
        </is>
      </c>
      <c r="I30" s="11" t="inlineStr">
        <is>
          <t xml:space="preserve">FPY</t>
        </is>
      </c>
      <c r="J30" s="11" t="inlineStr">
        <is>
          <t xml:space="preserve">Scrap reason / notes</t>
        </is>
      </c>
    </row>
    <row r="31" ht="13.5" customHeight="true">
      <c r="A31" s="5" t="inlineStr">
        <is>
          <t xml:space="preserve">2026-06-01</t>
        </is>
      </c>
      <c r="B31" s="5" t="inlineStr">
        <is>
          <t xml:space="preserve">Martins</t>
        </is>
      </c>
      <c r="C31" s="5" t="inlineStr">
        <is>
          <t xml:space="preserve">Pelvic</t>
        </is>
      </c>
      <c r="D31" s="5" t="inlineStr">
        <is>
          <t xml:space="preserve">666506</t>
        </is>
      </c>
      <c r="E31" s="5" t="inlineStr">
        <is>
          <t xml:space="preserve">5502428782</t>
        </is>
      </c>
      <c r="F31" s="6" t="n">
        <v>7</v>
      </c>
      <c r="G31" s="6" t="n">
        <v>7</v>
      </c>
      <c r="H31" s="6" t="n">
        <v>0</v>
      </c>
      <c r="I31" s="15" t="n">
        <v>1.0</v>
      </c>
      <c r="J31" s="16" t="inlineStr">
        <is>
          <t xml:space="preserve"/>
        </is>
      </c>
    </row>
    <row r="32" ht="13.5" customHeight="true">
      <c r="A32" s="5" t="inlineStr">
        <is>
          <t xml:space="preserve">2026-06-01</t>
        </is>
      </c>
      <c r="B32" s="5" t="inlineStr">
        <is>
          <t xml:space="preserve">Martins</t>
        </is>
      </c>
      <c r="C32" s="5" t="inlineStr">
        <is>
          <t xml:space="preserve">Pelvic</t>
        </is>
      </c>
      <c r="D32" s="5" t="inlineStr">
        <is>
          <t xml:space="preserve">666541</t>
        </is>
      </c>
      <c r="E32" s="5" t="inlineStr">
        <is>
          <t xml:space="preserve">5502428786</t>
        </is>
      </c>
      <c r="F32" s="6" t="n">
        <v>9</v>
      </c>
      <c r="G32" s="6" t="n">
        <v>9</v>
      </c>
      <c r="H32" s="6" t="n">
        <v>0</v>
      </c>
      <c r="I32" s="15" t="n">
        <v>1.0</v>
      </c>
      <c r="J32" s="16" t="inlineStr">
        <is>
          <t xml:space="preserve"/>
        </is>
      </c>
    </row>
    <row r="33" ht="13.5" customHeight="true">
      <c r="A33" s="5" t="inlineStr">
        <is>
          <t xml:space="preserve">2026-06-02</t>
        </is>
      </c>
      <c r="B33" s="5" t="inlineStr">
        <is>
          <t xml:space="preserve">Parks</t>
        </is>
      </c>
      <c r="C33" s="5" t="inlineStr">
        <is>
          <t xml:space="preserve">Pelvic</t>
        </is>
      </c>
      <c r="D33" s="5" t="inlineStr">
        <is>
          <t xml:space="preserve">666518</t>
        </is>
      </c>
      <c r="E33" s="5" t="inlineStr">
        <is>
          <t xml:space="preserve">(no batch data)</t>
        </is>
      </c>
      <c r="F33" s="6" t="n">
        <v>7</v>
      </c>
      <c r="G33" s="6" t="n">
        <v>7</v>
      </c>
      <c r="H33" s="6" t="n">
        <v>0</v>
      </c>
      <c r="I33" s="15" t="n">
        <v>1.0</v>
      </c>
      <c r="J33" s="16" t="inlineStr">
        <is>
          <t xml:space="preserve"/>
        </is>
      </c>
    </row>
    <row r="34" ht="13.5" customHeight="true">
      <c r="A34" s="5" t="inlineStr">
        <is>
          <t xml:space="preserve">2026-06-03</t>
        </is>
      </c>
      <c r="B34" s="5" t="inlineStr">
        <is>
          <t xml:space="preserve">Martins</t>
        </is>
      </c>
      <c r="C34" s="5" t="inlineStr">
        <is>
          <t xml:space="preserve">Pelvic</t>
        </is>
      </c>
      <c r="D34" s="5" t="inlineStr">
        <is>
          <t xml:space="preserve">666506</t>
        </is>
      </c>
      <c r="E34" s="5" t="inlineStr">
        <is>
          <t xml:space="preserve">5502428782</t>
        </is>
      </c>
      <c r="F34" s="6" t="n">
        <v>29</v>
      </c>
      <c r="G34" s="6" t="n">
        <v>29</v>
      </c>
      <c r="H34" s="6" t="n">
        <v>0</v>
      </c>
      <c r="I34" s="15" t="n">
        <v>1.0</v>
      </c>
      <c r="J34" s="16" t="inlineStr">
        <is>
          <t xml:space="preserve"/>
        </is>
      </c>
    </row>
    <row r="35" ht="13.5" customHeight="true">
      <c r="A35" s="5" t="inlineStr">
        <is>
          <t xml:space="preserve">2026-06-03</t>
        </is>
      </c>
      <c r="B35" s="5" t="inlineStr">
        <is>
          <t xml:space="preserve">Martins</t>
        </is>
      </c>
      <c r="C35" s="5" t="inlineStr">
        <is>
          <t xml:space="preserve">Pelvic</t>
        </is>
      </c>
      <c r="D35" s="5" t="inlineStr">
        <is>
          <t xml:space="preserve">666541</t>
        </is>
      </c>
      <c r="E35" s="5" t="inlineStr">
        <is>
          <t xml:space="preserve">5502428786</t>
        </is>
      </c>
      <c r="F35" s="6" t="n">
        <v>45</v>
      </c>
      <c r="G35" s="6" t="n">
        <v>43</v>
      </c>
      <c r="H35" s="6" t="n">
        <v>2</v>
      </c>
      <c r="I35" s="15" t="n">
        <v>0.9556</v>
      </c>
      <c r="J35" s="16" t="inlineStr">
        <is>
          <t xml:space="preserve">2 scrapped urethra</t>
        </is>
      </c>
    </row>
    <row r="36" ht="13.5" customHeight="true">
      <c r="A36" s="5" t="inlineStr">
        <is>
          <t xml:space="preserve">2026-06-08</t>
        </is>
      </c>
      <c r="B36" s="5" t="inlineStr">
        <is>
          <t xml:space="preserve">Martins</t>
        </is>
      </c>
      <c r="C36" s="5" t="inlineStr">
        <is>
          <t xml:space="preserve">Pelvic</t>
        </is>
      </c>
      <c r="D36" s="5" t="inlineStr">
        <is>
          <t xml:space="preserve">666506</t>
        </is>
      </c>
      <c r="E36" s="5" t="inlineStr">
        <is>
          <t xml:space="preserve">5502428782</t>
        </is>
      </c>
      <c r="F36" s="6" t="n">
        <v>13</v>
      </c>
      <c r="G36" s="6" t="n">
        <v>12</v>
      </c>
      <c r="H36" s="6" t="n">
        <v>1</v>
      </c>
      <c r="I36" s="15" t="n">
        <v>0.9231</v>
      </c>
      <c r="J36" s="16" t="inlineStr">
        <is>
          <t xml:space="preserve">1 short block</t>
        </is>
      </c>
    </row>
    <row r="37" ht="13.5" customHeight="true">
      <c r="A37" s="5" t="inlineStr">
        <is>
          <t xml:space="preserve">2026-06-08</t>
        </is>
      </c>
      <c r="B37" s="5" t="inlineStr">
        <is>
          <t xml:space="preserve">Martins</t>
        </is>
      </c>
      <c r="C37" s="5" t="inlineStr">
        <is>
          <t xml:space="preserve">Pelvic</t>
        </is>
      </c>
      <c r="D37" s="5" t="inlineStr">
        <is>
          <t xml:space="preserve">666541</t>
        </is>
      </c>
      <c r="E37" s="5" t="inlineStr">
        <is>
          <t xml:space="preserve">5502428786</t>
        </is>
      </c>
      <c r="F37" s="6" t="n">
        <v>17</v>
      </c>
      <c r="G37" s="6" t="n">
        <v>16</v>
      </c>
      <c r="H37" s="6" t="n">
        <v>1</v>
      </c>
      <c r="I37" s="15" t="n">
        <v>0.9412</v>
      </c>
      <c r="J37" s="16" t="inlineStr">
        <is>
          <t xml:space="preserve">1 cut urethra</t>
        </is>
      </c>
    </row>
    <row r="38" ht="27.0" customHeight="true">
      <c r="A38" s="5" t="inlineStr">
        <is>
          <t xml:space="preserve">2026-06-15</t>
        </is>
      </c>
      <c r="B38" s="5" t="inlineStr">
        <is>
          <t xml:space="preserve">Martins</t>
        </is>
      </c>
      <c r="C38" s="5" t="inlineStr">
        <is>
          <t xml:space="preserve">Pelvic</t>
        </is>
      </c>
      <c r="D38" s="5" t="inlineStr">
        <is>
          <t xml:space="preserve">666541</t>
        </is>
      </c>
      <c r="E38" s="5" t="inlineStr">
        <is>
          <t xml:space="preserve">5502462845</t>
        </is>
      </c>
      <c r="F38" s="6" t="n">
        <v>31</v>
      </c>
      <c r="G38" s="6" t="n">
        <v>30</v>
      </c>
      <c r="H38" s="6" t="n">
        <v>1</v>
      </c>
      <c r="I38" s="15" t="n">
        <v>0.9677</v>
      </c>
      <c r="J38" s="16" t="inlineStr">
        <is>
          <t xml:space="preserve">1 damaged bowel (source had two intact tally lines: 13/12/1 + 18/18/0, combined here)</t>
        </is>
      </c>
    </row>
    <row r="39" ht="27.0" customHeight="true">
      <c r="A39" s="5" t="inlineStr">
        <is>
          <t xml:space="preserve">2026-06-16</t>
        </is>
      </c>
      <c r="B39" s="5" t="inlineStr">
        <is>
          <t xml:space="preserve">Parks</t>
        </is>
      </c>
      <c r="C39" s="5" t="inlineStr">
        <is>
          <t xml:space="preserve">Pelvic</t>
        </is>
      </c>
      <c r="D39" s="5" t="inlineStr">
        <is>
          <t xml:space="preserve">666518</t>
        </is>
      </c>
      <c r="E39" s="5" t="inlineStr">
        <is>
          <t xml:space="preserve">(no batch data)</t>
        </is>
      </c>
      <c r="F39" s="6" t="n">
        <v>16</v>
      </c>
      <c r="G39" s="6" t="n">
        <v>14</v>
      </c>
      <c r="H39" s="6" t="n">
        <v>2</v>
      </c>
      <c r="I39" s="15" t="n">
        <v>0.875</v>
      </c>
      <c r="J39" s="16" t="inlineStr">
        <is>
          <t xml:space="preserve">1 bladder hole; 1 ureter damage (many blocks failed upstream from miscuts during removal — see notes)</t>
        </is>
      </c>
    </row>
    <row r="40" ht="13.5" customHeight="true">
      <c r="A40" s="5" t="inlineStr">
        <is>
          <t xml:space="preserve">2026-06-22</t>
        </is>
      </c>
      <c r="B40" s="5" t="inlineStr">
        <is>
          <t xml:space="preserve">Parks</t>
        </is>
      </c>
      <c r="C40" s="5" t="inlineStr">
        <is>
          <t xml:space="preserve">Pelvic</t>
        </is>
      </c>
      <c r="D40" s="5" t="inlineStr">
        <is>
          <t xml:space="preserve">666518</t>
        </is>
      </c>
      <c r="E40" s="5" t="inlineStr">
        <is>
          <t xml:space="preserve">(no batch data)</t>
        </is>
      </c>
      <c r="F40" s="6" t="n">
        <v>36</v>
      </c>
      <c r="G40" s="6" t="n">
        <v>31</v>
      </c>
      <c r="H40" s="6" t="n">
        <v>5</v>
      </c>
      <c r="I40" s="15" t="n">
        <v>0.8611</v>
      </c>
      <c r="J40" s="16" t="inlineStr">
        <is>
          <t xml:space="preserve">1 bladder hole; 2 critical-area lacerations; 2 short blocks</t>
        </is>
      </c>
    </row>
    <row r="41" ht="13.5" customHeight="true">
      <c r="A41" s="5" t="inlineStr">
        <is>
          <t xml:space="preserve">2026-06-24</t>
        </is>
      </c>
      <c r="B41" s="5" t="inlineStr">
        <is>
          <t xml:space="preserve">Martins</t>
        </is>
      </c>
      <c r="C41" s="5" t="inlineStr">
        <is>
          <t xml:space="preserve">Pelvic</t>
        </is>
      </c>
      <c r="D41" s="5" t="inlineStr">
        <is>
          <t xml:space="preserve">666541</t>
        </is>
      </c>
      <c r="E41" s="5" t="inlineStr">
        <is>
          <t xml:space="preserve">5502462845</t>
        </is>
      </c>
      <c r="F41" s="6" t="n">
        <v>34</v>
      </c>
      <c r="G41" s="6" t="n">
        <v>30</v>
      </c>
      <c r="H41" s="6" t="n">
        <v>4</v>
      </c>
      <c r="I41" s="15" t="n">
        <v>0.8824</v>
      </c>
      <c r="J41" s="16" t="inlineStr">
        <is>
          <t xml:space="preserve">1 damaged bladder; 3 damaged membrane</t>
        </is>
      </c>
    </row>
    <row r="42" ht="13.5" customHeight="true">
      <c r="A42" s="5" t="inlineStr">
        <is>
          <t xml:space="preserve">2026-06-25</t>
        </is>
      </c>
      <c r="B42" s="5" t="inlineStr">
        <is>
          <t xml:space="preserve">Parks</t>
        </is>
      </c>
      <c r="C42" s="5" t="inlineStr">
        <is>
          <t xml:space="preserve">Pelvic</t>
        </is>
      </c>
      <c r="D42" s="5" t="inlineStr">
        <is>
          <t xml:space="preserve">666518</t>
        </is>
      </c>
      <c r="E42" s="5" t="inlineStr">
        <is>
          <t xml:space="preserve">(no batch data)</t>
        </is>
      </c>
      <c r="F42" s="6" t="n">
        <v>19</v>
      </c>
      <c r="G42" s="6" t="n">
        <v>16</v>
      </c>
      <c r="H42" s="6" t="n">
        <v>3</v>
      </c>
      <c r="I42" s="15" t="n">
        <v>0.8421</v>
      </c>
      <c r="J42" s="16" t="inlineStr">
        <is>
          <t xml:space="preserve">1 bladder hole; 1 ureter laceration; 1 short block</t>
        </is>
      </c>
    </row>
    <row r="43" ht="13.5" customHeight="true">
      <c r="A43" s="5" t="inlineStr">
        <is>
          <t xml:space="preserve">2026-06-29</t>
        </is>
      </c>
      <c r="B43" s="5" t="inlineStr">
        <is>
          <t xml:space="preserve">Martins</t>
        </is>
      </c>
      <c r="C43" s="5" t="inlineStr">
        <is>
          <t xml:space="preserve">Pelvic</t>
        </is>
      </c>
      <c r="D43" s="5" t="inlineStr">
        <is>
          <t xml:space="preserve">666506</t>
        </is>
      </c>
      <c r="E43" s="5" t="inlineStr">
        <is>
          <t xml:space="preserve">5502471457</t>
        </is>
      </c>
      <c r="F43" s="6" t="n">
        <v>4</v>
      </c>
      <c r="G43" s="6" t="n">
        <v>4</v>
      </c>
      <c r="H43" s="6" t="n">
        <v>0</v>
      </c>
      <c r="I43" s="15" t="n">
        <v>1.0</v>
      </c>
      <c r="J43" s="16" t="inlineStr">
        <is>
          <t xml:space="preserve"/>
        </is>
      </c>
    </row>
    <row r="44" ht="40.0" customHeight="true">
      <c r="A44" s="5" t="inlineStr">
        <is>
          <t xml:space="preserve">2026-06-29</t>
        </is>
      </c>
      <c r="B44" s="5" t="inlineStr">
        <is>
          <t xml:space="preserve">Parks</t>
        </is>
      </c>
      <c r="C44" s="5" t="inlineStr">
        <is>
          <t xml:space="preserve">Pelvic</t>
        </is>
      </c>
      <c r="D44" s="5" t="inlineStr">
        <is>
          <t xml:space="preserve">666518</t>
        </is>
      </c>
      <c r="E44" s="5" t="inlineStr">
        <is>
          <t xml:space="preserve">(no batch data)</t>
        </is>
      </c>
      <c r="F44" s="6" t="n">
        <v>50</v>
      </c>
      <c r="G44" s="6" t="n">
        <v>38</v>
      </c>
      <c r="H44" s="6" t="n">
        <v>12</v>
      </c>
      <c r="I44" s="15" t="n">
        <v>0.76</v>
      </c>
      <c r="J44" s="16" t="inlineStr">
        <is>
          <t xml:space="preserve">2 damaged during bowel cleaning (bowel blockage burst); 2 short blocks; 1 critical-area laceration; 7 urethra/bladder lacerations (cuts near template edge)</t>
        </is>
      </c>
    </row>
    <row r="45" ht="13.5" customHeight="true">
      <c r="A45" s="5" t="inlineStr">
        <is>
          <t xml:space="preserve">2026-06-29</t>
        </is>
      </c>
      <c r="B45" s="5" t="inlineStr">
        <is>
          <t xml:space="preserve">Martins</t>
        </is>
      </c>
      <c r="C45" s="5" t="inlineStr">
        <is>
          <t xml:space="preserve">Pelvic</t>
        </is>
      </c>
      <c r="D45" s="5" t="inlineStr">
        <is>
          <t xml:space="preserve">666541</t>
        </is>
      </c>
      <c r="E45" s="5" t="inlineStr">
        <is>
          <t xml:space="preserve">5502471460</t>
        </is>
      </c>
      <c r="F45" s="6" t="n">
        <v>16</v>
      </c>
      <c r="G45" s="6" t="n">
        <v>16</v>
      </c>
      <c r="H45" s="6" t="n">
        <v>0</v>
      </c>
      <c r="I45" s="15" t="n">
        <v>1.0</v>
      </c>
      <c r="J45" s="16" t="inlineStr">
        <is>
          <t xml:space="preserve"/>
        </is>
      </c>
    </row>
  </sheetData>
  <mergeCells count="24">
    <mergeCell ref="A1:J1"/>
    <mergeCell ref="A2:J2"/>
    <mergeCell ref="A4:J4"/>
    <mergeCell ref="G5:J5"/>
    <mergeCell ref="G6:J6"/>
    <mergeCell ref="G7:J7"/>
    <mergeCell ref="G8:J8"/>
    <mergeCell ref="A10:J10"/>
    <mergeCell ref="A11:J11"/>
    <mergeCell ref="B12:E12"/>
    <mergeCell ref="B13:E13"/>
    <mergeCell ref="B14:E14"/>
    <mergeCell ref="B15:E15"/>
    <mergeCell ref="A17:J17"/>
    <mergeCell ref="B18:E18"/>
    <mergeCell ref="B19:E19"/>
    <mergeCell ref="A21:J21"/>
    <mergeCell ref="B22:E22"/>
    <mergeCell ref="B23:E23"/>
    <mergeCell ref="B24:E24"/>
    <mergeCell ref="B25:E25"/>
    <mergeCell ref="B26:E26"/>
    <mergeCell ref="B27:E27"/>
    <mergeCell ref="A29:J29"/>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19.xml><?xml version="1.0" encoding="utf-8"?>
<worksheet xmlns="http://schemas.openxmlformats.org/spreadsheetml/2006/main" xmlns:r="http://schemas.openxmlformats.org/officeDocument/2006/relationships">
  <dimension ref="A1:J51"/>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true">
      <c r="A1" s="1" t="inlineStr">
        <is>
          <t xml:space="preserve">JULY 2026 — SH IQC Inspections</t>
        </is>
      </c>
    </row>
    <row r="2" ht="44" customHeight="true">
      <c r="A2" s="2" t="inlineStr">
        <is>
          <t xml:space="preserve">14 part-inspections across 7 harvest days at Martins, Nahunta, Parks. Month totals: 373 inspected / 339 pass / 34 fail — first-pass yield 90.9%. Snapshot from the Inspection Log; defect ranking uses the standard categories (see Monthly Breakdown notes).</t>
        </is>
      </c>
    </row>
    <row r="3"/>
    <row r="4" ht="18" customHeight="true">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161</v>
      </c>
      <c r="D6" s="6" t="n">
        <v>155</v>
      </c>
      <c r="E6" s="6" t="n">
        <v>6</v>
      </c>
      <c r="F6" s="15" t="n">
        <v>0.9627</v>
      </c>
      <c r="G6" s="16" t="inlineStr">
        <is>
          <t xml:space="preserve">Urethra / bladder damage (3)</t>
        </is>
      </c>
    </row>
    <row r="7">
      <c r="A7" s="5" t="inlineStr">
        <is>
          <t xml:space="preserve">Pelvic @ Martins</t>
        </is>
      </c>
      <c r="B7" s="5" t="inlineStr">
        <is>
          <t xml:space="preserve">666506</t>
        </is>
      </c>
      <c r="C7" s="6" t="n">
        <v>79</v>
      </c>
      <c r="D7" s="6" t="n">
        <v>77</v>
      </c>
      <c r="E7" s="6" t="n">
        <v>2</v>
      </c>
      <c r="F7" s="15" t="n">
        <v>0.9747</v>
      </c>
      <c r="G7" s="16" t="inlineStr">
        <is>
          <t xml:space="preserve">Membrane damage (2)</t>
        </is>
      </c>
    </row>
    <row r="8">
      <c r="A8" s="5" t="inlineStr">
        <is>
          <t xml:space="preserve">Pelvic @ Parks</t>
        </is>
      </c>
      <c r="B8" s="5" t="inlineStr">
        <is>
          <t xml:space="preserve">666518</t>
        </is>
      </c>
      <c r="C8" s="6" t="n">
        <v>113</v>
      </c>
      <c r="D8" s="6" t="n">
        <v>100</v>
      </c>
      <c r="E8" s="6" t="n">
        <v>13</v>
      </c>
      <c r="F8" s="15" t="n">
        <v>0.885</v>
      </c>
      <c r="G8" s="16" t="inlineStr">
        <is>
          <t xml:space="preserve">Short block / mesentery length (6)</t>
        </is>
      </c>
    </row>
    <row r="9">
      <c r="A9" s="5" t="inlineStr">
        <is>
          <t xml:space="preserve">Pelvic @ Nahunta</t>
        </is>
      </c>
      <c r="B9" s="5" t="inlineStr">
        <is>
          <t xml:space="preserve">666541</t>
        </is>
      </c>
      <c r="C9" s="6" t="n">
        <v>1</v>
      </c>
      <c r="D9" s="6" t="n">
        <v>1</v>
      </c>
      <c r="E9" s="6" t="n">
        <v>0</v>
      </c>
      <c r="F9" s="15" t="n">
        <v>1.0</v>
      </c>
      <c r="G9" s="16" t="inlineStr">
        <is>
          <t xml:space="preserve">—</t>
        </is>
      </c>
    </row>
    <row r="10">
      <c r="A10" s="5" t="inlineStr">
        <is>
          <t xml:space="preserve">Thoracic @ Nahunta</t>
        </is>
      </c>
      <c r="B10" s="5" t="inlineStr">
        <is>
          <t xml:space="preserve">666521</t>
        </is>
      </c>
      <c r="C10" s="6" t="n">
        <v>19</v>
      </c>
      <c r="D10" s="6" t="n">
        <v>6</v>
      </c>
      <c r="E10" s="6" t="n">
        <v>13</v>
      </c>
      <c r="F10" s="15" t="n">
        <v>0.3158</v>
      </c>
      <c r="G10" s="16" t="inlineStr">
        <is>
          <t xml:space="preserve">Lung laceration (11)</t>
        </is>
      </c>
    </row>
    <row r="11"/>
    <row r="12" ht="18" customHeight="true">
      <c r="A12" s="3" t="inlineStr">
        <is>
          <t xml:space="preserve">MOST RECURRING DEFECTS — BY TISSUE × SLAUGHTERHOUSE</t>
        </is>
      </c>
    </row>
    <row r="13" ht="16" customHeight="true">
      <c r="A13" s="19" t="inlineStr">
        <is>
          <t xml:space="preserve">Pelvic @ Martins · 666541 — 6 fails of 161 inspected</t>
        </is>
      </c>
    </row>
    <row r="14">
      <c r="A14" s="11" t="inlineStr">
        <is>
          <t xml:space="preserve">Rank</t>
        </is>
      </c>
      <c r="B14" s="11" t="inlineStr">
        <is>
          <t xml:space="preserve">Defect category</t>
        </is>
      </c>
      <c r="F14" s="11" t="inlineStr">
        <is>
          <t xml:space="preserve">Count</t>
        </is>
      </c>
      <c r="G14" s="11" t="inlineStr">
        <is>
          <t xml:space="preserve">% of fails</t>
        </is>
      </c>
    </row>
    <row r="15">
      <c r="A15" s="6" t="n">
        <v>1</v>
      </c>
      <c r="B15" s="5" t="inlineStr">
        <is>
          <t xml:space="preserve">Urethra / bladder damage</t>
        </is>
      </c>
      <c r="F15" s="6" t="n">
        <v>3</v>
      </c>
      <c r="G15" s="15" t="n">
        <v>0.5</v>
      </c>
    </row>
    <row r="16">
      <c r="A16" s="6" t="n">
        <v>2</v>
      </c>
      <c r="B16" s="5" t="inlineStr">
        <is>
          <t xml:space="preserve">Membrane damage</t>
        </is>
      </c>
      <c r="F16" s="6" t="n">
        <v>2</v>
      </c>
      <c r="G16" s="15" t="n">
        <v>0.3333</v>
      </c>
    </row>
    <row r="17">
      <c r="A17" s="6" t="n">
        <v>3</v>
      </c>
      <c r="B17" s="5" t="inlineStr">
        <is>
          <t xml:space="preserve">Other / unspecified</t>
        </is>
      </c>
      <c r="F17" s="6" t="n">
        <v>1</v>
      </c>
      <c r="G17" s="15" t="n">
        <v>0.1667</v>
      </c>
    </row>
    <row r="18"/>
    <row r="19" ht="16" customHeight="true">
      <c r="A19" s="19" t="inlineStr">
        <is>
          <t xml:space="preserve">Pelvic @ Martins · 666506 — 2 fails of 79 inspected</t>
        </is>
      </c>
    </row>
    <row r="20">
      <c r="A20" s="11" t="inlineStr">
        <is>
          <t xml:space="preserve">Rank</t>
        </is>
      </c>
      <c r="B20" s="11" t="inlineStr">
        <is>
          <t xml:space="preserve">Defect category</t>
        </is>
      </c>
      <c r="F20" s="11" t="inlineStr">
        <is>
          <t xml:space="preserve">Count</t>
        </is>
      </c>
      <c r="G20" s="11" t="inlineStr">
        <is>
          <t xml:space="preserve">% of fails</t>
        </is>
      </c>
    </row>
    <row r="21">
      <c r="A21" s="6" t="n">
        <v>1</v>
      </c>
      <c r="B21" s="5" t="inlineStr">
        <is>
          <t xml:space="preserve">Membrane damage</t>
        </is>
      </c>
      <c r="F21" s="6" t="n">
        <v>2</v>
      </c>
      <c r="G21" s="15" t="n">
        <v>1.0</v>
      </c>
    </row>
    <row r="22"/>
    <row r="23" ht="16" customHeight="true">
      <c r="A23" s="19" t="inlineStr">
        <is>
          <t xml:space="preserve">Pelvic @ Parks · 666518 — 13 fails of 113 inspected</t>
        </is>
      </c>
    </row>
    <row r="24">
      <c r="A24" s="11" t="inlineStr">
        <is>
          <t xml:space="preserve">Rank</t>
        </is>
      </c>
      <c r="B24" s="11" t="inlineStr">
        <is>
          <t xml:space="preserve">Defect category</t>
        </is>
      </c>
      <c r="F24" s="11" t="inlineStr">
        <is>
          <t xml:space="preserve">Count</t>
        </is>
      </c>
      <c r="G24" s="11" t="inlineStr">
        <is>
          <t xml:space="preserve">% of fails</t>
        </is>
      </c>
    </row>
    <row r="25">
      <c r="A25" s="6" t="n">
        <v>1</v>
      </c>
      <c r="B25" s="5" t="inlineStr">
        <is>
          <t xml:space="preserve">Short block / mesentery length</t>
        </is>
      </c>
      <c r="F25" s="6" t="n">
        <v>6</v>
      </c>
      <c r="G25" s="15" t="n">
        <v>0.4615</v>
      </c>
    </row>
    <row r="26">
      <c r="A26" s="6" t="n">
        <v>2</v>
      </c>
      <c r="B26" s="5" t="inlineStr">
        <is>
          <t xml:space="preserve">Bowel damage / separation</t>
        </is>
      </c>
      <c r="F26" s="6" t="n">
        <v>3</v>
      </c>
      <c r="G26" s="15" t="n">
        <v>0.2308</v>
      </c>
    </row>
    <row r="27">
      <c r="A27" s="6" t="n">
        <v>3</v>
      </c>
      <c r="B27" s="5" t="inlineStr">
        <is>
          <t xml:space="preserve">Critical-area laceration</t>
        </is>
      </c>
      <c r="F27" s="6" t="n">
        <v>3</v>
      </c>
      <c r="G27" s="15" t="n">
        <v>0.2308</v>
      </c>
    </row>
    <row r="28">
      <c r="A28" s="6" t="n">
        <v>4</v>
      </c>
      <c r="B28" s="5" t="inlineStr">
        <is>
          <t xml:space="preserve">Ureter damage</t>
        </is>
      </c>
      <c r="F28" s="6" t="n">
        <v>1</v>
      </c>
      <c r="G28" s="15" t="n">
        <v>0.0769</v>
      </c>
    </row>
    <row r="29"/>
    <row r="30" ht="16" customHeight="true">
      <c r="A30" s="19" t="inlineStr">
        <is>
          <t xml:space="preserve">Pelvic @ Nahunta · 666541 — no fails this month (1 inspected, 100% FPY)</t>
        </is>
      </c>
    </row>
    <row r="31" ht="16" customHeight="true">
      <c r="A31" s="19" t="inlineStr">
        <is>
          <t xml:space="preserve">Thoracic @ Nahunta · 666521 — 13 fails of 19 inspected</t>
        </is>
      </c>
    </row>
    <row r="32">
      <c r="A32" s="11" t="inlineStr">
        <is>
          <t xml:space="preserve">Rank</t>
        </is>
      </c>
      <c r="B32" s="11" t="inlineStr">
        <is>
          <t xml:space="preserve">Defect category</t>
        </is>
      </c>
      <c r="F32" s="11" t="inlineStr">
        <is>
          <t xml:space="preserve">Count</t>
        </is>
      </c>
      <c r="G32" s="11" t="inlineStr">
        <is>
          <t xml:space="preserve">% of fails</t>
        </is>
      </c>
    </row>
    <row r="33">
      <c r="A33" s="6" t="n">
        <v>1</v>
      </c>
      <c r="B33" s="5" t="inlineStr">
        <is>
          <t xml:space="preserve">Lung laceration</t>
        </is>
      </c>
      <c r="F33" s="6" t="n">
        <v>11</v>
      </c>
      <c r="G33" s="15" t="n">
        <v>0.8462</v>
      </c>
    </row>
    <row r="34">
      <c r="A34" s="6" t="n">
        <v>2</v>
      </c>
      <c r="B34" s="5" t="inlineStr">
        <is>
          <t xml:space="preserve">Heart damage</t>
        </is>
      </c>
      <c r="F34" s="6" t="n">
        <v>2</v>
      </c>
      <c r="G34" s="15" t="n">
        <v>0.1538</v>
      </c>
    </row>
    <row r="35"/>
    <row r="36" ht="18" customHeight="true">
      <c r="A36" s="3" t="inlineStr">
        <is>
          <t xml:space="preserve">ALL INSPECTIONS THIS MONTH</t>
        </is>
      </c>
    </row>
    <row r="37">
      <c r="A37" s="11" t="inlineStr">
        <is>
          <t xml:space="preserve">Harvest Date</t>
        </is>
      </c>
      <c r="B37" s="11" t="inlineStr">
        <is>
          <t xml:space="preserve">Slaughterhouse</t>
        </is>
      </c>
      <c r="C37" s="11" t="inlineStr">
        <is>
          <t xml:space="preserve">Tissue</t>
        </is>
      </c>
      <c r="D37" s="11" t="inlineStr">
        <is>
          <t xml:space="preserve">Part #</t>
        </is>
      </c>
      <c r="E37" s="11" t="inlineStr">
        <is>
          <t xml:space="preserve">Lot</t>
        </is>
      </c>
      <c r="F37" s="11" t="inlineStr">
        <is>
          <t xml:space="preserve"># Inspected</t>
        </is>
      </c>
      <c r="G37" s="11" t="inlineStr">
        <is>
          <t xml:space="preserve"># Pass</t>
        </is>
      </c>
      <c r="H37" s="11" t="inlineStr">
        <is>
          <t xml:space="preserve"># Fail</t>
        </is>
      </c>
      <c r="I37" s="11" t="inlineStr">
        <is>
          <t xml:space="preserve">FPY</t>
        </is>
      </c>
      <c r="J37" s="11" t="inlineStr">
        <is>
          <t xml:space="preserve">Scrap reason / notes</t>
        </is>
      </c>
    </row>
    <row r="38" ht="13.5" customHeight="true">
      <c r="A38" s="5" t="inlineStr">
        <is>
          <t xml:space="preserve">2026-07-06</t>
        </is>
      </c>
      <c r="B38" s="5" t="inlineStr">
        <is>
          <t xml:space="preserve">Martins</t>
        </is>
      </c>
      <c r="C38" s="5" t="inlineStr">
        <is>
          <t xml:space="preserve">Pelvic</t>
        </is>
      </c>
      <c r="D38" s="5" t="inlineStr">
        <is>
          <t xml:space="preserve">666506</t>
        </is>
      </c>
      <c r="E38" s="5" t="inlineStr">
        <is>
          <t xml:space="preserve">5502471457</t>
        </is>
      </c>
      <c r="F38" s="6" t="n">
        <v>10</v>
      </c>
      <c r="G38" s="6" t="n">
        <v>9</v>
      </c>
      <c r="H38" s="6" t="n">
        <v>1</v>
      </c>
      <c r="I38" s="15" t="n">
        <v>0.9</v>
      </c>
      <c r="J38" s="16" t="inlineStr">
        <is>
          <t xml:space="preserve">1 membrane damage larger than 1.5"</t>
        </is>
      </c>
    </row>
    <row r="39" ht="13.5" customHeight="true">
      <c r="A39" s="5" t="inlineStr">
        <is>
          <t xml:space="preserve">2026-07-06</t>
        </is>
      </c>
      <c r="B39" s="5" t="inlineStr">
        <is>
          <t xml:space="preserve">Martins</t>
        </is>
      </c>
      <c r="C39" s="5" t="inlineStr">
        <is>
          <t xml:space="preserve">Pelvic</t>
        </is>
      </c>
      <c r="D39" s="5" t="inlineStr">
        <is>
          <t xml:space="preserve">666541</t>
        </is>
      </c>
      <c r="E39" s="5" t="inlineStr">
        <is>
          <t xml:space="preserve">5502471460</t>
        </is>
      </c>
      <c r="F39" s="6" t="n">
        <v>12</v>
      </c>
      <c r="G39" s="6" t="n">
        <v>11</v>
      </c>
      <c r="H39" s="6" t="n">
        <v>1</v>
      </c>
      <c r="I39" s="15" t="n">
        <v>0.9167</v>
      </c>
      <c r="J39" s="16" t="inlineStr">
        <is>
          <t xml:space="preserve">1 damaged urethra</t>
        </is>
      </c>
    </row>
    <row r="40" ht="13.5" customHeight="true">
      <c r="A40" s="5" t="inlineStr">
        <is>
          <t xml:space="preserve">2026-07-13</t>
        </is>
      </c>
      <c r="B40" s="5" t="inlineStr">
        <is>
          <t xml:space="preserve">Martins</t>
        </is>
      </c>
      <c r="C40" s="5" t="inlineStr">
        <is>
          <t xml:space="preserve">Pelvic</t>
        </is>
      </c>
      <c r="D40" s="5" t="inlineStr">
        <is>
          <t xml:space="preserve">666506</t>
        </is>
      </c>
      <c r="E40" s="5" t="inlineStr">
        <is>
          <t xml:space="preserve">5502495104</t>
        </is>
      </c>
      <c r="F40" s="6" t="n">
        <v>14</v>
      </c>
      <c r="G40" s="6" t="n">
        <v>14</v>
      </c>
      <c r="H40" s="6" t="n">
        <v>0</v>
      </c>
      <c r="I40" s="15" t="n">
        <v>1.0</v>
      </c>
      <c r="J40" s="16" t="inlineStr">
        <is>
          <t xml:space="preserve"/>
        </is>
      </c>
    </row>
    <row r="41" ht="27.0" customHeight="true">
      <c r="A41" s="5" t="inlineStr">
        <is>
          <t xml:space="preserve">2026-07-13</t>
        </is>
      </c>
      <c r="B41" s="5" t="inlineStr">
        <is>
          <t xml:space="preserve">Parks</t>
        </is>
      </c>
      <c r="C41" s="5" t="inlineStr">
        <is>
          <t xml:space="preserve">Pelvic</t>
        </is>
      </c>
      <c r="D41" s="5" t="inlineStr">
        <is>
          <t xml:space="preserve">666518</t>
        </is>
      </c>
      <c r="E41" s="5" t="inlineStr">
        <is>
          <t xml:space="preserve">(no batch data)</t>
        </is>
      </c>
      <c r="F41" s="6" t="n">
        <v>34</v>
      </c>
      <c r="G41" s="6" t="n">
        <v>29</v>
      </c>
      <c r="H41" s="6" t="n">
        <v>5</v>
      </c>
      <c r="I41" s="15" t="n">
        <v>0.8529</v>
      </c>
      <c r="J41" s="16" t="inlineStr">
        <is>
          <t xml:space="preserve">2 damaged during bowel cleaning (bowel blockage burst); 3 short blocks (smaller pigs)</t>
        </is>
      </c>
    </row>
    <row r="42" ht="13.5" customHeight="true">
      <c r="A42" s="5" t="inlineStr">
        <is>
          <t xml:space="preserve">2026-07-13</t>
        </is>
      </c>
      <c r="B42" s="5" t="inlineStr">
        <is>
          <t xml:space="preserve">Martins</t>
        </is>
      </c>
      <c r="C42" s="5" t="inlineStr">
        <is>
          <t xml:space="preserve">Pelvic</t>
        </is>
      </c>
      <c r="D42" s="5" t="inlineStr">
        <is>
          <t xml:space="preserve">666541</t>
        </is>
      </c>
      <c r="E42" s="5" t="inlineStr">
        <is>
          <t xml:space="preserve">5502495107</t>
        </is>
      </c>
      <c r="F42" s="6" t="n">
        <v>38</v>
      </c>
      <c r="G42" s="6" t="n">
        <v>36</v>
      </c>
      <c r="H42" s="6" t="n">
        <v>2</v>
      </c>
      <c r="I42" s="15" t="n">
        <v>0.9474</v>
      </c>
      <c r="J42" s="16" t="inlineStr">
        <is>
          <t xml:space="preserve">1 damaged membrane; 1 damaged bladder</t>
        </is>
      </c>
    </row>
    <row r="43" ht="27.0" customHeight="true">
      <c r="A43" s="5" t="inlineStr">
        <is>
          <t xml:space="preserve">2026-07-16</t>
        </is>
      </c>
      <c r="B43" s="5" t="inlineStr">
        <is>
          <t xml:space="preserve">Parks</t>
        </is>
      </c>
      <c r="C43" s="5" t="inlineStr">
        <is>
          <t xml:space="preserve">Pelvic</t>
        </is>
      </c>
      <c r="D43" s="5" t="inlineStr">
        <is>
          <t xml:space="preserve">666518</t>
        </is>
      </c>
      <c r="E43" s="5" t="inlineStr">
        <is>
          <t xml:space="preserve">(no batch data)</t>
        </is>
      </c>
      <c r="F43" s="6" t="n">
        <v>24</v>
      </c>
      <c r="G43" s="6" t="n">
        <v>20</v>
      </c>
      <c r="H43" s="6" t="n">
        <v>4</v>
      </c>
      <c r="I43" s="15" t="n">
        <v>0.8333</v>
      </c>
      <c r="J43" s="16" t="inlineStr">
        <is>
          <t xml:space="preserve">2 short (bowel snapped before cut to length); 2 holes in mesentery critical area</t>
        </is>
      </c>
    </row>
    <row r="44" ht="13.5" customHeight="true">
      <c r="A44" s="5" t="inlineStr">
        <is>
          <t xml:space="preserve">2026-07-20</t>
        </is>
      </c>
      <c r="B44" s="5" t="inlineStr">
        <is>
          <t xml:space="preserve">Martins</t>
        </is>
      </c>
      <c r="C44" s="5" t="inlineStr">
        <is>
          <t xml:space="preserve">Pelvic</t>
        </is>
      </c>
      <c r="D44" s="5" t="inlineStr">
        <is>
          <t xml:space="preserve">666506</t>
        </is>
      </c>
      <c r="E44" s="5" t="inlineStr">
        <is>
          <t xml:space="preserve">5502495104</t>
        </is>
      </c>
      <c r="F44" s="6" t="n">
        <v>30</v>
      </c>
      <c r="G44" s="6" t="n">
        <v>29</v>
      </c>
      <c r="H44" s="6" t="n">
        <v>1</v>
      </c>
      <c r="I44" s="15" t="n">
        <v>0.9667</v>
      </c>
      <c r="J44" s="16" t="inlineStr">
        <is>
          <t xml:space="preserve">1 large membrane damage</t>
        </is>
      </c>
    </row>
    <row r="45" ht="40.0" customHeight="true">
      <c r="A45" s="5" t="inlineStr">
        <is>
          <t xml:space="preserve">2026-07-20</t>
        </is>
      </c>
      <c r="B45" s="5" t="inlineStr">
        <is>
          <t xml:space="preserve">Martins</t>
        </is>
      </c>
      <c r="C45" s="5" t="inlineStr">
        <is>
          <t xml:space="preserve">Pelvic</t>
        </is>
      </c>
      <c r="D45" s="5" t="inlineStr">
        <is>
          <t xml:space="preserve">666541</t>
        </is>
      </c>
      <c r="E45" s="5" t="inlineStr">
        <is>
          <t xml:space="preserve">5502495107</t>
        </is>
      </c>
      <c r="F45" s="6" t="n">
        <v>65</v>
      </c>
      <c r="G45" s="6" t="n">
        <v>63</v>
      </c>
      <c r="H45" s="6" t="n">
        <v>2</v>
      </c>
      <c r="I45" s="15" t="n">
        <v>0.9692</v>
      </c>
      <c r="J45" s="16" t="inlineStr">
        <is>
          <t xml:space="preserve">1 deformed bladder documented; source #Fail cell read 1, but 65 inspected − 63 pass = 2 → 1 reject undocumented (confirm)</t>
        </is>
      </c>
    </row>
    <row r="46" ht="13.5" customHeight="true">
      <c r="A46" s="5" t="inlineStr">
        <is>
          <t xml:space="preserve">2026-07-27</t>
        </is>
      </c>
      <c r="B46" s="5" t="inlineStr">
        <is>
          <t xml:space="preserve">Martins</t>
        </is>
      </c>
      <c r="C46" s="5" t="inlineStr">
        <is>
          <t xml:space="preserve">Pelvic</t>
        </is>
      </c>
      <c r="D46" s="5" t="inlineStr">
        <is>
          <t xml:space="preserve">666506</t>
        </is>
      </c>
      <c r="E46" s="5" t="inlineStr">
        <is>
          <t xml:space="preserve">5502512225</t>
        </is>
      </c>
      <c r="F46" s="6" t="n">
        <v>25</v>
      </c>
      <c r="G46" s="6" t="n">
        <v>25</v>
      </c>
      <c r="H46" s="6" t="n">
        <v>0</v>
      </c>
      <c r="I46" s="15" t="n">
        <v>1.0</v>
      </c>
      <c r="J46" s="16" t="inlineStr">
        <is>
          <t xml:space="preserve"/>
        </is>
      </c>
    </row>
    <row r="47" ht="27.0" customHeight="true">
      <c r="A47" s="5" t="inlineStr">
        <is>
          <t xml:space="preserve">2026-07-27</t>
        </is>
      </c>
      <c r="B47" s="5" t="inlineStr">
        <is>
          <t xml:space="preserve">Parks</t>
        </is>
      </c>
      <c r="C47" s="5" t="inlineStr">
        <is>
          <t xml:space="preserve">Pelvic</t>
        </is>
      </c>
      <c r="D47" s="5" t="inlineStr">
        <is>
          <t xml:space="preserve">666518</t>
        </is>
      </c>
      <c r="E47" s="5" t="inlineStr">
        <is>
          <t xml:space="preserve">(no batch data)</t>
        </is>
      </c>
      <c r="F47" s="6" t="n">
        <v>45</v>
      </c>
      <c r="G47" s="6" t="n">
        <v>42</v>
      </c>
      <c r="H47" s="6" t="n">
        <v>3</v>
      </c>
      <c r="I47" s="15" t="n">
        <v>0.9333</v>
      </c>
      <c r="J47" s="16" t="inlineStr">
        <is>
          <t xml:space="preserve">1 ureter damage; 1 mesentery hole in critical area &gt;0.5"; 1 bowel-colon separation past critical area</t>
        </is>
      </c>
    </row>
    <row r="48" ht="13.5" customHeight="true">
      <c r="A48" s="5" t="inlineStr">
        <is>
          <t xml:space="preserve">2026-07-27</t>
        </is>
      </c>
      <c r="B48" s="5" t="inlineStr">
        <is>
          <t xml:space="preserve">Martins</t>
        </is>
      </c>
      <c r="C48" s="5" t="inlineStr">
        <is>
          <t xml:space="preserve">Pelvic</t>
        </is>
      </c>
      <c r="D48" s="5" t="inlineStr">
        <is>
          <t xml:space="preserve">666541</t>
        </is>
      </c>
      <c r="E48" s="5" t="inlineStr">
        <is>
          <t xml:space="preserve">5502512228</t>
        </is>
      </c>
      <c r="F48" s="6" t="n">
        <v>46</v>
      </c>
      <c r="G48" s="6" t="n">
        <v>45</v>
      </c>
      <c r="H48" s="6" t="n">
        <v>1</v>
      </c>
      <c r="I48" s="15" t="n">
        <v>0.9783</v>
      </c>
      <c r="J48" s="16" t="inlineStr">
        <is>
          <t xml:space="preserve">1 damaged membrane larger than 0.5"</t>
        </is>
      </c>
    </row>
    <row r="49" ht="40.0" customHeight="true">
      <c r="A49" s="5" t="inlineStr">
        <is>
          <t xml:space="preserve">2026-07-29</t>
        </is>
      </c>
      <c r="B49" s="5" t="inlineStr">
        <is>
          <t xml:space="preserve">Nahunta</t>
        </is>
      </c>
      <c r="C49" s="5" t="inlineStr">
        <is>
          <t xml:space="preserve">Thoracic</t>
        </is>
      </c>
      <c r="D49" s="5" t="inlineStr">
        <is>
          <t xml:space="preserve">666521</t>
        </is>
      </c>
      <c r="E49" s="5" t="inlineStr">
        <is>
          <t xml:space="preserve">5502512218</t>
        </is>
      </c>
      <c r="F49" s="6" t="n">
        <v>19</v>
      </c>
      <c r="G49" s="6" t="n">
        <v>6</v>
      </c>
      <c r="H49" s="6" t="n">
        <v>13</v>
      </c>
      <c r="I49" s="15" t="n">
        <v>0.3158</v>
      </c>
      <c r="J49" s="16" t="inlineStr">
        <is>
          <t xml:space="preserve">11 right-lung lacerations (mostly along the perimeter); 2 heart damage; 1 accepted with two sub-4cm perimeter lacerations that did not connect. Majority of damage attributed to the harvesting side.</t>
        </is>
      </c>
    </row>
    <row r="50" ht="13.5" customHeight="true">
      <c r="A50" s="5" t="inlineStr">
        <is>
          <t xml:space="preserve">2026-07-29</t>
        </is>
      </c>
      <c r="B50" s="5" t="inlineStr">
        <is>
          <t xml:space="preserve">Nahunta</t>
        </is>
      </c>
      <c r="C50" s="5" t="inlineStr">
        <is>
          <t xml:space="preserve">Pelvic</t>
        </is>
      </c>
      <c r="D50" s="5" t="inlineStr">
        <is>
          <t xml:space="preserve">666541</t>
        </is>
      </c>
      <c r="E50" s="5" t="inlineStr">
        <is>
          <t xml:space="preserve">5502512218</t>
        </is>
      </c>
      <c r="F50" s="6" t="n">
        <v>1</v>
      </c>
      <c r="G50" s="6" t="n">
        <v>1</v>
      </c>
      <c r="H50" s="6" t="n">
        <v>0</v>
      </c>
      <c r="I50" s="15" t="n">
        <v>1.0</v>
      </c>
      <c r="J50" s="16" t="inlineStr">
        <is>
          <t xml:space="preserve"/>
        </is>
      </c>
    </row>
    <row r="51" ht="27.0" customHeight="true">
      <c r="A51" s="5" t="inlineStr">
        <is>
          <t xml:space="preserve">2026-07-30</t>
        </is>
      </c>
      <c r="B51" s="5" t="inlineStr">
        <is>
          <t xml:space="preserve">Parks</t>
        </is>
      </c>
      <c r="C51" s="5" t="inlineStr">
        <is>
          <t xml:space="preserve">Pelvic</t>
        </is>
      </c>
      <c r="D51" s="5" t="inlineStr">
        <is>
          <t xml:space="preserve">666518</t>
        </is>
      </c>
      <c r="E51" s="5" t="inlineStr">
        <is>
          <t xml:space="preserve">(no batch data)</t>
        </is>
      </c>
      <c r="F51" s="6" t="n">
        <v>10</v>
      </c>
      <c r="G51" s="6" t="n">
        <v>9</v>
      </c>
      <c r="H51" s="6" t="n">
        <v>1</v>
      </c>
      <c r="I51" s="15" t="n">
        <v>0.9</v>
      </c>
      <c r="J51" s="16" t="inlineStr">
        <is>
          <t xml:space="preserve">1 pelvic block short (majority of pigs received were male → lower numbers)</t>
        </is>
      </c>
    </row>
  </sheetData>
  <mergeCells count="30">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B20:E20"/>
    <mergeCell ref="B21:E21"/>
    <mergeCell ref="A23:J23"/>
    <mergeCell ref="B24:E24"/>
    <mergeCell ref="B25:E25"/>
    <mergeCell ref="B26:E26"/>
    <mergeCell ref="B27:E27"/>
    <mergeCell ref="B28:E28"/>
    <mergeCell ref="A30:J30"/>
    <mergeCell ref="A31:J31"/>
    <mergeCell ref="B32:E32"/>
    <mergeCell ref="B33:E33"/>
    <mergeCell ref="B34:E34"/>
    <mergeCell ref="A36:J36"/>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20.xml><?xml version="1.0" encoding="utf-8"?>
<worksheet xmlns="http://schemas.openxmlformats.org/spreadsheetml/2006/main" xmlns:r="http://schemas.openxmlformats.org/officeDocument/2006/relationships">
  <dimension ref="A1:J46"/>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true">
      <c r="A1" s="1" t="inlineStr">
        <is>
          <t xml:space="preserve">AUGUST 2026 — SH IQC Inspections</t>
        </is>
      </c>
    </row>
    <row r="2" ht="44" customHeight="true">
      <c r="A2" s="2" t="inlineStr">
        <is>
          <t xml:space="preserve">12 part-inspections across 7 harvest days at Martins, Nahunta, Parks. Month totals: 253 inspected / 186 pass / 67 fail — first-pass yield 73.5%. Snapshot from the Inspection Log; defect ranking uses the standard categories (see Monthly Breakdown notes).</t>
        </is>
      </c>
    </row>
    <row r="3"/>
    <row r="4" ht="18" customHeight="true">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137</v>
      </c>
      <c r="D6" s="6" t="n">
        <v>132</v>
      </c>
      <c r="E6" s="6" t="n">
        <v>5</v>
      </c>
      <c r="F6" s="15" t="n">
        <v>0.9635</v>
      </c>
      <c r="G6" s="16" t="inlineStr">
        <is>
          <t xml:space="preserve">Urethra / bladder damage (2)</t>
        </is>
      </c>
    </row>
    <row r="7">
      <c r="A7" s="5" t="inlineStr">
        <is>
          <t xml:space="preserve">Pelvic @ Martins</t>
        </is>
      </c>
      <c r="B7" s="5" t="inlineStr">
        <is>
          <t xml:space="preserve">666506</t>
        </is>
      </c>
      <c r="C7" s="6" t="n">
        <v>13</v>
      </c>
      <c r="D7" s="6" t="n">
        <v>13</v>
      </c>
      <c r="E7" s="6" t="n">
        <v>0</v>
      </c>
      <c r="F7" s="15" t="n">
        <v>1.0</v>
      </c>
      <c r="G7" s="16" t="inlineStr">
        <is>
          <t xml:space="preserve">—</t>
        </is>
      </c>
    </row>
    <row r="8">
      <c r="A8" s="5" t="inlineStr">
        <is>
          <t xml:space="preserve">Pelvic @ Parks</t>
        </is>
      </c>
      <c r="B8" s="5" t="inlineStr">
        <is>
          <t xml:space="preserve">666541</t>
        </is>
      </c>
      <c r="C8" s="6" t="n">
        <v>33</v>
      </c>
      <c r="D8" s="6" t="n">
        <v>32</v>
      </c>
      <c r="E8" s="6" t="n">
        <v>1</v>
      </c>
      <c r="F8" s="15" t="n">
        <v>0.9697</v>
      </c>
      <c r="G8" s="16" t="inlineStr">
        <is>
          <t xml:space="preserve">Bowel damage / separation (1)</t>
        </is>
      </c>
    </row>
    <row r="9">
      <c r="A9" s="5" t="inlineStr">
        <is>
          <t xml:space="preserve">Pelvic @ Nahunta</t>
        </is>
      </c>
      <c r="B9" s="5" t="inlineStr">
        <is>
          <t xml:space="preserve">666541</t>
        </is>
      </c>
      <c r="C9" s="6" t="n">
        <v>13</v>
      </c>
      <c r="D9" s="6" t="n">
        <v>1</v>
      </c>
      <c r="E9" s="6" t="n">
        <v>12</v>
      </c>
      <c r="F9" s="15" t="n">
        <v>0.0769</v>
      </c>
      <c r="G9" s="16" t="inlineStr">
        <is>
          <t xml:space="preserve">Other / unspecified (12)</t>
        </is>
      </c>
    </row>
    <row r="10">
      <c r="A10" s="5" t="inlineStr">
        <is>
          <t xml:space="preserve">Thoracic @ Nahunta</t>
        </is>
      </c>
      <c r="B10" s="5" t="inlineStr">
        <is>
          <t xml:space="preserve">666521</t>
        </is>
      </c>
      <c r="C10" s="6" t="n">
        <v>57</v>
      </c>
      <c r="D10" s="6" t="n">
        <v>8</v>
      </c>
      <c r="E10" s="6" t="n">
        <v>49</v>
      </c>
      <c r="F10" s="15" t="n">
        <v>0.1404</v>
      </c>
      <c r="G10" s="16" t="inlineStr">
        <is>
          <t xml:space="preserve">Lung laceration (31)</t>
        </is>
      </c>
    </row>
    <row r="11"/>
    <row r="12" ht="18" customHeight="true">
      <c r="A12" s="3" t="inlineStr">
        <is>
          <t xml:space="preserve">MOST RECURRING DEFECTS — BY TISSUE × SLAUGHTERHOUSE</t>
        </is>
      </c>
    </row>
    <row r="13" ht="16" customHeight="true">
      <c r="A13" s="19" t="inlineStr">
        <is>
          <t xml:space="preserve">Pelvic @ Martins · 666541 — 5 fails of 137 inspected</t>
        </is>
      </c>
    </row>
    <row r="14">
      <c r="A14" s="11" t="inlineStr">
        <is>
          <t xml:space="preserve">Rank</t>
        </is>
      </c>
      <c r="B14" s="11" t="inlineStr">
        <is>
          <t xml:space="preserve">Defect category</t>
        </is>
      </c>
      <c r="F14" s="11" t="inlineStr">
        <is>
          <t xml:space="preserve">Count</t>
        </is>
      </c>
      <c r="G14" s="11" t="inlineStr">
        <is>
          <t xml:space="preserve">% of fails</t>
        </is>
      </c>
    </row>
    <row r="15">
      <c r="A15" s="6" t="n">
        <v>1</v>
      </c>
      <c r="B15" s="5" t="inlineStr">
        <is>
          <t xml:space="preserve">Urethra / bladder damage</t>
        </is>
      </c>
      <c r="F15" s="6" t="n">
        <v>2</v>
      </c>
      <c r="G15" s="15" t="n">
        <v>0.4</v>
      </c>
    </row>
    <row r="16">
      <c r="A16" s="6" t="n">
        <v>2</v>
      </c>
      <c r="B16" s="5" t="inlineStr">
        <is>
          <t xml:space="preserve">Bowel damage / separation</t>
        </is>
      </c>
      <c r="F16" s="6" t="n">
        <v>2</v>
      </c>
      <c r="G16" s="15" t="n">
        <v>0.4</v>
      </c>
    </row>
    <row r="17">
      <c r="A17" s="6" t="n">
        <v>3</v>
      </c>
      <c r="B17" s="5" t="inlineStr">
        <is>
          <t xml:space="preserve">Membrane damage</t>
        </is>
      </c>
      <c r="F17" s="6" t="n">
        <v>1</v>
      </c>
      <c r="G17" s="15" t="n">
        <v>0.2</v>
      </c>
    </row>
    <row r="18"/>
    <row r="19" ht="16" customHeight="true">
      <c r="A19" s="19" t="inlineStr">
        <is>
          <t xml:space="preserve">Pelvic @ Martins · 666506 — no fails this month (13 inspected, 100% FPY)</t>
        </is>
      </c>
    </row>
    <row r="20" ht="16" customHeight="true">
      <c r="A20" s="19" t="inlineStr">
        <is>
          <t xml:space="preserve">Pelvic @ Parks · 666541 — 1 fail of 33 inspected</t>
        </is>
      </c>
    </row>
    <row r="21">
      <c r="A21" s="11" t="inlineStr">
        <is>
          <t xml:space="preserve">Rank</t>
        </is>
      </c>
      <c r="B21" s="11" t="inlineStr">
        <is>
          <t xml:space="preserve">Defect category</t>
        </is>
      </c>
      <c r="F21" s="11" t="inlineStr">
        <is>
          <t xml:space="preserve">Count</t>
        </is>
      </c>
      <c r="G21" s="11" t="inlineStr">
        <is>
          <t xml:space="preserve">% of fails</t>
        </is>
      </c>
    </row>
    <row r="22">
      <c r="A22" s="6" t="n">
        <v>1</v>
      </c>
      <c r="B22" s="5" t="inlineStr">
        <is>
          <t xml:space="preserve">Bowel damage / separation</t>
        </is>
      </c>
      <c r="F22" s="6" t="n">
        <v>1</v>
      </c>
      <c r="G22" s="15" t="n">
        <v>1.0</v>
      </c>
    </row>
    <row r="23"/>
    <row r="24" ht="16" customHeight="true">
      <c r="A24" s="19" t="inlineStr">
        <is>
          <t xml:space="preserve">Pelvic @ Nahunta · 666541 — 12 fails of 13 inspected</t>
        </is>
      </c>
    </row>
    <row r="25">
      <c r="A25" s="11" t="inlineStr">
        <is>
          <t xml:space="preserve">Rank</t>
        </is>
      </c>
      <c r="B25" s="11" t="inlineStr">
        <is>
          <t xml:space="preserve">Defect category</t>
        </is>
      </c>
      <c r="F25" s="11" t="inlineStr">
        <is>
          <t xml:space="preserve">Count</t>
        </is>
      </c>
      <c r="G25" s="11" t="inlineStr">
        <is>
          <t xml:space="preserve">% of fails</t>
        </is>
      </c>
    </row>
    <row r="26">
      <c r="A26" s="6" t="n">
        <v>1</v>
      </c>
      <c r="B26" s="5" t="inlineStr">
        <is>
          <t xml:space="preserve">Other / unspecified (provisional — no breakdown)</t>
        </is>
      </c>
      <c r="F26" s="6" t="n">
        <v>12</v>
      </c>
      <c r="G26" s="15" t="n">
        <v>1.0</v>
      </c>
    </row>
    <row r="27"/>
    <row r="28" ht="16" customHeight="true">
      <c r="A28" s="19" t="inlineStr">
        <is>
          <t xml:space="preserve">Thoracic @ Nahunta · 666521 — 49 fails of 57 inspected</t>
        </is>
      </c>
    </row>
    <row r="29">
      <c r="A29" s="11" t="inlineStr">
        <is>
          <t xml:space="preserve">Rank</t>
        </is>
      </c>
      <c r="B29" s="11" t="inlineStr">
        <is>
          <t xml:space="preserve">Defect category</t>
        </is>
      </c>
      <c r="F29" s="11" t="inlineStr">
        <is>
          <t xml:space="preserve">Count</t>
        </is>
      </c>
      <c r="G29" s="11" t="inlineStr">
        <is>
          <t xml:space="preserve">% of fails</t>
        </is>
      </c>
    </row>
    <row r="30">
      <c r="A30" s="6" t="n">
        <v>1</v>
      </c>
      <c r="B30" s="5" t="inlineStr">
        <is>
          <t xml:space="preserve">Lung laceration</t>
        </is>
      </c>
      <c r="F30" s="6" t="n">
        <v>31</v>
      </c>
      <c r="G30" s="15" t="n">
        <v>0.6327</v>
      </c>
    </row>
    <row r="31">
      <c r="A31" s="6" t="n">
        <v>2</v>
      </c>
      <c r="B31" s="5" t="inlineStr">
        <is>
          <t xml:space="preserve">Heart damage</t>
        </is>
      </c>
      <c r="F31" s="6" t="n">
        <v>19</v>
      </c>
      <c r="G31" s="15" t="n">
        <v>0.3878</v>
      </c>
    </row>
    <row r="32"/>
    <row r="33" ht="18" customHeight="true">
      <c r="A33" s="3" t="inlineStr">
        <is>
          <t xml:space="preserve">ALL INSPECTIONS THIS MONTH</t>
        </is>
      </c>
    </row>
    <row r="34">
      <c r="A34" s="11" t="inlineStr">
        <is>
          <t xml:space="preserve">Harvest Date</t>
        </is>
      </c>
      <c r="B34" s="11" t="inlineStr">
        <is>
          <t xml:space="preserve">Slaughterhouse</t>
        </is>
      </c>
      <c r="C34" s="11" t="inlineStr">
        <is>
          <t xml:space="preserve">Tissue</t>
        </is>
      </c>
      <c r="D34" s="11" t="inlineStr">
        <is>
          <t xml:space="preserve">Part #</t>
        </is>
      </c>
      <c r="E34" s="11" t="inlineStr">
        <is>
          <t xml:space="preserve">Lot</t>
        </is>
      </c>
      <c r="F34" s="11" t="inlineStr">
        <is>
          <t xml:space="preserve"># Inspected</t>
        </is>
      </c>
      <c r="G34" s="11" t="inlineStr">
        <is>
          <t xml:space="preserve"># Pass</t>
        </is>
      </c>
      <c r="H34" s="11" t="inlineStr">
        <is>
          <t xml:space="preserve"># Fail</t>
        </is>
      </c>
      <c r="I34" s="11" t="inlineStr">
        <is>
          <t xml:space="preserve">FPY</t>
        </is>
      </c>
      <c r="J34" s="11" t="inlineStr">
        <is>
          <t xml:space="preserve">Scrap reason / notes</t>
        </is>
      </c>
    </row>
    <row r="35" ht="13.5" customHeight="true">
      <c r="A35" s="5" t="inlineStr">
        <is>
          <t xml:space="preserve">2026-08-03</t>
        </is>
      </c>
      <c r="B35" s="5" t="inlineStr">
        <is>
          <t xml:space="preserve">Martins</t>
        </is>
      </c>
      <c r="C35" s="5" t="inlineStr">
        <is>
          <t xml:space="preserve">Pelvic</t>
        </is>
      </c>
      <c r="D35" s="5" t="inlineStr">
        <is>
          <t xml:space="preserve">666541</t>
        </is>
      </c>
      <c r="E35" s="5" t="inlineStr">
        <is>
          <t xml:space="preserve">5502512228</t>
        </is>
      </c>
      <c r="F35" s="6" t="n">
        <v>44</v>
      </c>
      <c r="G35" s="6" t="n">
        <v>44</v>
      </c>
      <c r="H35" s="6" t="n">
        <v>0</v>
      </c>
      <c r="I35" s="15" t="n">
        <v>1.0</v>
      </c>
      <c r="J35" s="16" t="inlineStr">
        <is>
          <t xml:space="preserve"/>
        </is>
      </c>
    </row>
    <row r="36" ht="40.0" customHeight="true">
      <c r="A36" s="5" t="inlineStr">
        <is>
          <t xml:space="preserve">2026-08-05</t>
        </is>
      </c>
      <c r="B36" s="5" t="inlineStr">
        <is>
          <t xml:space="preserve">Nahunta</t>
        </is>
      </c>
      <c r="C36" s="5" t="inlineStr">
        <is>
          <t xml:space="preserve">Thoracic</t>
        </is>
      </c>
      <c r="D36" s="5" t="inlineStr">
        <is>
          <t xml:space="preserve">666521</t>
        </is>
      </c>
      <c r="E36" s="5" t="inlineStr">
        <is>
          <t xml:space="preserve">5502512218</t>
        </is>
      </c>
      <c r="F36" s="6" t="n">
        <v>15</v>
      </c>
      <c r="G36" s="6" t="n">
        <v>0</v>
      </c>
      <c r="H36" s="6" t="n">
        <v>15</v>
      </c>
      <c r="I36" s="15" t="n">
        <v>0.0</v>
      </c>
      <c r="J36" s="16" t="inlineStr">
        <is>
          <t xml:space="preserve">11 right-lung lacerations (mostly along perimeter); 4 heart damage. Majority of damage harvesting-side; two units had no lung laceration but failed on heart.</t>
        </is>
      </c>
    </row>
    <row r="37" ht="13.5" customHeight="true">
      <c r="A37" s="5" t="inlineStr">
        <is>
          <t xml:space="preserve">2026-08-05</t>
        </is>
      </c>
      <c r="B37" s="5" t="inlineStr">
        <is>
          <t xml:space="preserve">Martins</t>
        </is>
      </c>
      <c r="C37" s="5" t="inlineStr">
        <is>
          <t xml:space="preserve">Pelvic</t>
        </is>
      </c>
      <c r="D37" s="5" t="inlineStr">
        <is>
          <t xml:space="preserve">666541</t>
        </is>
      </c>
      <c r="E37" s="5" t="inlineStr">
        <is>
          <t xml:space="preserve">5502512228</t>
        </is>
      </c>
      <c r="F37" s="6" t="n">
        <v>35</v>
      </c>
      <c r="G37" s="6" t="n">
        <v>33</v>
      </c>
      <c r="H37" s="6" t="n">
        <v>2</v>
      </c>
      <c r="I37" s="15" t="n">
        <v>0.9429</v>
      </c>
      <c r="J37" s="16" t="inlineStr">
        <is>
          <t xml:space="preserve">1 damaged membrane; 1 hole in bowel</t>
        </is>
      </c>
    </row>
    <row r="38" ht="13.5" customHeight="true">
      <c r="A38" s="5" t="inlineStr">
        <is>
          <t xml:space="preserve">2026-08-10</t>
        </is>
      </c>
      <c r="B38" s="5" t="inlineStr">
        <is>
          <t xml:space="preserve">Martins</t>
        </is>
      </c>
      <c r="C38" s="5" t="inlineStr">
        <is>
          <t xml:space="preserve">Pelvic</t>
        </is>
      </c>
      <c r="D38" s="5" t="inlineStr">
        <is>
          <t xml:space="preserve">666506</t>
        </is>
      </c>
      <c r="E38" s="5" t="inlineStr">
        <is>
          <t xml:space="preserve">5502523266</t>
        </is>
      </c>
      <c r="F38" s="6" t="n">
        <v>8</v>
      </c>
      <c r="G38" s="6" t="n">
        <v>8</v>
      </c>
      <c r="H38" s="6" t="n">
        <v>0</v>
      </c>
      <c r="I38" s="15" t="n">
        <v>1.0</v>
      </c>
      <c r="J38" s="16" t="inlineStr">
        <is>
          <t xml:space="preserve"/>
        </is>
      </c>
    </row>
    <row r="39" ht="13.5" customHeight="true">
      <c r="A39" s="5" t="inlineStr">
        <is>
          <t xml:space="preserve">2026-08-10</t>
        </is>
      </c>
      <c r="B39" s="5" t="inlineStr">
        <is>
          <t xml:space="preserve">Martins</t>
        </is>
      </c>
      <c r="C39" s="5" t="inlineStr">
        <is>
          <t xml:space="preserve">Pelvic</t>
        </is>
      </c>
      <c r="D39" s="5" t="inlineStr">
        <is>
          <t xml:space="preserve">666541</t>
        </is>
      </c>
      <c r="E39" s="5" t="inlineStr">
        <is>
          <t xml:space="preserve">5502523269</t>
        </is>
      </c>
      <c r="F39" s="6" t="n">
        <v>43</v>
      </c>
      <c r="G39" s="6" t="n">
        <v>41</v>
      </c>
      <c r="H39" s="6" t="n">
        <v>2</v>
      </c>
      <c r="I39" s="15" t="n">
        <v>0.9535</v>
      </c>
      <c r="J39" s="16" t="inlineStr">
        <is>
          <t xml:space="preserve">2 urethra damage</t>
        </is>
      </c>
    </row>
    <row r="40" ht="13.5" customHeight="true">
      <c r="A40" s="5" t="inlineStr">
        <is>
          <t xml:space="preserve">2026-08-10</t>
        </is>
      </c>
      <c r="B40" s="5" t="inlineStr">
        <is>
          <t xml:space="preserve">Parks</t>
        </is>
      </c>
      <c r="C40" s="5" t="inlineStr">
        <is>
          <t xml:space="preserve">Pelvic</t>
        </is>
      </c>
      <c r="D40" s="5" t="inlineStr">
        <is>
          <t xml:space="preserve">666541</t>
        </is>
      </c>
      <c r="E40" s="5" t="inlineStr">
        <is>
          <t xml:space="preserve">(no batch data)</t>
        </is>
      </c>
      <c r="F40" s="6" t="n">
        <v>10</v>
      </c>
      <c r="G40" s="6" t="n">
        <v>10</v>
      </c>
      <c r="H40" s="6" t="n">
        <v>0</v>
      </c>
      <c r="I40" s="15" t="n">
        <v>1.0</v>
      </c>
      <c r="J40" s="16" t="inlineStr">
        <is>
          <t xml:space="preserve">No failures this day.</t>
        </is>
      </c>
    </row>
    <row r="41" ht="40.0" customHeight="true">
      <c r="A41" s="5" t="inlineStr">
        <is>
          <t xml:space="preserve">2026-08-12</t>
        </is>
      </c>
      <c r="B41" s="5" t="inlineStr">
        <is>
          <t xml:space="preserve">Nahunta</t>
        </is>
      </c>
      <c r="C41" s="5" t="inlineStr">
        <is>
          <t xml:space="preserve">Thoracic</t>
        </is>
      </c>
      <c r="D41" s="5" t="inlineStr">
        <is>
          <t xml:space="preserve">666521</t>
        </is>
      </c>
      <c r="E41" s="5" t="inlineStr">
        <is>
          <t xml:space="preserve">5502523283</t>
        </is>
      </c>
      <c r="F41" s="6" t="n">
        <v>13</v>
      </c>
      <c r="G41" s="6" t="n">
        <v>2</v>
      </c>
      <c r="H41" s="6" t="n">
        <v>11</v>
      </c>
      <c r="I41" s="15" t="n">
        <v>0.1538</v>
      </c>
      <c r="J41" s="16" t="inlineStr">
        <is>
          <t xml:space="preserve">9 right-lung lacerations; 3 heart damage (breakdown sums to 12 vs 11 recorded). No left-lung damage seen; requested Ricardo shadow next visit.</t>
        </is>
      </c>
    </row>
    <row r="42" ht="27.0" customHeight="true">
      <c r="A42" s="5" t="inlineStr">
        <is>
          <t xml:space="preserve">2026-08-12</t>
        </is>
      </c>
      <c r="B42" s="5" t="inlineStr">
        <is>
          <t xml:space="preserve">Nahunta</t>
        </is>
      </c>
      <c r="C42" s="5" t="inlineStr">
        <is>
          <t xml:space="preserve">Pelvic</t>
        </is>
      </c>
      <c r="D42" s="5" t="inlineStr">
        <is>
          <t xml:space="preserve">666541</t>
        </is>
      </c>
      <c r="E42" s="5" t="inlineStr">
        <is>
          <t xml:space="preserve">5502523283</t>
        </is>
      </c>
      <c r="F42" s="6" t="n">
        <v>13</v>
      </c>
      <c r="G42" s="6" t="n">
        <v>1</v>
      </c>
      <c r="H42" s="6" t="n">
        <v>12</v>
      </c>
      <c r="I42" s="15" t="n">
        <v>0.0769</v>
      </c>
      <c r="J42" s="16" t="inlineStr">
        <is>
          <t xml:space="preserve">Pelvic deprioritized — Jordan harvests other components first; no per-defect breakdown recorded (PROVISIONAL — confirm)</t>
        </is>
      </c>
    </row>
    <row r="43" ht="13.5" customHeight="true">
      <c r="A43" s="5" t="inlineStr">
        <is>
          <t xml:space="preserve">2026-08-14</t>
        </is>
      </c>
      <c r="B43" s="5" t="inlineStr">
        <is>
          <t xml:space="preserve">Parks</t>
        </is>
      </c>
      <c r="C43" s="5" t="inlineStr">
        <is>
          <t xml:space="preserve">Pelvic</t>
        </is>
      </c>
      <c r="D43" s="5" t="inlineStr">
        <is>
          <t xml:space="preserve">666541</t>
        </is>
      </c>
      <c r="E43" s="5" t="inlineStr">
        <is>
          <t xml:space="preserve">(no batch data)</t>
        </is>
      </c>
      <c r="F43" s="6" t="n">
        <v>23</v>
      </c>
      <c r="G43" s="6" t="n">
        <v>22</v>
      </c>
      <c r="H43" s="6" t="n">
        <v>1</v>
      </c>
      <c r="I43" s="15" t="n">
        <v>0.9565</v>
      </c>
      <c r="J43" s="16" t="inlineStr">
        <is>
          <t xml:space="preserve">Bowel separated from mesentery past the critical point</t>
        </is>
      </c>
    </row>
    <row r="44" ht="13.5" customHeight="true">
      <c r="A44" s="5" t="inlineStr">
        <is>
          <t xml:space="preserve">2026-08-17</t>
        </is>
      </c>
      <c r="B44" s="5" t="inlineStr">
        <is>
          <t xml:space="preserve">Martins</t>
        </is>
      </c>
      <c r="C44" s="5" t="inlineStr">
        <is>
          <t xml:space="preserve">Pelvic</t>
        </is>
      </c>
      <c r="D44" s="5" t="inlineStr">
        <is>
          <t xml:space="preserve">666506</t>
        </is>
      </c>
      <c r="E44" s="5" t="inlineStr">
        <is>
          <t xml:space="preserve">5502523266</t>
        </is>
      </c>
      <c r="F44" s="6" t="n">
        <v>5</v>
      </c>
      <c r="G44" s="6" t="n">
        <v>5</v>
      </c>
      <c r="H44" s="6" t="n">
        <v>0</v>
      </c>
      <c r="I44" s="15" t="n">
        <v>1.0</v>
      </c>
      <c r="J44" s="16" t="inlineStr">
        <is>
          <t xml:space="preserve"/>
        </is>
      </c>
    </row>
    <row r="45" ht="13.5" customHeight="true">
      <c r="A45" s="5" t="inlineStr">
        <is>
          <t xml:space="preserve">2026-08-17</t>
        </is>
      </c>
      <c r="B45" s="5" t="inlineStr">
        <is>
          <t xml:space="preserve">Martins</t>
        </is>
      </c>
      <c r="C45" s="5" t="inlineStr">
        <is>
          <t xml:space="preserve">Pelvic</t>
        </is>
      </c>
      <c r="D45" s="5" t="inlineStr">
        <is>
          <t xml:space="preserve">666541</t>
        </is>
      </c>
      <c r="E45" s="5" t="inlineStr">
        <is>
          <t xml:space="preserve">5502523269</t>
        </is>
      </c>
      <c r="F45" s="6" t="n">
        <v>15</v>
      </c>
      <c r="G45" s="6" t="n">
        <v>14</v>
      </c>
      <c r="H45" s="6" t="n">
        <v>1</v>
      </c>
      <c r="I45" s="15" t="n">
        <v>0.9333</v>
      </c>
      <c r="J45" s="16" t="inlineStr">
        <is>
          <t xml:space="preserve">1 hole in bowel (ran out of pigs, 3-hr wait, truck late)</t>
        </is>
      </c>
    </row>
    <row r="46" ht="40.0" customHeight="true">
      <c r="A46" s="5" t="inlineStr">
        <is>
          <t xml:space="preserve">2026-08-19</t>
        </is>
      </c>
      <c r="B46" s="5" t="inlineStr">
        <is>
          <t xml:space="preserve">Nahunta</t>
        </is>
      </c>
      <c r="C46" s="5" t="inlineStr">
        <is>
          <t xml:space="preserve">Thoracic</t>
        </is>
      </c>
      <c r="D46" s="5" t="inlineStr">
        <is>
          <t xml:space="preserve">666521</t>
        </is>
      </c>
      <c r="E46" s="5" t="inlineStr">
        <is>
          <t xml:space="preserve">5502523283</t>
        </is>
      </c>
      <c r="F46" s="6" t="n">
        <v>29</v>
      </c>
      <c r="G46" s="6" t="n">
        <v>6</v>
      </c>
      <c r="H46" s="6" t="n">
        <v>23</v>
      </c>
      <c r="I46" s="15" t="n">
        <v>0.2069</v>
      </c>
      <c r="J46" s="16" t="inlineStr">
        <is>
          <t xml:space="preserve">11 right-lung lacerations; 12 heart damage. Ricardo meeting reduced lung lacerations only until first break; heart lacerations (inspector-side) now the next gap.</t>
        </is>
      </c>
    </row>
  </sheetData>
  <mergeCells count="27">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A24:J24"/>
    <mergeCell ref="B25:E25"/>
    <mergeCell ref="B26:E26"/>
    <mergeCell ref="A28:J28"/>
    <mergeCell ref="B29:E29"/>
    <mergeCell ref="B30:E30"/>
    <mergeCell ref="B31:E31"/>
    <mergeCell ref="A33:J33"/>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2">
    <cfRule type="dataBar" priority="3">
      <dataBar>
        <cfvo type="min"/>
        <cfvo type="max"/>
        <color rgb="FF638EC6"/>
      </dataBar>
    </cfRule>
  </conditionalFormatting>
  <conditionalFormatting sqref="F26:F26">
    <cfRule type="dataBar" priority="4">
      <dataBar>
        <cfvo type="min"/>
        <cfvo type="max"/>
        <color rgb="FF638EC6"/>
      </dataBar>
    </cfRule>
  </conditionalFormatting>
  <conditionalFormatting sqref="F30:F31">
    <cfRule type="dataBar" priority="5">
      <dataBar>
        <cfvo type="min"/>
        <cfvo type="max"/>
        <color rgb="FF638EC6"/>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