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2.xml" ContentType="application/vnd.openxmlformats-officedocument.spreadsheetml.worksheet+xml"/>
  <Override PartName="/xl/worksheets/_rels/sheet9.xml.rels" ContentType="application/vnd.openxmlformats-package.relationships+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_rels/drawing4.xml.rels" ContentType="application/vnd.openxmlformats-package.relationships+xml"/>
  <Override PartName="/xl/drawings/drawing4.xml" ContentType="application/vnd.openxmlformats-officedocument.drawing+xml"/>
  <Override PartName="/xl/_rels/workbook.xml.rels" ContentType="application/vnd.openxmlformats-package.relationships+xml"/>
  <Override PartName="/xl/media/image1.png" ContentType="image/png"/>
  <Override PartName="/xl/media/image2.png" ContentType="image/png"/>
  <Override PartName="/xl/media/image3.png" ContentType="image/png"/>
  <Override PartName="/xl/media/image4.png" ContentType="image/png"/>
  <Override PartName="/xl/media/image5.png" ContentType="image/png"/>
  <Override PartName="/xl/media/image6.png" ContentType="image/png"/>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2.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1"/>
  </bookViews>
  <sheets>
    <sheet name="Slaughterhouse IQC" sheetId="2" state="visible" r:id="rId4"/>
    <sheet name="Quality Dashboard" sheetId="14" state="visible" r:id="rId17"/>
    <sheet name="Monthly Breakdown" sheetId="15" state="visible" r:id="rId18"/>
    <sheet name="SmartAssessment" sheetId="12" state="visible" r:id="rId15"/>
    <sheet name="Defect Atlas" sheetId="9" state="visible" r:id="rId11"/>
    <sheet name="README" sheetId="10" state="visible" r:id="rId12"/>
  </sheets>
  <calcPr iterateCount="100" refMode="A1" iterate="false" iterateDelta="0.0001" fullCalcOnLoad="true"/>
  <extLst>
    <ext xmlns:loext="http://schemas.libreoffice.org/" uri="{7626C862-2A13-11E5-B345-FEFF819CDC9F}">
      <loext:extCalcPr stringRefSyntax="ExcelA1"/>
    </ext>
  </extLst>
</workbook>
</file>

<file path=xl/sharedStrings.xml><?xml version="1.0" encoding="utf-8"?>
<sst xmlns="http://schemas.openxmlformats.org/spreadsheetml/2006/main" count="1818" uniqueCount="303">
  <si>
    <t xml:space="preserve">Defect Trends by Slaughterhouse (ATM post-freeze inspection)</t>
  </si>
  <si>
    <t xml:space="preserve">Defect-centric view: how each canonical defect category behaves over time at each slaughterhouse. Within Martins, male (666540) and female (666541) parts are combined — the per-part breakdown lives in the Defect Pivot sheets. All counts pull via SUMIFS from Master Data, so editing Master Data will propagate here.</t>
  </si>
  <si>
    <t xml:space="preserve">MARTINS — defect counts over time</t>
  </si>
  <si>
    <t xml:space="preserve">Defect (canonical)</t>
  </si>
  <si>
    <t xml:space="preserve">2026-02-09</t>
  </si>
  <si>
    <t xml:space="preserve">2026-02-23</t>
  </si>
  <si>
    <t xml:space="preserve">2026-03-02</t>
  </si>
  <si>
    <t xml:space="preserve">2026-03-09</t>
  </si>
  <si>
    <t xml:space="preserve">2026-03-16</t>
  </si>
  <si>
    <t xml:space="preserve">2026-03-23</t>
  </si>
  <si>
    <t xml:space="preserve">2026-03-30</t>
  </si>
  <si>
    <t xml:space="preserve">2026-04-06</t>
  </si>
  <si>
    <t xml:space="preserve">2026-04-13</t>
  </si>
  <si>
    <t xml:space="preserve">2026-04-20</t>
  </si>
  <si>
    <t xml:space="preserve">2026-05-04</t>
  </si>
  <si>
    <t xml:space="preserve">2026-05-11</t>
  </si>
  <si>
    <t xml:space="preserve">2026-05-28</t>
  </si>
  <si>
    <t xml:space="preserve">Total</t>
  </si>
  <si>
    <t xml:space="preserve">Critical Mesentery Hole/Laceration (&gt;0.5")</t>
  </si>
  <si>
    <t xml:space="preserve">Non-Critical Mesentery Hole (&gt;1.5")</t>
  </si>
  <si>
    <t xml:space="preserve">Blood Clot</t>
  </si>
  <si>
    <t xml:space="preserve">Bladder Length Oversize (&gt;5.5")</t>
  </si>
  <si>
    <t xml:space="preserve">Bladder Length Undersize</t>
  </si>
  <si>
    <t xml:space="preserve">Urethra Laceration (exposing internal)</t>
  </si>
  <si>
    <t xml:space="preserve">Bladder Laceration (exposing internal)</t>
  </si>
  <si>
    <t xml:space="preserve">Exposed Ureters</t>
  </si>
  <si>
    <t xml:space="preserve">Spoilage</t>
  </si>
  <si>
    <t xml:space="preserve">Mesentery Length from Bladder Neck (≤7")</t>
  </si>
  <si>
    <t xml:space="preserve">Units Received</t>
  </si>
  <si>
    <t xml:space="preserve">Units Scrapped</t>
  </si>
  <si>
    <t xml:space="preserve">Rejection %</t>
  </si>
  <si>
    <t xml:space="preserve">PARKS — defect counts over time</t>
  </si>
  <si>
    <t xml:space="preserve">TOP 5 MOST RECURRING DEFECTS (by total count, all parts combined)</t>
  </si>
  <si>
    <t xml:space="preserve">Rank</t>
  </si>
  <si>
    <t xml:space="preserve">Martins count</t>
  </si>
  <si>
    <t xml:space="preserve">Parks count</t>
  </si>
  <si>
    <t xml:space="preserve">Total count</t>
  </si>
  <si>
    <t xml:space="preserve">% of all scrap</t>
  </si>
  <si>
    <t xml:space="preserve">Note: 'Mesentery Length from Bladder Neck (≤7")' is a NEW SPEC effective 2026-03-30 and a dominant Parks defect — trajectory matters more than cumulative count.</t>
  </si>
  <si>
    <t xml:space="preserve">Slaughterhouse IQC — Post-Harvest / Pre-Freeze Inspections</t>
  </si>
  <si>
    <t xml:space="preserve">Post-harvest inspections performed at the slaughterhouse by an ATM inspector, BEFORE freeze. These are the earliest quality gate in the tissue supply chain. The ATM receipt inspections (every other sheet in this workbook) happen AFTER freeze/thaw and capture a superset of damage modes. Batch/lot numbers shown here correspond — not always exactly — to lots that appear later in the ATM data. See 'SH → ATM Yield Comparison' section below for stage-to-stage reconciliation.</t>
  </si>
  <si>
    <t xml:space="preserve">INSPECTION METADATA</t>
  </si>
  <si>
    <t xml:space="preserve">Visit</t>
  </si>
  <si>
    <t xml:space="preserve">Harvest dates</t>
  </si>
  <si>
    <t xml:space="preserve">Slaughterhouse</t>
  </si>
  <si>
    <t xml:space="preserve">Inspector</t>
  </si>
  <si>
    <t xml:space="preserve">SH Tech</t>
  </si>
  <si>
    <t xml:space="preserve">Intact lot</t>
  </si>
  <si>
    <t xml:space="preserve">Non-intact lot</t>
  </si>
  <si>
    <t xml:space="preserve">Intact PN</t>
  </si>
  <si>
    <t xml:space="preserve">Non-intact PN</t>
  </si>
  <si>
    <t xml:space="preserve">Visit 1</t>
  </si>
  <si>
    <t xml:space="preserve">2026-04-13 &amp; 2026-04-15</t>
  </si>
  <si>
    <t xml:space="preserve">Martins</t>
  </si>
  <si>
    <t xml:space="preserve">Toni</t>
  </si>
  <si>
    <t xml:space="preserve">Jesus</t>
  </si>
  <si>
    <t xml:space="preserve">5502378434</t>
  </si>
  <si>
    <t xml:space="preserve">5502378430</t>
  </si>
  <si>
    <t xml:space="preserve">666541</t>
  </si>
  <si>
    <t xml:space="preserve">666506</t>
  </si>
  <si>
    <t xml:space="preserve">Visit 2</t>
  </si>
  <si>
    <t xml:space="preserve">2026-04-20 &amp; 2026-04-22</t>
  </si>
  <si>
    <t xml:space="preserve">5502391862</t>
  </si>
  <si>
    <t xml:space="preserve">5502391858</t>
  </si>
  <si>
    <t xml:space="preserve">Visit 3</t>
  </si>
  <si>
    <t xml:space="preserve">2026-05-04 &amp; 2026-05-06</t>
  </si>
  <si>
    <t xml:space="preserve">5502404928</t>
  </si>
  <si>
    <t xml:space="preserve">5502404924</t>
  </si>
  <si>
    <t xml:space="preserve">Visit 4</t>
  </si>
  <si>
    <t xml:space="preserve">2026-05-18 &amp; 2026-05-21</t>
  </si>
  <si>
    <t xml:space="preserve">5502421192</t>
  </si>
  <si>
    <t xml:space="preserve">5502421188</t>
  </si>
  <si>
    <t xml:space="preserve">Visit 5</t>
  </si>
  <si>
    <t xml:space="preserve">2026-05-27</t>
  </si>
  <si>
    <t xml:space="preserve">(none collected)</t>
  </si>
  <si>
    <t xml:space="preserve">—</t>
  </si>
  <si>
    <t xml:space="preserve">Visit 6</t>
  </si>
  <si>
    <t xml:space="preserve">Parks Family Meats</t>
  </si>
  <si>
    <t xml:space="preserve">Rasmin</t>
  </si>
  <si>
    <t xml:space="preserve">Natalie</t>
  </si>
  <si>
    <t xml:space="preserve">(no batch data)</t>
  </si>
  <si>
    <t xml:space="preserve">666518</t>
  </si>
  <si>
    <t xml:space="preserve">Visit 7</t>
  </si>
  <si>
    <t xml:space="preserve">2026-06-01 &amp; 2026-06-03</t>
  </si>
  <si>
    <t xml:space="preserve">5502428786</t>
  </si>
  <si>
    <t xml:space="preserve">5502428782</t>
  </si>
  <si>
    <t xml:space="preserve">Visit 8</t>
  </si>
  <si>
    <t xml:space="preserve">2026-06-02</t>
  </si>
  <si>
    <t xml:space="preserve">RAW INSPECTION DATA (per harvest date × lot × condition)</t>
  </si>
  <si>
    <t xml:space="preserve">Harvest Date</t>
  </si>
  <si>
    <t xml:space="preserve">Lot</t>
  </si>
  <si>
    <t xml:space="preserve">PN</t>
  </si>
  <si>
    <t xml:space="preserve">Condition</t>
  </si>
  <si>
    <t xml:space="preserve">Part Description</t>
  </si>
  <si>
    <t xml:space="preserve"># Inspected</t>
  </si>
  <si>
    <t xml:space="preserve"># Pass</t>
  </si>
  <si>
    <t xml:space="preserve"># Fail</t>
  </si>
  <si>
    <t xml:space="preserve">First Pass Yield</t>
  </si>
  <si>
    <t xml:space="preserve">Scrap Reason</t>
  </si>
  <si>
    <t xml:space="preserve">Inspector / SH Tech</t>
  </si>
  <si>
    <t xml:space="preserve">Intact</t>
  </si>
  <si>
    <t xml:space="preserve">Tiss, porcine, fem, Pelvic block, intact</t>
  </si>
  <si>
    <t xml:space="preserve">1 hole in bowel; 1 label marked for thin area in bowel</t>
  </si>
  <si>
    <t xml:space="preserve">Toni / Jesus</t>
  </si>
  <si>
    <t xml:space="preserve">2026-04-15</t>
  </si>
  <si>
    <t xml:space="preserve">2 blood clots (moved to non-intact); 2 scrapped for cut in urethra</t>
  </si>
  <si>
    <t xml:space="preserve">Non-intact</t>
  </si>
  <si>
    <t xml:space="preserve">Tiss, porcine, fem, Pelvic block, non-intact</t>
  </si>
  <si>
    <t xml:space="preserve">3 labels used for thin area in bowel (ran out of labels)</t>
  </si>
  <si>
    <t xml:space="preserve">Ran out of time (bagging set for later; SH tech start time changed to 8:00–4:30 PM)</t>
  </si>
  <si>
    <t xml:space="preserve">2026-04-22</t>
  </si>
  <si>
    <t xml:space="preserve">1 damaged bowel</t>
  </si>
  <si>
    <t xml:space="preserve">2 damaged after cleaning</t>
  </si>
  <si>
    <t xml:space="preserve">2 damaged bowel</t>
  </si>
  <si>
    <t xml:space="preserve">1 damaged urethra</t>
  </si>
  <si>
    <t xml:space="preserve">2026-05-06</t>
  </si>
  <si>
    <t xml:space="preserve">3 damaged urethra</t>
  </si>
  <si>
    <t xml:space="preserve">1 small bladder</t>
  </si>
  <si>
    <t xml:space="preserve">2026-05-18</t>
  </si>
  <si>
    <t xml:space="preserve">3 cut urethra; 1 short block</t>
  </si>
  <si>
    <t xml:space="preserve">2026-05-21</t>
  </si>
  <si>
    <t xml:space="preserve">2 cut urethra</t>
  </si>
  <si>
    <t xml:space="preserve">1 deformed ligaments clumped together</t>
  </si>
  <si>
    <t xml:space="preserve">1 damaged membrane and ureter</t>
  </si>
  <si>
    <t xml:space="preserve">1 hole in bowel; 2 membrane damage &gt;0.5"</t>
  </si>
  <si>
    <t xml:space="preserve">Tiss, porcine, fem, Pelvic block, intact, SM</t>
  </si>
  <si>
    <t xml:space="preserve">4 mesentery length too short in critical zone; 1 bladder damage (internals exposed)</t>
  </si>
  <si>
    <t xml:space="preserve">Rasmin / Natalie</t>
  </si>
  <si>
    <t xml:space="preserve">2026-06-01</t>
  </si>
  <si>
    <t xml:space="preserve">2026-06-03</t>
  </si>
  <si>
    <t xml:space="preserve">2 scrapped urethra</t>
  </si>
  <si>
    <t xml:space="preserve">BATCH-LEVEL ROLLUP (aggregated across harvest dates)</t>
  </si>
  <si>
    <t xml:space="preserve">Harvest Dates</t>
  </si>
  <si>
    <t xml:space="preserve">TOTAL</t>
  </si>
  <si>
    <t xml:space="preserve">SH → ATM YIELD COMPARISON (stage-to-stage reconciliation where both exist)</t>
  </si>
  <si>
    <t xml:space="preserve">SH # Inspected</t>
  </si>
  <si>
    <t xml:space="preserve">SH # Pass</t>
  </si>
  <si>
    <t xml:space="preserve">SH Yield</t>
  </si>
  <si>
    <t xml:space="preserve">ATM # Received</t>
  </si>
  <si>
    <t xml:space="preserve">ATM # Accepted</t>
  </si>
  <si>
    <t xml:space="preserve">ATM Yield</t>
  </si>
  <si>
    <t xml:space="preserve">Pass → Received Δ</t>
  </si>
  <si>
    <t xml:space="preserve">Stage-to-stage note</t>
  </si>
  <si>
    <t xml:space="preserve">SH passed 60 intact units; ATM received 20 on 2026-04-20 (all accepted). Remaining 40 units unaccounted for in this dataset — likely still in freezer or allocated to a later ATM receipt.</t>
  </si>
  <si>
    <t xml:space="preserve">666506 (non-intact) is not tracked in the ATM dataset. Stage-to-stage comparison not possible from current data.</t>
  </si>
  <si>
    <t xml:space="preserve">Now appears at ATM: 35 units received 05-11 (all accepted) plus 98 received 05-28 (all accepted) = 133 received / 133 accepted (100% ATM acceptance). SH sampled 57, passed 56. Both ATM receipts cleared with zero scrap — a strong stage-to-stage hold for this lot.</t>
  </si>
  <si>
    <t xml:space="preserve">666506 not tracked at ATM. No stage-to-stage comparison available.</t>
  </si>
  <si>
    <t xml:space="preserve">Now appears at ATM: 172 received 05-28, 167 accepted (97.1% ATM acceptance). SH sampled 62, passed 58 (93.5%). ATM scrap was 4 urethra lacerations + 1 critical mesentery, echoing the Visit 3 urethra pattern. The SH figure is a small sample, so read the SH-vs-ATM yield gap as indicative only.</t>
  </si>
  <si>
    <t xml:space="preserve">Newly harvested 05/18 &amp; 05/21. Expected at ATM in coming weeks. SH yield 93.5% (87/93).</t>
  </si>
  <si>
    <t xml:space="preserve">Newly harvested 06/01 &amp; 06/03. Not yet at ATM; expected in coming weeks.</t>
  </si>
  <si>
    <t xml:space="preserve">666506 (non-intact) is not tracked at ATM. No stage-to-stage comparison.</t>
  </si>
  <si>
    <t xml:space="preserve">NOTES ON INTERPRETATION &amp; DATA QUALITY</t>
  </si>
  <si>
    <t xml:space="preserve">1. 666506 = non-intact</t>
  </si>
  <si>
    <t xml:space="preserve">In the source tally sheets, PN 666541 is labeled 'intact' and PN 666506 is labeled 'Non intact'. Scrap reasons include phrases like '2 blood clots, moved to non intact', suggesting 666506 is a downgrade/recovery spec rather than an independent product line. Confirm with Quality before relying on this interpretation.</t>
  </si>
  <si>
    <t xml:space="preserve">2. Different lot suffixes for intact vs non-intact</t>
  </si>
  <si>
    <t xml:space="preserve">Intact and non-intact batches from the same kill day carry DIFFERENT lot numbers (e.g. Visit 1: 5502378434 intact / 5502378430 non-intact; Visit 3: 5502404928 intact / 5502404924 non-intact). The prefix ties them to the same kill but they are tracked separately. This is what 'same batch number but not exactly' refers to.</t>
  </si>
  <si>
    <t xml:space="preserve">3. 'Ran out of time' event on 04/20</t>
  </si>
  <si>
    <t xml:space="preserve">Lot 5502391862 intact had zero units inspected on 04/20 due to a schedule conflict (bagging set later, SH tech start time changed to 8:00–4:30 PM). 57 units from that lot were inspected on 04/22 instead. Process note, not a quality signal — but if it recurs, sampling discipline at the slaughterhouse is worth revisiting.</t>
  </si>
  <si>
    <t xml:space="preserve">4. 'Damaged urethra' dominates Visit 3</t>
  </si>
  <si>
    <t xml:space="preserve">On Visit 3 (05/04 + 05/06), 7 of 8 failures across both intact and non-intact were 'damaged urethra' — a sharp departure from prior visits, where bowel-related defects dominated. Worth checking whether harvest technique or tooling changed, or whether the long pre-inspection wait on 05/04 (see next note) contributed.</t>
  </si>
  <si>
    <t xml:space="preserve">5. Long truck wait on 05/04 (Visit 3)</t>
  </si>
  <si>
    <t xml:space="preserve">Source tally-sheet notes record: 'Monday 05/04 waited 2 hour for truck to deliver at 10:15 am. Had almost 3 hours of waiting.' Tissue sitting longer pre-inspection plausibly correlates with the urethra-damage spike that day. Worth tagging future inspections with delivery time so this can be analyzed quantitatively.</t>
  </si>
  <si>
    <t xml:space="preserve">6. Source file typos</t>
  </si>
  <si>
    <t xml:space="preserve">Source tally sheets carry '25026' instead of '2026' in the Date and Kill Date fields (Harvest Date is correct). Not reflected here — clean dates used throughout. One-line correction in the tally-sheet template would fix it going forward.</t>
  </si>
  <si>
    <t xml:space="preserve">7. Stage-to-stage scope</t>
  </si>
  <si>
    <t xml:space="preserve">Three lots now have BOTH SH and ATM data: 5502378434, 5502391862, and 5502404928. The 666506 non-intact lots remain untracked at ATM. As lots accumulate, the SH-vs-ATM yield gap is the cleanest available proxy for freeze/thaw/transport damage.</t>
  </si>
  <si>
    <t xml:space="preserve">8. Eight inspection visits so far</t>
  </si>
  <si>
    <t xml:space="preserve">Six at Martins (Visits 1–5 and 7) and two at Parks (Visits 6 and 8). To extend, append new visit metadata, raw-data rows, and rollup rows; the TOTAL and SH→ATM sections then need refreshing.</t>
  </si>
  <si>
    <t xml:space="preserve">9. Lot 5502421192 reused on the 05/27 sheet</t>
  </si>
  <si>
    <t xml:space="preserve">The 05/27 Martins tally sheet records the intact lot as 5502421192 — identical to Visit 4's intact lot (harvested 05/18 &amp; 05/21). A single fresh lot spanning 05/18–05/27 is unlikely, so this is probably a tally-sheet carry-over from the prior week's template. It is recorded here as a separate Visit 5 (harvest 05/27), NOT merged into Visit 4, pending confirmation of the true lot number with the SH.</t>
  </si>
  <si>
    <t xml:space="preserve">10. New slaughterhouse &amp; inspection team (Parks, 05/28)</t>
  </si>
  <si>
    <t xml:space="preserve">First SH-floor inspection at Parks Family Meats, with a new ATM inspector (Rasmin) and new SH tech (Natalie) vs. Toni / Jesus at Martins. Source PN was written 668518 and normalized to 666518 (per the workbook's typo convention). No batch/lot was recorded ('no batch data'), so this visit has no SH→ATM link, and the related Parks ATM lot 5502428883 (7 received / 7 scrapped, 'before our visit') has no SH-floor counterpart here. Date taken from the source date field (05/28); the carried-over note text mentioning '5/27' and non-intact labels does not apply to this intact-only Parks visit.</t>
  </si>
  <si>
    <t xml:space="preserve">11. Visit 7 harvest-date split (06/01 vs 06/03)</t>
  </si>
  <si>
    <t xml:space="preserve">The 06/01 &amp; 06/03 Martins tally sheet did not label which counts belong to which day. Based on the note that 06/01 finished early (truck no-show, cleanup 1pm), the smaller counts were assigned to 06/01 (9 intact, 7 non-intact) and the larger to 06/03 (45 intact, 29 non-intact), placing the 2 urethra scraps on 06/03. Flip the two raw rows if the source intended otherwise — the batch-level rollup is identical either way.</t>
  </si>
  <si>
    <t xml:space="preserve">12. New visits 7 (Martins) &amp; 8 (Parks)</t>
  </si>
  <si>
    <t xml:space="preserve">Visit 7 adds intact lot 5502428786 and non-intact lot 5502428782 (Martins). Visit 8 is the second Parks visit (intact-only, no batch/lot; PN normalized 668518 → 666518). The Parks visit date 06/02 is the cached value of a volatile =NOW()-1 field on the source sheet, so it is nominal. One non-intact Martins row (29 inspected) had a blank pass cell on the source; recorded as 29 pass since fail = 0.</t>
  </si>
  <si>
    <t xml:space="preserve">Date</t>
  </si>
  <si>
    <t xml:space="preserve">Part Number</t>
  </si>
  <si>
    <t xml:space="preserve">Description</t>
  </si>
  <si>
    <t xml:space="preserve">Lot #</t>
  </si>
  <si>
    <t xml:space="preserve">Received</t>
  </si>
  <si>
    <t xml:space="preserve">Accepted</t>
  </si>
  <si>
    <t xml:space="preserve">Scrap</t>
  </si>
  <si>
    <t xml:space="preserve">DV Tech Pelvic Block (F)</t>
  </si>
  <si>
    <t xml:space="preserve">(not recorded)</t>
  </si>
  <si>
    <t xml:space="preserve">666540</t>
  </si>
  <si>
    <t xml:space="preserve">DV Tech Pelvic Block (M)</t>
  </si>
  <si>
    <t xml:space="preserve">5502273661</t>
  </si>
  <si>
    <t xml:space="preserve">5502291196</t>
  </si>
  <si>
    <t xml:space="preserve">5502250634</t>
  </si>
  <si>
    <t xml:space="preserve">5502223712</t>
  </si>
  <si>
    <t xml:space="preserve">(batch A)</t>
  </si>
  <si>
    <t xml:space="preserve">5502291197</t>
  </si>
  <si>
    <t xml:space="preserve">Parks</t>
  </si>
  <si>
    <t xml:space="preserve">5502327700</t>
  </si>
  <si>
    <t xml:space="preserve">5502314191</t>
  </si>
  <si>
    <t xml:space="preserve">5502358107</t>
  </si>
  <si>
    <t xml:space="preserve">5502358105</t>
  </si>
  <si>
    <t xml:space="preserve">5502336410</t>
  </si>
  <si>
    <t xml:space="preserve">5502349607</t>
  </si>
  <si>
    <t xml:space="preserve">5502381764</t>
  </si>
  <si>
    <t xml:space="preserve">5502387163</t>
  </si>
  <si>
    <t xml:space="preserve">5502391768</t>
  </si>
  <si>
    <t xml:space="preserve">5502398786</t>
  </si>
  <si>
    <t xml:space="preserve">5502413488</t>
  </si>
  <si>
    <t xml:space="preserve">5502404922</t>
  </si>
  <si>
    <t xml:space="preserve">5502428883</t>
  </si>
  <si>
    <t xml:space="preserve">GRAND TOTAL</t>
  </si>
  <si>
    <t xml:space="preserve">Sex</t>
  </si>
  <si>
    <t xml:space="preserve">Defect (as recorded)</t>
  </si>
  <si>
    <t xml:space="preserve">Count</t>
  </si>
  <si>
    <t xml:space="preserve">Lot Received</t>
  </si>
  <si>
    <t xml:space="preserve">Lot Accepted</t>
  </si>
  <si>
    <t xml:space="preserve">Lot Scrap</t>
  </si>
  <si>
    <t xml:space="preserve">Female</t>
  </si>
  <si>
    <t xml:space="preserve">Hole in critical Mesentery greater than 0.5"</t>
  </si>
  <si>
    <t xml:space="preserve">Bood Clot</t>
  </si>
  <si>
    <t xml:space="preserve">Bladder Length less than 3"</t>
  </si>
  <si>
    <t xml:space="preserve">Damage to Urethra</t>
  </si>
  <si>
    <t xml:space="preserve">Damage to Bladder</t>
  </si>
  <si>
    <t xml:space="preserve">Bladder Length greater than 5.5"</t>
  </si>
  <si>
    <t xml:space="preserve">Lacerations on Urethra</t>
  </si>
  <si>
    <t xml:space="preserve">Lacerations on Bladder</t>
  </si>
  <si>
    <t xml:space="preserve">Lacerations on Urethra exposing internal surfaces</t>
  </si>
  <si>
    <t xml:space="preserve">Lacerations on Bladder exposing internal surfaces</t>
  </si>
  <si>
    <t xml:space="preserve">Laceration in critical area greater than 0.5"</t>
  </si>
  <si>
    <t xml:space="preserve">(no defects recorded)</t>
  </si>
  <si>
    <t xml:space="preserve">Length of ≤7" of mesentery membrane from bladder neck.</t>
  </si>
  <si>
    <t xml:space="preserve">Male</t>
  </si>
  <si>
    <t xml:space="preserve">666541 DV Tech Pelvic Block (Female) — Martins</t>
  </si>
  <si>
    <t xml:space="preserve">TOTAL DEFECTS</t>
  </si>
  <si>
    <t xml:space="preserve">666540 DV Tech Pelvic Block (Male) — Martins</t>
  </si>
  <si>
    <t xml:space="preserve">666518 DV Tech Pelvic Block (Female) — Parks</t>
  </si>
  <si>
    <t xml:space="preserve">Supplier Comparison — Martins vs Parks</t>
  </si>
  <si>
    <t xml:space="preserve">Metric</t>
  </si>
  <si>
    <t xml:space="preserve">Receipt events</t>
  </si>
  <si>
    <t xml:space="preserve">Lots inspected</t>
  </si>
  <si>
    <t xml:space="preserve">Units received</t>
  </si>
  <si>
    <t xml:space="preserve">Units accepted</t>
  </si>
  <si>
    <t xml:space="preserve">Units scrapped</t>
  </si>
  <si>
    <t xml:space="preserve">Rejection % (rolling)</t>
  </si>
  <si>
    <t xml:space="preserve">DEFECT BREAKDOWN BY CANONICAL CATEGORY</t>
  </si>
  <si>
    <t xml:space="preserve">Martins % of scrap</t>
  </si>
  <si>
    <t xml:space="preserve">Parks % of scrap</t>
  </si>
  <si>
    <t xml:space="preserve">Note: Martins volume is several times Parks volume; absolute counts will be larger by construction. Compare the % of scrap columns to see WHICH defects dominate at each supplier.</t>
  </si>
  <si>
    <t xml:space="preserve">Defect Atlas — Visual Reference</t>
  </si>
  <si>
    <t xml:space="preserve">Visual reference for inspector training and supplier feedback. Each section pairs the defect category with the original IQC reference photo. Use the right-hand column to record which canonical defect category each photo maps to.</t>
  </si>
  <si>
    <t xml:space="preserve">1. Bladder Laceration exposing internal surfaces</t>
  </si>
  <si>
    <t xml:space="preserve">Reference photo</t>
  </si>
  <si>
    <t xml:space="preserve">Canonical defect category</t>
  </si>
  <si>
    <t xml:space="preserve">Inspector notes</t>
  </si>
  <si>
    <t xml:space="preserve">Per spec 668741-RevD §6.1.2. Right-hand panel shows a normal bladder for contrast. Exposing the inner mucosa is the disqualifier — surface scratches that do not penetrate are acceptable.</t>
  </si>
  <si>
    <t xml:space="preserve">2. Bladder Length Undersize  +  Urethra Laceration</t>
  </si>
  <si>
    <t xml:space="preserve">Bladder Length Undersize  /  Urethra Laceration (exposing internal)</t>
  </si>
  <si>
    <t xml:space="preserve">Top: bladder measured below the lower spec limit (was &lt;3", relaxed to &lt;2" on 2026-03-23). Bottom: urethral laceration that exposes the lumen vs one that does not. Only lumen-exposing lacerations are scrapped.</t>
  </si>
  <si>
    <t xml:space="preserve">3. Urethra Laceration  +  Mesentery Laceration in critical area</t>
  </si>
  <si>
    <t xml:space="preserve">Urethra Laceration (exposing internal)  /  Critical Mesentery Hole/Laceration (&gt;0.5")</t>
  </si>
  <si>
    <t xml:space="preserve">Top-right: a missing urethral segment with a corresponding hole in the vagina — full disqualifier. Bottom: mesenteric membrane perforation in the critical area exceeding 0.5" diameter.</t>
  </si>
  <si>
    <t xml:space="preserve">4. Mesentery Laceration in critical area</t>
  </si>
  <si>
    <t xml:space="preserve">Multiple holes visible in the critical zone. Common at Martins early in the period (17 units on 2026-02-23) and again on 2026-03-16 (18 units) and 2026-04-20 (18 units). Pattern suggests harvest tool / technique variability rather than animal variability.</t>
  </si>
  <si>
    <t xml:space="preserve">5. Mesentery Critical Area — Example 1 (PN 666540 Male)</t>
  </si>
  <si>
    <t xml:space="preserve">Reference example for the male part. Spec ref: 668741 Rev E §6.1.4 – 6.1.4.1.</t>
  </si>
  <si>
    <t xml:space="preserve">6. Mesentery Critical Area — Examples 1-1 and 1-2 (PN 666541 Female)</t>
  </si>
  <si>
    <t xml:space="preserve">Reference examples for the female part, dated 2026-03-18. Spec ref: 668741 Rev E §6.1.4 – 6.1.4.1. Useful for inspector calibration sessions.</t>
  </si>
  <si>
    <t xml:space="preserve">Pelvic Blocks — Incoming Quality Control Reconstruction</t>
  </si>
  <si>
    <t xml:space="preserve">Period covered</t>
  </si>
  <si>
    <t xml:space="preserve">2026-02-09 through 2026-04-20 (11 weeks)</t>
  </si>
  <si>
    <t xml:space="preserve">Parts in scope</t>
  </si>
  <si>
    <t xml:space="preserve">666541 DV Tech Pelvic Block (Female – Martins)</t>
  </si>
  <si>
    <t xml:space="preserve">666540 DV Tech Pelvic Block (Male – Martins)</t>
  </si>
  <si>
    <t xml:space="preserve">666518 DV Tech Pelvic Block (Female – Parks)</t>
  </si>
  <si>
    <t xml:space="preserve">Slaughterhouses</t>
  </si>
  <si>
    <t xml:space="preserve">Martins (NC), Parks (NC)</t>
  </si>
  <si>
    <t xml:space="preserve">Source</t>
  </si>
  <si>
    <t xml:space="preserve">Reconstructed from IQC screenshots (CAPA 2026-01 dataset)</t>
  </si>
  <si>
    <t xml:space="preserve">WORKBOOK MAP</t>
  </si>
  <si>
    <t xml:space="preserve">Sheet</t>
  </si>
  <si>
    <t xml:space="preserve">Purpose</t>
  </si>
  <si>
    <t xml:space="preserve">Receipt Summary</t>
  </si>
  <si>
    <t xml:space="preserve">One row per receipt event with totals and rejection rate. Sorted by date. Conditional formatting highlights rejection-rate spikes.</t>
  </si>
  <si>
    <t xml:space="preserve">Master Data</t>
  </si>
  <si>
    <t xml:space="preserve">Long-format defect log: one row per (date × lot × defect). The single source of truth — every other sheet pivots from this.</t>
  </si>
  <si>
    <t xml:space="preserve">Defect Pivot 666541-F</t>
  </si>
  <si>
    <t xml:space="preserve">Defect counts × date for the female part at Martins. Rows = canonical defect; columns = receipt date.</t>
  </si>
  <si>
    <t xml:space="preserve">Defect Pivot 666540-M</t>
  </si>
  <si>
    <t xml:space="preserve">Same view for the male part at Martins.</t>
  </si>
  <si>
    <t xml:space="preserve">Defect Pivot 666518-F</t>
  </si>
  <si>
    <t xml:space="preserve">Same view for the female part at Parks.</t>
  </si>
  <si>
    <t xml:space="preserve">Supplier Comparison</t>
  </si>
  <si>
    <t xml:space="preserve">Martins vs Parks side-by-side: receipts, scrap, rejection rate, top-3 defects per supplier.</t>
  </si>
  <si>
    <t xml:space="preserve">Defect Atlas</t>
  </si>
  <si>
    <t xml:space="preserve">Visual reference for each defect category. Use during inspector training and supplier feedback.</t>
  </si>
  <si>
    <t xml:space="preserve">READING NOTES — IMPORTANT</t>
  </si>
  <si>
    <t xml:space="preserve">Spec drift</t>
  </si>
  <si>
    <t xml:space="preserve">Defect names changed mid-period. Same physical issue often appears under two names (e.g. 'Damage to Urethra' early, 'Lacerations on Urethra exposing internal surfaces' later). The Master Data sheet preserves the ORIGINAL defect name AND maps it to a CANONICAL category so trends remain comparable.</t>
  </si>
  <si>
    <t xml:space="preserve">Bladder length</t>
  </si>
  <si>
    <t xml:space="preserve">Lower spec changed from &lt;3" (Feb-Mar) to &lt;2" (late Mar onward). This will show as a sudden drop in the 'Bladder Length Undersize' line that is NOT a real quality improvement — it is a spec relaxation.</t>
  </si>
  <si>
    <t xml:space="preserve">New spec</t>
  </si>
  <si>
    <t xml:space="preserve">'Length of ≤7" of mesentery membrane from bladder neck' first appears 2026-03-30. Not a new defect — a newly-measured one.</t>
  </si>
  <si>
    <t xml:space="preserve">'Bood Clot'</t>
  </si>
  <si>
    <t xml:space="preserve">Source spec carries this typo. Normalized to 'Blood Clot' in the canonical category.</t>
  </si>
  <si>
    <t xml:space="preserve">Lot field</t>
  </si>
  <si>
    <t xml:space="preserve">Where lot number was not legible on the source screenshot, it is recorded as '(not recorded)'. The 2026-03-02 666541 batch with 160 units is labeled '(batch A)' to distinguish it from the 50-unit lot 5502291197 from the same date.</t>
  </si>
</sst>
</file>

<file path=xl/styles.xml><?xml version="1.0" encoding="utf-8"?>
<styleSheet xmlns="http://schemas.openxmlformats.org/spreadsheetml/2006/main">
  <numFmts count="4">
    <numFmt numFmtId="164" formatCode="General"/>
    <numFmt numFmtId="165" formatCode="General"/>
    <numFmt numFmtId="166" formatCode="0.00%"/>
    <numFmt numFmtId="167" formatCode="0.0%"/>
  </numFmts>
  <fonts count="16">
    <font>
      <sz val="11"/>
      <color theme="1"/>
      <name val="Aptos Narrow"/>
      <family val="2"/>
      <charset val="1"/>
    </font>
    <font>
      <sz val="10"/>
      <name val="Arial"/>
      <family val="0"/>
    </font>
    <font>
      <sz val="10"/>
      <name val="Arial"/>
      <family val="0"/>
    </font>
    <font>
      <sz val="10"/>
      <name val="Arial"/>
      <family val="0"/>
    </font>
    <font>
      <sz val="11"/>
      <color theme="1"/>
      <name val="Calibri"/>
      <family val="2"/>
      <charset val="1"/>
    </font>
    <font>
      <b val="true"/>
      <sz val="16"/>
      <color rgb="FF1F3864"/>
      <name val="Calibri"/>
      <family val="2"/>
      <charset val="1"/>
    </font>
    <font>
      <i val="true"/>
      <sz val="9"/>
      <color rgb="FF595959"/>
      <name val="Calibri"/>
      <family val="2"/>
      <charset val="1"/>
    </font>
    <font>
      <b val="true"/>
      <sz val="12"/>
      <color rgb="FFFFFFFF"/>
      <name val="Calibri"/>
      <family val="2"/>
      <charset val="1"/>
    </font>
    <font>
      <b val="true"/>
      <sz val="11"/>
      <color rgb="FFFFFFFF"/>
      <name val="Calibri"/>
      <family val="2"/>
      <charset val="1"/>
    </font>
    <font>
      <sz val="10"/>
      <name val="Calibri"/>
      <family val="2"/>
      <charset val="1"/>
    </font>
    <font>
      <b val="true"/>
      <sz val="10"/>
      <name val="Calibri"/>
      <family val="2"/>
      <charset val="1"/>
    </font>
    <font>
      <b val="true"/>
      <sz val="18"/>
      <color rgb="FF000000"/>
      <name val="Aptos Narrow"/>
      <family val="2"/>
    </font>
    <font>
      <sz val="10"/>
      <color rgb="FF000000"/>
      <name val="Aptos Narrow"/>
      <family val="2"/>
    </font>
    <font>
      <b val="true"/>
      <sz val="10"/>
      <color rgb="FF000000"/>
      <name val="Aptos Narrow"/>
      <family val="2"/>
    </font>
    <font>
      <i val="true"/>
      <sz val="10"/>
      <color rgb="FF595959"/>
      <name val="Calibri"/>
      <family val="2"/>
      <charset val="1"/>
    </font>
    <font>
      <b val="true"/>
      <sz val="11"/>
      <color rgb="FFC00000"/>
      <name val="Calibri"/>
      <family val="2"/>
      <charset val="1"/>
    </font>
  </fonts>
  <fills count="7">
    <fill>
      <patternFill patternType="none"/>
    </fill>
    <fill>
      <patternFill patternType="gray125"/>
    </fill>
    <fill>
      <patternFill patternType="solid">
        <fgColor rgb="FF2E75B6"/>
        <bgColor rgb="FF1F77B4"/>
      </patternFill>
    </fill>
    <fill>
      <patternFill patternType="solid">
        <fgColor rgb="FF1F3864"/>
        <bgColor rgb="FF333333"/>
      </patternFill>
    </fill>
    <fill>
      <patternFill patternType="solid">
        <fgColor rgb="FFD9E1F2"/>
        <bgColor rgb="FFD9D9D9"/>
      </patternFill>
    </fill>
    <fill>
      <patternFill patternType="solid">
        <fgColor rgb="FF548235"/>
        <bgColor rgb="FF2CA02C"/>
      </patternFill>
    </fill>
    <fill>
      <patternFill patternType="solid">
        <fgColor rgb="FFFFF2CC"/>
        <bgColor rgb="FFFFFFFF"/>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bottom" textRotation="0" wrapText="false" indent="0" shrinkToFit="false"/>
      <protection locked="true" hidden="false"/>
    </xf>
  </cellStyleXfs>
  <cellXfs count="31">
    <xf numFmtId="164" fontId="0" fillId="0" borderId="0" xfId="0" applyFont="fals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7" fillId="2" borderId="0" xfId="0" applyFont="true" applyBorder="true" applyAlignment="true" applyProtection="false">
      <alignment horizontal="left" vertical="center" textRotation="0" wrapText="false" indent="1" shrinkToFit="false"/>
      <protection locked="true" hidden="false"/>
    </xf>
    <xf numFmtId="164" fontId="8" fillId="3" borderId="1" xfId="0" applyFont="true" applyBorder="true" applyAlignment="true" applyProtection="false">
      <alignment horizontal="center" vertical="center" textRotation="0" wrapText="true" indent="0" shrinkToFit="false"/>
      <protection locked="true" hidden="false"/>
    </xf>
    <xf numFmtId="164" fontId="9" fillId="0" borderId="1" xfId="0" applyFont="true" applyBorder="true" applyAlignment="true" applyProtection="false">
      <alignment horizontal="left" vertical="bottom" textRotation="0" wrapText="false" indent="0" shrinkToFit="false"/>
      <protection locked="true" hidden="false"/>
    </xf>
    <xf numFmtId="165" fontId="9" fillId="0" borderId="1" xfId="0" applyFont="true" applyBorder="true" applyAlignment="true" applyProtection="false">
      <alignment horizontal="right" vertical="bottom" textRotation="0" wrapText="false" indent="0" shrinkToFit="false"/>
      <protection locked="true" hidden="false"/>
    </xf>
    <xf numFmtId="164" fontId="10" fillId="4" borderId="1" xfId="0" applyFont="true" applyBorder="true" applyAlignment="true" applyProtection="false">
      <alignment horizontal="left" vertical="bottom" textRotation="0" wrapText="false" indent="0" shrinkToFit="false"/>
      <protection locked="true" hidden="false"/>
    </xf>
    <xf numFmtId="165" fontId="10" fillId="4" borderId="1" xfId="0" applyFont="true" applyBorder="true" applyAlignment="true" applyProtection="false">
      <alignment horizontal="right" vertical="bottom" textRotation="0" wrapText="false" indent="0" shrinkToFit="false"/>
      <protection locked="true" hidden="false"/>
    </xf>
    <xf numFmtId="166" fontId="10" fillId="4" borderId="1" xfId="0" applyFont="true" applyBorder="true" applyAlignment="true" applyProtection="false">
      <alignment horizontal="right" vertical="bottom" textRotation="0" wrapText="false" indent="0" shrinkToFit="false"/>
      <protection locked="true" hidden="false"/>
    </xf>
    <xf numFmtId="164" fontId="7" fillId="5" borderId="0" xfId="0" applyFont="true" applyBorder="true" applyAlignment="true" applyProtection="false">
      <alignment horizontal="left" vertical="center" textRotation="0" wrapText="false" indent="1" shrinkToFit="false"/>
      <protection locked="true" hidden="false"/>
    </xf>
    <xf numFmtId="164" fontId="8" fillId="3" borderId="1" xfId="0" applyFont="true" applyBorder="true" applyAlignment="true" applyProtection="false">
      <alignment horizontal="center" vertical="bottom" textRotation="0" wrapText="tru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7" fontId="9" fillId="0" borderId="1" xfId="0" applyFont="true" applyBorder="true" applyAlignment="true" applyProtection="false">
      <alignment horizontal="right" vertical="bottom" textRotation="0" wrapText="false" indent="0" shrinkToFit="false"/>
      <protection locked="true" hidden="false"/>
    </xf>
    <xf numFmtId="164" fontId="9" fillId="6" borderId="1" xfId="0" applyFont="true" applyBorder="true" applyAlignment="true" applyProtection="false">
      <alignment horizontal="center" vertical="bottom" textRotation="0" wrapText="false" indent="0" shrinkToFit="false"/>
      <protection locked="true" hidden="false"/>
    </xf>
    <xf numFmtId="166" fontId="9" fillId="0" borderId="1" xfId="0" applyFont="true" applyBorder="true" applyAlignment="true" applyProtection="false">
      <alignment horizontal="right" vertical="bottom" textRotation="0" wrapText="false" indent="0" shrinkToFit="false"/>
      <protection locked="true" hidden="false"/>
    </xf>
    <xf numFmtId="164" fontId="9" fillId="0" borderId="1" xfId="0" applyFont="true" applyBorder="true" applyAlignment="true" applyProtection="false">
      <alignment horizontal="left" vertical="bottom" textRotation="0" wrapText="true" indent="0" shrinkToFit="false"/>
      <protection locked="true" hidden="false"/>
    </xf>
    <xf numFmtId="164" fontId="10" fillId="4" borderId="1" xfId="0" applyFont="true" applyBorder="true" applyAlignment="false" applyProtection="false">
      <alignment horizontal="general" vertical="bottom" textRotation="0" wrapText="false" indent="0" shrinkToFit="false"/>
      <protection locked="true" hidden="false"/>
    </xf>
    <xf numFmtId="164" fontId="9" fillId="0" borderId="1" xfId="0" applyFont="true" applyBorder="true" applyAlignment="true" applyProtection="false">
      <alignment horizontal="center" vertical="bottom" textRotation="0" wrapText="fals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6" fontId="10" fillId="4" borderId="1" xfId="0" applyFont="true" applyBorder="tru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8" fillId="3" borderId="1" xfId="0" applyFont="true" applyBorder="true" applyAlignment="true" applyProtection="false">
      <alignment horizontal="center" vertical="bottom" textRotation="0" wrapText="false" indent="0" shrinkToFit="false"/>
      <protection locked="true" hidden="false"/>
    </xf>
    <xf numFmtId="164" fontId="10" fillId="0" borderId="1" xfId="0" applyFont="true" applyBorder="true" applyAlignment="false" applyProtection="false">
      <alignment horizontal="general" vertical="bottom" textRotation="0" wrapText="false" indent="0" shrinkToFit="false"/>
      <protection locked="true" hidden="false"/>
    </xf>
    <xf numFmtId="164" fontId="7" fillId="2" borderId="0" xfId="0" applyFont="true" applyBorder="true" applyAlignment="true" applyProtection="false">
      <alignment horizontal="center" vertical="bottom" textRotation="0" wrapText="false" indent="0" shrinkToFit="false"/>
      <protection locked="true" hidden="false"/>
    </xf>
    <xf numFmtId="164" fontId="14" fillId="0" borderId="0" xfId="0" applyFont="true" applyBorder="true" applyAlignment="true" applyProtection="false">
      <alignment horizontal="general" vertical="top" textRotation="0" wrapText="true" indent="0" shrinkToFit="false"/>
      <protection locked="true" hidden="false"/>
    </xf>
    <xf numFmtId="164" fontId="15" fillId="0" borderId="0" xfId="0" applyFont="true" applyBorder="true" applyAlignment="true" applyProtection="false">
      <alignment horizontal="general" vertical="top" textRotation="0" wrapText="true" indent="0" shrinkToFit="false"/>
      <protection locked="true" hidden="false"/>
    </xf>
    <xf numFmtId="164" fontId="9" fillId="0" borderId="0" xfId="0" applyFont="true" applyBorder="tru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10" fillId="0" borderId="0" xfId="0" applyFont="true" applyBorder="false" applyAlignment="true" applyProtection="false">
      <alignment horizontal="general" vertical="top" textRotation="0" wrapText="tru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Normal 2" xfId="20"/>
  </cellStyles>
  <dxfs count="31">
    <dxf>
      <fill>
        <patternFill patternType="solid">
          <fgColor rgb="FF1F3864"/>
          <bgColor rgb="FF000000"/>
        </patternFill>
      </fill>
    </dxf>
    <dxf>
      <fill>
        <patternFill patternType="solid">
          <bgColor rgb="FF000000"/>
        </patternFill>
      </fill>
    </dxf>
    <dxf>
      <fill>
        <patternFill patternType="solid">
          <fgColor rgb="FFFFFFFF"/>
          <bgColor rgb="FF000000"/>
        </patternFill>
      </fill>
    </dxf>
    <dxf>
      <fill>
        <patternFill patternType="solid">
          <fgColor rgb="FF63BE7B"/>
          <bgColor rgb="FF000000"/>
        </patternFill>
      </fill>
    </dxf>
    <dxf>
      <fill>
        <patternFill patternType="solid">
          <fgColor rgb="FF72C27B"/>
          <bgColor rgb="FF000000"/>
        </patternFill>
      </fill>
    </dxf>
    <dxf>
      <fill>
        <patternFill patternType="solid">
          <fgColor rgb="FF87C87D"/>
          <bgColor rgb="FF000000"/>
        </patternFill>
      </fill>
    </dxf>
    <dxf>
      <fill>
        <patternFill patternType="solid">
          <fgColor rgb="FF8BC97D"/>
          <bgColor rgb="FF000000"/>
        </patternFill>
      </fill>
    </dxf>
    <dxf>
      <fill>
        <patternFill patternType="solid">
          <fgColor rgb="FF94CC7D"/>
          <bgColor rgb="FF000000"/>
        </patternFill>
      </fill>
    </dxf>
    <dxf>
      <fill>
        <patternFill patternType="solid">
          <fgColor rgb="FFA3D07E"/>
          <bgColor rgb="FF000000"/>
        </patternFill>
      </fill>
    </dxf>
    <dxf>
      <fill>
        <patternFill patternType="solid">
          <fgColor rgb="FFA9D27F"/>
          <bgColor rgb="FF000000"/>
        </patternFill>
      </fill>
    </dxf>
    <dxf>
      <fill>
        <patternFill patternType="solid">
          <fgColor rgb="FFABD27F"/>
          <bgColor rgb="FF000000"/>
        </patternFill>
      </fill>
    </dxf>
    <dxf>
      <fill>
        <patternFill patternType="solid">
          <fgColor rgb="FFC5DA80"/>
          <bgColor rgb="FF000000"/>
        </patternFill>
      </fill>
    </dxf>
    <dxf>
      <fill>
        <patternFill patternType="solid">
          <fgColor rgb="FFC8DB80"/>
          <bgColor rgb="FF000000"/>
        </patternFill>
      </fill>
    </dxf>
    <dxf>
      <fill>
        <patternFill patternType="solid">
          <fgColor rgb="FFCBDC81"/>
          <bgColor rgb="FF000000"/>
        </patternFill>
      </fill>
    </dxf>
    <dxf>
      <fill>
        <patternFill patternType="solid">
          <fgColor rgb="FFD4DE81"/>
          <bgColor rgb="FF000000"/>
        </patternFill>
      </fill>
    </dxf>
    <dxf>
      <fill>
        <patternFill patternType="solid">
          <fgColor rgb="FFDFE282"/>
          <bgColor rgb="FF000000"/>
        </patternFill>
      </fill>
    </dxf>
    <dxf>
      <fill>
        <patternFill patternType="solid">
          <fgColor rgb="FFE3E382"/>
          <bgColor rgb="FF000000"/>
        </patternFill>
      </fill>
    </dxf>
    <dxf>
      <fill>
        <patternFill patternType="solid">
          <fgColor rgb="FFE7E482"/>
          <bgColor rgb="FF000000"/>
        </patternFill>
      </fill>
    </dxf>
    <dxf>
      <fill>
        <patternFill patternType="solid">
          <fgColor rgb="FFF8696B"/>
          <bgColor rgb="FF000000"/>
        </patternFill>
      </fill>
    </dxf>
    <dxf>
      <fill>
        <patternFill patternType="solid">
          <fgColor rgb="FFF9786E"/>
          <bgColor rgb="FF000000"/>
        </patternFill>
      </fill>
    </dxf>
    <dxf>
      <fill>
        <patternFill patternType="solid">
          <fgColor rgb="FFF97B6F"/>
          <bgColor rgb="FF000000"/>
        </patternFill>
      </fill>
    </dxf>
    <dxf>
      <fill>
        <patternFill patternType="solid">
          <fgColor rgb="FFFB9574"/>
          <bgColor rgb="FF000000"/>
        </patternFill>
      </fill>
    </dxf>
    <dxf>
      <fill>
        <patternFill patternType="solid">
          <fgColor rgb="FFFCAB78"/>
          <bgColor rgb="FF000000"/>
        </patternFill>
      </fill>
    </dxf>
    <dxf>
      <fill>
        <patternFill patternType="solid">
          <fgColor rgb="FFFCAC78"/>
          <bgColor rgb="FF000000"/>
        </patternFill>
      </fill>
    </dxf>
    <dxf>
      <fill>
        <patternFill patternType="solid">
          <fgColor rgb="FFFCB279"/>
          <bgColor rgb="FF000000"/>
        </patternFill>
      </fill>
    </dxf>
    <dxf>
      <fill>
        <patternFill patternType="solid">
          <fgColor rgb="FFFCEA83"/>
          <bgColor rgb="FF000000"/>
        </patternFill>
      </fill>
    </dxf>
    <dxf>
      <fill>
        <patternFill patternType="solid">
          <fgColor rgb="FFFDBB7B"/>
          <bgColor rgb="FF000000"/>
        </patternFill>
      </fill>
    </dxf>
    <dxf>
      <fill>
        <patternFill patternType="solid">
          <fgColor rgb="FFFFDB81"/>
          <bgColor rgb="FF000000"/>
        </patternFill>
      </fill>
    </dxf>
    <dxf>
      <fill>
        <patternFill patternType="solid">
          <fgColor rgb="FFFFDC82"/>
          <bgColor rgb="FF000000"/>
        </patternFill>
      </fill>
    </dxf>
    <dxf>
      <fill>
        <patternFill patternType="solid">
          <fgColor rgb="FFFFE683"/>
          <bgColor rgb="FF000000"/>
        </patternFill>
      </fill>
    </dxf>
    <dxf>
      <fill>
        <patternFill patternType="solid">
          <fgColor rgb="FFFFEB84"/>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548235"/>
      <rgbColor rgb="FF800080"/>
      <rgbColor rgb="FF008080"/>
      <rgbColor rgb="FFBFBFBF"/>
      <rgbColor rgb="FF8B8B8B"/>
      <rgbColor rgb="FF9999FF"/>
      <rgbColor rgb="FF8C564B"/>
      <rgbColor rgb="FFFFF2CC"/>
      <rgbColor rgb="FFD9E1F2"/>
      <rgbColor rgb="FF660066"/>
      <rgbColor rgb="FFFF8080"/>
      <rgbColor rgb="FF1F77B4"/>
      <rgbColor rgb="FFD9D9D9"/>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2E75B6"/>
      <rgbColor rgb="FF33CCCC"/>
      <rgbColor rgb="FF99CC00"/>
      <rgbColor rgb="FFFFCC00"/>
      <rgbColor rgb="FFFF9900"/>
      <rgbColor rgb="FFFF7F0E"/>
      <rgbColor rgb="FF595959"/>
      <rgbColor rgb="FF969696"/>
      <rgbColor rgb="FF1F3864"/>
      <rgbColor rgb="FF2CA02C"/>
      <rgbColor rgb="FF003300"/>
      <rgbColor rgb="FF333300"/>
      <rgbColor rgb="FFD62728"/>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4" Type="http://schemas.openxmlformats.org/officeDocument/2006/relationships/worksheet" Target="worksheets/sheet2.xml"/><Relationship Id="rId11" Type="http://schemas.openxmlformats.org/officeDocument/2006/relationships/worksheet" Target="worksheets/sheet9.xml"/><Relationship Id="rId12" Type="http://schemas.openxmlformats.org/officeDocument/2006/relationships/worksheet" Target="worksheets/sheet10.xml"/><Relationship Id="rId14" Type="http://schemas.openxmlformats.org/officeDocument/2006/relationships/sharedStrings" Target="sharedStrings.xml"/>
<Relationship Id="rId15" Type="http://schemas.openxmlformats.org/officeDocument/2006/relationships/worksheet" Target="worksheets/sheet12.xml"/><Relationship Id="rId17" Type="http://schemas.openxmlformats.org/officeDocument/2006/relationships/worksheet" Target="worksheets/sheet14.xml"/><Relationship Id="rId18" Type="http://schemas.openxmlformats.org/officeDocument/2006/relationships/worksheet" Target="worksheets/sheet15.xml"/></Relationships>
</file>

<file path=xl/drawings/_rels/drawing4.xml.rels><?xml version="1.0" encoding="UTF-8"?>
<Relationships xmlns="http://schemas.openxmlformats.org/package/2006/relationships"><Relationship Id="rId1" Type="http://schemas.openxmlformats.org/officeDocument/2006/relationships/image" Target="../media/image1.png"/><Relationship Id="rId2" Type="http://schemas.openxmlformats.org/officeDocument/2006/relationships/image" Target="../media/image2.png"/><Relationship Id="rId3" Type="http://schemas.openxmlformats.org/officeDocument/2006/relationships/image" Target="../media/image3.png"/><Relationship Id="rId4" Type="http://schemas.openxmlformats.org/officeDocument/2006/relationships/image" Target="../media/image4.png"/><Relationship Id="rId5" Type="http://schemas.openxmlformats.org/officeDocument/2006/relationships/image" Target="../media/image5.png"/><Relationship Id="rId6" Type="http://schemas.openxmlformats.org/officeDocument/2006/relationships/image" Target="../media/image6.png"/>
</Relationships>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4</xdr:row>
      <xdr:rowOff>130680</xdr:rowOff>
    </xdr:from>
    <xdr:to>
      <xdr:col>0</xdr:col>
      <xdr:colOff>2602440</xdr:colOff>
      <xdr:row>12</xdr:row>
      <xdr:rowOff>51120</xdr:rowOff>
    </xdr:to>
    <xdr:pic>
      <xdr:nvPicPr>
        <xdr:cNvPr id="2" name="Image 1" descr="Picture"/>
        <xdr:cNvPicPr/>
      </xdr:nvPicPr>
      <xdr:blipFill>
        <a:blip r:embed="rId1"/>
        <a:stretch/>
      </xdr:blipFill>
      <xdr:spPr>
        <a:xfrm>
          <a:off x="0" y="1302120"/>
          <a:ext cx="2602440" cy="1711440"/>
        </a:xfrm>
        <a:prstGeom prst="rect">
          <a:avLst/>
        </a:prstGeom>
        <a:ln w="0">
          <a:noFill/>
        </a:ln>
      </xdr:spPr>
    </xdr:pic>
    <xdr:clientData/>
  </xdr:twoCellAnchor>
  <xdr:twoCellAnchor editAs="oneCell">
    <xdr:from>
      <xdr:col>0</xdr:col>
      <xdr:colOff>0</xdr:colOff>
      <xdr:row>26</xdr:row>
      <xdr:rowOff>130680</xdr:rowOff>
    </xdr:from>
    <xdr:to>
      <xdr:col>0</xdr:col>
      <xdr:colOff>2602440</xdr:colOff>
      <xdr:row>38</xdr:row>
      <xdr:rowOff>22320</xdr:rowOff>
    </xdr:to>
    <xdr:pic>
      <xdr:nvPicPr>
        <xdr:cNvPr id="3" name="Image 2" descr="Picture"/>
        <xdr:cNvPicPr/>
      </xdr:nvPicPr>
      <xdr:blipFill>
        <a:blip r:embed="rId2"/>
        <a:stretch/>
      </xdr:blipFill>
      <xdr:spPr>
        <a:xfrm>
          <a:off x="0" y="6274440"/>
          <a:ext cx="2602440" cy="2596680"/>
        </a:xfrm>
        <a:prstGeom prst="rect">
          <a:avLst/>
        </a:prstGeom>
        <a:ln w="0">
          <a:noFill/>
        </a:ln>
      </xdr:spPr>
    </xdr:pic>
    <xdr:clientData/>
  </xdr:twoCellAnchor>
  <xdr:twoCellAnchor editAs="oneCell">
    <xdr:from>
      <xdr:col>0</xdr:col>
      <xdr:colOff>0</xdr:colOff>
      <xdr:row>48</xdr:row>
      <xdr:rowOff>131040</xdr:rowOff>
    </xdr:from>
    <xdr:to>
      <xdr:col>0</xdr:col>
      <xdr:colOff>2602440</xdr:colOff>
      <xdr:row>59</xdr:row>
      <xdr:rowOff>174960</xdr:rowOff>
    </xdr:to>
    <xdr:pic>
      <xdr:nvPicPr>
        <xdr:cNvPr id="4" name="Image 3" descr="Picture"/>
        <xdr:cNvPicPr/>
      </xdr:nvPicPr>
      <xdr:blipFill>
        <a:blip r:embed="rId3"/>
        <a:stretch/>
      </xdr:blipFill>
      <xdr:spPr>
        <a:xfrm>
          <a:off x="0" y="11246760"/>
          <a:ext cx="2602440" cy="2520360"/>
        </a:xfrm>
        <a:prstGeom prst="rect">
          <a:avLst/>
        </a:prstGeom>
        <a:ln w="0">
          <a:noFill/>
        </a:ln>
      </xdr:spPr>
    </xdr:pic>
    <xdr:clientData/>
  </xdr:twoCellAnchor>
  <xdr:twoCellAnchor editAs="oneCell">
    <xdr:from>
      <xdr:col>0</xdr:col>
      <xdr:colOff>0</xdr:colOff>
      <xdr:row>70</xdr:row>
      <xdr:rowOff>131040</xdr:rowOff>
    </xdr:from>
    <xdr:to>
      <xdr:col>0</xdr:col>
      <xdr:colOff>2602440</xdr:colOff>
      <xdr:row>81</xdr:row>
      <xdr:rowOff>32040</xdr:rowOff>
    </xdr:to>
    <xdr:pic>
      <xdr:nvPicPr>
        <xdr:cNvPr id="5" name="Image 4" descr="Picture"/>
        <xdr:cNvPicPr/>
      </xdr:nvPicPr>
      <xdr:blipFill>
        <a:blip r:embed="rId4"/>
        <a:stretch/>
      </xdr:blipFill>
      <xdr:spPr>
        <a:xfrm>
          <a:off x="0" y="16218720"/>
          <a:ext cx="2602440" cy="2377440"/>
        </a:xfrm>
        <a:prstGeom prst="rect">
          <a:avLst/>
        </a:prstGeom>
        <a:ln w="0">
          <a:noFill/>
        </a:ln>
      </xdr:spPr>
    </xdr:pic>
    <xdr:clientData/>
  </xdr:twoCellAnchor>
  <xdr:twoCellAnchor editAs="oneCell">
    <xdr:from>
      <xdr:col>0</xdr:col>
      <xdr:colOff>0</xdr:colOff>
      <xdr:row>92</xdr:row>
      <xdr:rowOff>130680</xdr:rowOff>
    </xdr:from>
    <xdr:to>
      <xdr:col>0</xdr:col>
      <xdr:colOff>2602440</xdr:colOff>
      <xdr:row>98</xdr:row>
      <xdr:rowOff>12960</xdr:rowOff>
    </xdr:to>
    <xdr:pic>
      <xdr:nvPicPr>
        <xdr:cNvPr id="6" name="Image 5" descr="Picture"/>
        <xdr:cNvPicPr/>
      </xdr:nvPicPr>
      <xdr:blipFill>
        <a:blip r:embed="rId5"/>
        <a:stretch/>
      </xdr:blipFill>
      <xdr:spPr>
        <a:xfrm>
          <a:off x="0" y="21190320"/>
          <a:ext cx="2602440" cy="1216080"/>
        </a:xfrm>
        <a:prstGeom prst="rect">
          <a:avLst/>
        </a:prstGeom>
        <a:ln w="0">
          <a:noFill/>
        </a:ln>
      </xdr:spPr>
    </xdr:pic>
    <xdr:clientData/>
  </xdr:twoCellAnchor>
  <xdr:twoCellAnchor editAs="oneCell">
    <xdr:from>
      <xdr:col>0</xdr:col>
      <xdr:colOff>0</xdr:colOff>
      <xdr:row>114</xdr:row>
      <xdr:rowOff>130680</xdr:rowOff>
    </xdr:from>
    <xdr:to>
      <xdr:col>0</xdr:col>
      <xdr:colOff>2602440</xdr:colOff>
      <xdr:row>126</xdr:row>
      <xdr:rowOff>51120</xdr:rowOff>
    </xdr:to>
    <xdr:pic>
      <xdr:nvPicPr>
        <xdr:cNvPr id="7" name="Image 6" descr="Picture"/>
        <xdr:cNvPicPr/>
      </xdr:nvPicPr>
      <xdr:blipFill>
        <a:blip r:embed="rId6"/>
        <a:stretch/>
      </xdr:blipFill>
      <xdr:spPr>
        <a:xfrm>
          <a:off x="0" y="26162640"/>
          <a:ext cx="2602440" cy="2625480"/>
        </a:xfrm>
        <a:prstGeom prst="rect">
          <a:avLst/>
        </a:prstGeom>
        <a:ln w="0">
          <a:noFill/>
        </a:ln>
      </xdr:spPr>
    </xdr:pic>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9.xml.rels><?xml version="1.0" encoding="UTF-8"?>
<Relationships xmlns="http://schemas.openxmlformats.org/package/2006/relationships"><Relationship Id="rId1" Type="http://schemas.openxmlformats.org/officeDocument/2006/relationships/drawing" Target="../drawings/drawing4.xml"/>
</Relationships>
</file>

<file path=xl/worksheets/sheet2.xml><?xml version="1.0" encoding="utf-8"?>
<worksheet xmlns="http://schemas.openxmlformats.org/spreadsheetml/2006/main" xmlns:r="http://schemas.openxmlformats.org/officeDocument/2006/relationships">
  <dimension ref="A1:M100"/>
  <sheetViews>
    <sheetView workbookViewId="0">
      <pane ySplit="5" topLeftCell="A6" activePane="bottomLeft" state="frozen"/>
      <selection pane="bottomLeft" activeCell="A6" sqref="A6"/>
    </sheetView>
  </sheetViews>
  <sheetFormatPr defaultRowHeight="15"/>
  <cols>
    <col min="1" max="1" width="11" customWidth="1"/>
    <col min="2" max="2" width="15" customWidth="1"/>
    <col min="3" max="3" width="13" customWidth="1"/>
    <col min="4" max="4" width="12" customWidth="1"/>
    <col min="5" max="5" width="11" customWidth="1"/>
    <col min="6" max="6" width="8" customWidth="1"/>
    <col min="7" max="7" width="13" customWidth="1"/>
    <col min="8" max="8" width="13" customWidth="1"/>
    <col min="9" max="11" width="9" customWidth="1"/>
    <col min="12" max="12" width="10" customWidth="1"/>
    <col min="13" max="13" width="55" customWidth="1"/>
  </cols>
  <sheetData>
    <row r="1" ht="22" customHeight="true">
      <c r="A1" s="1" t="inlineStr">
        <is>
          <t xml:space="preserve">SH IQC Inspections — Slaughterhouse-Floor Incoming Quality</t>
        </is>
      </c>
    </row>
    <row r="2" ht="44" customHeight="true">
      <c r="A2" s="2" t="inlineStr">
        <is>
          <t xml:space="preserve">Post-harvest, pre-freeze inspections at the slaughterhouse — all tissue types and parts. 59 part-inspections across 39 visit-days · 3 slaughterhouses (Martins, Parks, Nahunta) · Apr 13 – Aug 19, 2026. One row per part per harvest date.</t>
        </is>
      </c>
    </row>
    <row r="3"/>
    <row r="4" ht="18" customHeight="true">
      <c r="A4" s="3" t="inlineStr">
        <is>
          <t xml:space="preserve">INSPECTION LOG</t>
        </is>
      </c>
    </row>
    <row r="5">
      <c r="A5" s="11" t="inlineStr">
        <is>
          <t xml:space="preserve">Harvest Date</t>
        </is>
      </c>
      <c r="B5" s="11" t="inlineStr">
        <is>
          <t xml:space="preserve">Slaughterhouse</t>
        </is>
      </c>
      <c r="C5" s="11" t="inlineStr">
        <is>
          <t xml:space="preserve">Inspector</t>
        </is>
      </c>
      <c r="D5" s="11" t="inlineStr">
        <is>
          <t xml:space="preserve">SH Tech</t>
        </is>
      </c>
      <c r="E5" s="11" t="inlineStr">
        <is>
          <t xml:space="preserve">Tissue Type</t>
        </is>
      </c>
      <c r="F5" s="11" t="inlineStr">
        <is>
          <t xml:space="preserve">Part #</t>
        </is>
      </c>
      <c r="G5" s="11" t="inlineStr">
        <is>
          <t xml:space="preserve">Description</t>
        </is>
      </c>
      <c r="H5" s="11" t="inlineStr">
        <is>
          <t xml:space="preserve">Lot</t>
        </is>
      </c>
      <c r="I5" s="11" t="inlineStr">
        <is>
          <t xml:space="preserve"># Inspected</t>
        </is>
      </c>
      <c r="J5" s="11" t="inlineStr">
        <is>
          <t xml:space="preserve"># Pass</t>
        </is>
      </c>
      <c r="K5" s="11" t="inlineStr">
        <is>
          <t xml:space="preserve"># Fail</t>
        </is>
      </c>
      <c r="L5" s="11" t="inlineStr">
        <is>
          <t xml:space="preserve">First-Pass Yield</t>
        </is>
      </c>
      <c r="M5" s="11" t="inlineStr">
        <is>
          <t xml:space="preserve">Scrap reason / notes</t>
        </is>
      </c>
    </row>
    <row r="6" ht="27.0" customHeight="true">
      <c r="A6" s="5" t="inlineStr">
        <is>
          <t xml:space="preserve">2026-04-13</t>
        </is>
      </c>
      <c r="B6" s="5" t="inlineStr">
        <is>
          <t xml:space="preserve">Martins</t>
        </is>
      </c>
      <c r="C6" s="5" t="inlineStr">
        <is>
          <t xml:space="preserve">Toni</t>
        </is>
      </c>
      <c r="D6" s="5" t="inlineStr">
        <is>
          <t xml:space="preserve">Jesus</t>
        </is>
      </c>
      <c r="E6" s="5" t="inlineStr">
        <is>
          <t xml:space="preserve">Pelvic</t>
        </is>
      </c>
      <c r="F6" s="5" t="inlineStr">
        <is>
          <t xml:space="preserve">666506</t>
        </is>
      </c>
      <c r="G6" s="5" t="inlineStr">
        <is>
          <t xml:space="preserve">Non-intact</t>
        </is>
      </c>
      <c r="H6" s="5" t="inlineStr">
        <is>
          <t xml:space="preserve">5502378430</t>
        </is>
      </c>
      <c r="I6" s="6" t="n">
        <v>3</v>
      </c>
      <c r="J6" s="6" t="n">
        <v>3</v>
      </c>
      <c r="K6" s="6" t="n">
        <v>0</v>
      </c>
      <c r="L6" s="15" t="n">
        <f aca="false">IFERROR(J6/I6,0)</f>
      </c>
      <c r="M6" s="16" t="inlineStr">
        <is>
          <t xml:space="preserve">3 labels used for thin area in bowel (ran out of labels)</t>
        </is>
      </c>
    </row>
    <row r="7" ht="27.0" customHeight="true">
      <c r="A7" s="5" t="inlineStr">
        <is>
          <t xml:space="preserve">2026-04-13</t>
        </is>
      </c>
      <c r="B7" s="5" t="inlineStr">
        <is>
          <t xml:space="preserve">Martins</t>
        </is>
      </c>
      <c r="C7" s="5" t="inlineStr">
        <is>
          <t xml:space="preserve">Toni</t>
        </is>
      </c>
      <c r="D7" s="5" t="inlineStr">
        <is>
          <t xml:space="preserve">Jesus</t>
        </is>
      </c>
      <c r="E7" s="5" t="inlineStr">
        <is>
          <t xml:space="preserve">Pelvic</t>
        </is>
      </c>
      <c r="F7" s="5" t="inlineStr">
        <is>
          <t xml:space="preserve">666541</t>
        </is>
      </c>
      <c r="G7" s="5" t="inlineStr">
        <is>
          <t xml:space="preserve">Intact</t>
        </is>
      </c>
      <c r="H7" s="5" t="inlineStr">
        <is>
          <t xml:space="preserve">5502378434</t>
        </is>
      </c>
      <c r="I7" s="6" t="n">
        <v>48</v>
      </c>
      <c r="J7" s="6" t="n">
        <v>47</v>
      </c>
      <c r="K7" s="6" t="n">
        <v>1</v>
      </c>
      <c r="L7" s="15" t="n">
        <f aca="false">IFERROR(J7/I7,0)</f>
      </c>
      <c r="M7" s="16" t="inlineStr">
        <is>
          <t xml:space="preserve">1 hole in bowel; 1 label marked for thin area in bowel</t>
        </is>
      </c>
    </row>
    <row r="8" ht="13.5" customHeight="true">
      <c r="A8" s="5" t="inlineStr">
        <is>
          <t xml:space="preserve">2026-04-15</t>
        </is>
      </c>
      <c r="B8" s="5" t="inlineStr">
        <is>
          <t xml:space="preserve">Martins</t>
        </is>
      </c>
      <c r="C8" s="5" t="inlineStr">
        <is>
          <t xml:space="preserve">Toni</t>
        </is>
      </c>
      <c r="D8" s="5" t="inlineStr">
        <is>
          <t xml:space="preserve">Jesus</t>
        </is>
      </c>
      <c r="E8" s="5" t="inlineStr">
        <is>
          <t xml:space="preserve">Pelvic</t>
        </is>
      </c>
      <c r="F8" s="5" t="inlineStr">
        <is>
          <t xml:space="preserve">666506</t>
        </is>
      </c>
      <c r="G8" s="5" t="inlineStr">
        <is>
          <t xml:space="preserve">Non-intact</t>
        </is>
      </c>
      <c r="H8" s="5" t="inlineStr">
        <is>
          <t xml:space="preserve">5502378430</t>
        </is>
      </c>
      <c r="I8" s="6" t="n">
        <v>4</v>
      </c>
      <c r="J8" s="6" t="n">
        <v>4</v>
      </c>
      <c r="K8" s="6" t="n">
        <v>0</v>
      </c>
      <c r="L8" s="15" t="n">
        <f aca="false">IFERROR(J8/I8,0)</f>
      </c>
      <c r="M8" s="16" t="inlineStr">
        <is>
          <t xml:space="preserve"/>
        </is>
      </c>
    </row>
    <row r="9" ht="27.0" customHeight="true">
      <c r="A9" s="5" t="inlineStr">
        <is>
          <t xml:space="preserve">2026-04-15</t>
        </is>
      </c>
      <c r="B9" s="5" t="inlineStr">
        <is>
          <t xml:space="preserve">Martins</t>
        </is>
      </c>
      <c r="C9" s="5" t="inlineStr">
        <is>
          <t xml:space="preserve">Toni</t>
        </is>
      </c>
      <c r="D9" s="5" t="inlineStr">
        <is>
          <t xml:space="preserve">Jesus</t>
        </is>
      </c>
      <c r="E9" s="5" t="inlineStr">
        <is>
          <t xml:space="preserve">Pelvic</t>
        </is>
      </c>
      <c r="F9" s="5" t="inlineStr">
        <is>
          <t xml:space="preserve">666541</t>
        </is>
      </c>
      <c r="G9" s="5" t="inlineStr">
        <is>
          <t xml:space="preserve">Intact</t>
        </is>
      </c>
      <c r="H9" s="5" t="inlineStr">
        <is>
          <t xml:space="preserve">5502378434</t>
        </is>
      </c>
      <c r="I9" s="6" t="n">
        <v>17</v>
      </c>
      <c r="J9" s="6" t="n">
        <v>13</v>
      </c>
      <c r="K9" s="6" t="n">
        <v>4</v>
      </c>
      <c r="L9" s="15" t="n">
        <f aca="false">IFERROR(J9/I9,0)</f>
      </c>
      <c r="M9" s="16" t="inlineStr">
        <is>
          <t xml:space="preserve">2 blood clots (moved to non-intact); 2 scrapped for cut in urethra</t>
        </is>
      </c>
    </row>
    <row r="10" ht="13.5" customHeight="true">
      <c r="A10" s="5" t="inlineStr">
        <is>
          <t xml:space="preserve">2026-04-20</t>
        </is>
      </c>
      <c r="B10" s="5" t="inlineStr">
        <is>
          <t xml:space="preserve">Martins</t>
        </is>
      </c>
      <c r="C10" s="5" t="inlineStr">
        <is>
          <t xml:space="preserve">Toni</t>
        </is>
      </c>
      <c r="D10" s="5" t="inlineStr">
        <is>
          <t xml:space="preserve">Jesus</t>
        </is>
      </c>
      <c r="E10" s="5" t="inlineStr">
        <is>
          <t xml:space="preserve">Pelvic</t>
        </is>
      </c>
      <c r="F10" s="5" t="inlineStr">
        <is>
          <t xml:space="preserve">666506</t>
        </is>
      </c>
      <c r="G10" s="5" t="inlineStr">
        <is>
          <t xml:space="preserve">Non-intact</t>
        </is>
      </c>
      <c r="H10" s="5" t="inlineStr">
        <is>
          <t xml:space="preserve">5502391858</t>
        </is>
      </c>
      <c r="I10" s="6" t="n">
        <v>31</v>
      </c>
      <c r="J10" s="6" t="n">
        <v>29</v>
      </c>
      <c r="K10" s="6" t="n">
        <v>2</v>
      </c>
      <c r="L10" s="15" t="n">
        <f aca="false">IFERROR(J10/I10,0)</f>
      </c>
      <c r="M10" s="16" t="inlineStr">
        <is>
          <t xml:space="preserve">2 damaged after cleaning</t>
        </is>
      </c>
    </row>
    <row r="11" ht="27.0" customHeight="true">
      <c r="A11" s="5" t="inlineStr">
        <is>
          <t xml:space="preserve">2026-04-20</t>
        </is>
      </c>
      <c r="B11" s="5" t="inlineStr">
        <is>
          <t xml:space="preserve">Martins</t>
        </is>
      </c>
      <c r="C11" s="5" t="inlineStr">
        <is>
          <t xml:space="preserve">Toni</t>
        </is>
      </c>
      <c r="D11" s="5" t="inlineStr">
        <is>
          <t xml:space="preserve">Jesus</t>
        </is>
      </c>
      <c r="E11" s="5" t="inlineStr">
        <is>
          <t xml:space="preserve">Pelvic</t>
        </is>
      </c>
      <c r="F11" s="5" t="inlineStr">
        <is>
          <t xml:space="preserve">666541</t>
        </is>
      </c>
      <c r="G11" s="5" t="inlineStr">
        <is>
          <t xml:space="preserve">Intact</t>
        </is>
      </c>
      <c r="H11" s="5" t="inlineStr">
        <is>
          <t xml:space="preserve">5502391862</t>
        </is>
      </c>
      <c r="I11" s="6" t="n">
        <v>0</v>
      </c>
      <c r="J11" s="6" t="n">
        <v>0</v>
      </c>
      <c r="K11" s="6" t="n">
        <v>0</v>
      </c>
      <c r="L11" s="15" t="n">
        <f aca="false">IFERROR(J11/I11,0)</f>
      </c>
      <c r="M11" s="16" t="inlineStr">
        <is>
          <t xml:space="preserve">Ran out of time (bagging set for later; SH tech start time changed to 8:00–4:30 PM)</t>
        </is>
      </c>
    </row>
    <row r="12" ht="13.5" customHeight="true">
      <c r="A12" s="5" t="inlineStr">
        <is>
          <t xml:space="preserve">2026-04-22</t>
        </is>
      </c>
      <c r="B12" s="5" t="inlineStr">
        <is>
          <t xml:space="preserve">Martins</t>
        </is>
      </c>
      <c r="C12" s="5" t="inlineStr">
        <is>
          <t xml:space="preserve">Toni</t>
        </is>
      </c>
      <c r="D12" s="5" t="inlineStr">
        <is>
          <t xml:space="preserve">Jesus</t>
        </is>
      </c>
      <c r="E12" s="5" t="inlineStr">
        <is>
          <t xml:space="preserve">Pelvic</t>
        </is>
      </c>
      <c r="F12" s="5" t="inlineStr">
        <is>
          <t xml:space="preserve">666506</t>
        </is>
      </c>
      <c r="G12" s="5" t="inlineStr">
        <is>
          <t xml:space="preserve">Non-intact</t>
        </is>
      </c>
      <c r="H12" s="5" t="inlineStr">
        <is>
          <t xml:space="preserve">5502391858</t>
        </is>
      </c>
      <c r="I12" s="6" t="n">
        <v>21</v>
      </c>
      <c r="J12" s="6" t="n">
        <v>19</v>
      </c>
      <c r="K12" s="6" t="n">
        <v>2</v>
      </c>
      <c r="L12" s="15" t="n">
        <f aca="false">IFERROR(J12/I12,0)</f>
      </c>
      <c r="M12" s="16" t="inlineStr">
        <is>
          <t xml:space="preserve">2 damaged bowel</t>
        </is>
      </c>
    </row>
    <row r="13" ht="13.5" customHeight="true">
      <c r="A13" s="5" t="inlineStr">
        <is>
          <t xml:space="preserve">2026-04-22</t>
        </is>
      </c>
      <c r="B13" s="5" t="inlineStr">
        <is>
          <t xml:space="preserve">Martins</t>
        </is>
      </c>
      <c r="C13" s="5" t="inlineStr">
        <is>
          <t xml:space="preserve">Toni</t>
        </is>
      </c>
      <c r="D13" s="5" t="inlineStr">
        <is>
          <t xml:space="preserve">Jesus</t>
        </is>
      </c>
      <c r="E13" s="5" t="inlineStr">
        <is>
          <t xml:space="preserve">Pelvic</t>
        </is>
      </c>
      <c r="F13" s="5" t="inlineStr">
        <is>
          <t xml:space="preserve">666541</t>
        </is>
      </c>
      <c r="G13" s="5" t="inlineStr">
        <is>
          <t xml:space="preserve">Intact</t>
        </is>
      </c>
      <c r="H13" s="5" t="inlineStr">
        <is>
          <t xml:space="preserve">5502391862</t>
        </is>
      </c>
      <c r="I13" s="6" t="n">
        <v>57</v>
      </c>
      <c r="J13" s="6" t="n">
        <v>56</v>
      </c>
      <c r="K13" s="6" t="n">
        <v>1</v>
      </c>
      <c r="L13" s="15" t="n">
        <f aca="false">IFERROR(J13/I13,0)</f>
      </c>
      <c r="M13" s="16" t="inlineStr">
        <is>
          <t xml:space="preserve">1 damaged bowel</t>
        </is>
      </c>
    </row>
    <row r="14" ht="13.5" customHeight="true">
      <c r="A14" s="5" t="inlineStr">
        <is>
          <t xml:space="preserve">2026-05-04</t>
        </is>
      </c>
      <c r="B14" s="5" t="inlineStr">
        <is>
          <t xml:space="preserve">Martins</t>
        </is>
      </c>
      <c r="C14" s="5" t="inlineStr">
        <is>
          <t xml:space="preserve">Toni</t>
        </is>
      </c>
      <c r="D14" s="5" t="inlineStr">
        <is>
          <t xml:space="preserve">Jesus</t>
        </is>
      </c>
      <c r="E14" s="5" t="inlineStr">
        <is>
          <t xml:space="preserve">Pelvic</t>
        </is>
      </c>
      <c r="F14" s="5" t="inlineStr">
        <is>
          <t xml:space="preserve">666506</t>
        </is>
      </c>
      <c r="G14" s="5" t="inlineStr">
        <is>
          <t xml:space="preserve">Non-intact</t>
        </is>
      </c>
      <c r="H14" s="5" t="inlineStr">
        <is>
          <t xml:space="preserve">5502404924</t>
        </is>
      </c>
      <c r="I14" s="6" t="n">
        <v>16</v>
      </c>
      <c r="J14" s="6" t="n">
        <v>13</v>
      </c>
      <c r="K14" s="6" t="n">
        <v>3</v>
      </c>
      <c r="L14" s="15" t="n">
        <f aca="false">IFERROR(J14/I14,0)</f>
      </c>
      <c r="M14" s="16" t="inlineStr">
        <is>
          <t xml:space="preserve">3 damaged urethra</t>
        </is>
      </c>
    </row>
    <row r="15" ht="13.5" customHeight="true">
      <c r="A15" s="5" t="inlineStr">
        <is>
          <t xml:space="preserve">2026-05-04</t>
        </is>
      </c>
      <c r="B15" s="5" t="inlineStr">
        <is>
          <t xml:space="preserve">Martins</t>
        </is>
      </c>
      <c r="C15" s="5" t="inlineStr">
        <is>
          <t xml:space="preserve">Toni</t>
        </is>
      </c>
      <c r="D15" s="5" t="inlineStr">
        <is>
          <t xml:space="preserve">Jesus</t>
        </is>
      </c>
      <c r="E15" s="5" t="inlineStr">
        <is>
          <t xml:space="preserve">Pelvic</t>
        </is>
      </c>
      <c r="F15" s="5" t="inlineStr">
        <is>
          <t xml:space="preserve">666541</t>
        </is>
      </c>
      <c r="G15" s="5" t="inlineStr">
        <is>
          <t xml:space="preserve">Intact</t>
        </is>
      </c>
      <c r="H15" s="5" t="inlineStr">
        <is>
          <t xml:space="preserve">5502404928</t>
        </is>
      </c>
      <c r="I15" s="6" t="n">
        <v>37</v>
      </c>
      <c r="J15" s="6" t="n">
        <v>36</v>
      </c>
      <c r="K15" s="6" t="n">
        <v>1</v>
      </c>
      <c r="L15" s="15" t="n">
        <f aca="false">IFERROR(J15/I15,0)</f>
      </c>
      <c r="M15" s="16" t="inlineStr">
        <is>
          <t xml:space="preserve">1 damaged urethra</t>
        </is>
      </c>
    </row>
    <row r="16" ht="13.5" customHeight="true">
      <c r="A16" s="5" t="inlineStr">
        <is>
          <t xml:space="preserve">2026-05-06</t>
        </is>
      </c>
      <c r="B16" s="5" t="inlineStr">
        <is>
          <t xml:space="preserve">Martins</t>
        </is>
      </c>
      <c r="C16" s="5" t="inlineStr">
        <is>
          <t xml:space="preserve">Toni</t>
        </is>
      </c>
      <c r="D16" s="5" t="inlineStr">
        <is>
          <t xml:space="preserve">Jesus</t>
        </is>
      </c>
      <c r="E16" s="5" t="inlineStr">
        <is>
          <t xml:space="preserve">Pelvic</t>
        </is>
      </c>
      <c r="F16" s="5" t="inlineStr">
        <is>
          <t xml:space="preserve">666506</t>
        </is>
      </c>
      <c r="G16" s="5" t="inlineStr">
        <is>
          <t xml:space="preserve">Non-intact</t>
        </is>
      </c>
      <c r="H16" s="5" t="inlineStr">
        <is>
          <t xml:space="preserve">5502404924</t>
        </is>
      </c>
      <c r="I16" s="6" t="n">
        <v>29</v>
      </c>
      <c r="J16" s="6" t="n">
        <v>28</v>
      </c>
      <c r="K16" s="6" t="n">
        <v>1</v>
      </c>
      <c r="L16" s="15" t="n">
        <f aca="false">IFERROR(J16/I16,0)</f>
      </c>
      <c r="M16" s="16" t="inlineStr">
        <is>
          <t xml:space="preserve">1 small bladder</t>
        </is>
      </c>
    </row>
    <row r="17" ht="13.5" customHeight="true">
      <c r="A17" s="5" t="inlineStr">
        <is>
          <t xml:space="preserve">2026-05-06</t>
        </is>
      </c>
      <c r="B17" s="5" t="inlineStr">
        <is>
          <t xml:space="preserve">Martins</t>
        </is>
      </c>
      <c r="C17" s="5" t="inlineStr">
        <is>
          <t xml:space="preserve">Toni</t>
        </is>
      </c>
      <c r="D17" s="5" t="inlineStr">
        <is>
          <t xml:space="preserve">Jesus</t>
        </is>
      </c>
      <c r="E17" s="5" t="inlineStr">
        <is>
          <t xml:space="preserve">Pelvic</t>
        </is>
      </c>
      <c r="F17" s="5" t="inlineStr">
        <is>
          <t xml:space="preserve">666541</t>
        </is>
      </c>
      <c r="G17" s="5" t="inlineStr">
        <is>
          <t xml:space="preserve">Intact</t>
        </is>
      </c>
      <c r="H17" s="5" t="inlineStr">
        <is>
          <t xml:space="preserve">5502404928</t>
        </is>
      </c>
      <c r="I17" s="6" t="n">
        <v>25</v>
      </c>
      <c r="J17" s="6" t="n">
        <v>22</v>
      </c>
      <c r="K17" s="6" t="n">
        <v>3</v>
      </c>
      <c r="L17" s="15" t="n">
        <f aca="false">IFERROR(J17/I17,0)</f>
      </c>
      <c r="M17" s="16" t="inlineStr">
        <is>
          <t xml:space="preserve">3 damaged urethra</t>
        </is>
      </c>
    </row>
    <row r="18" ht="13.5" customHeight="true">
      <c r="A18" s="5" t="inlineStr">
        <is>
          <t xml:space="preserve">2026-05-18</t>
        </is>
      </c>
      <c r="B18" s="5" t="inlineStr">
        <is>
          <t xml:space="preserve">Martins</t>
        </is>
      </c>
      <c r="C18" s="5" t="inlineStr">
        <is>
          <t xml:space="preserve">Toni</t>
        </is>
      </c>
      <c r="D18" s="5" t="inlineStr">
        <is>
          <t xml:space="preserve">Jesus</t>
        </is>
      </c>
      <c r="E18" s="5" t="inlineStr">
        <is>
          <t xml:space="preserve">Pelvic</t>
        </is>
      </c>
      <c r="F18" s="5" t="inlineStr">
        <is>
          <t xml:space="preserve">666506</t>
        </is>
      </c>
      <c r="G18" s="5" t="inlineStr">
        <is>
          <t xml:space="preserve">Non-intact</t>
        </is>
      </c>
      <c r="H18" s="5" t="inlineStr">
        <is>
          <t xml:space="preserve">5502421188</t>
        </is>
      </c>
      <c r="I18" s="6" t="n">
        <v>43</v>
      </c>
      <c r="J18" s="6" t="n">
        <v>42</v>
      </c>
      <c r="K18" s="6" t="n">
        <v>1</v>
      </c>
      <c r="L18" s="15" t="n">
        <f aca="false">IFERROR(J18/I18,0)</f>
      </c>
      <c r="M18" s="16" t="inlineStr">
        <is>
          <t xml:space="preserve">1 deformed ligaments clumped together</t>
        </is>
      </c>
    </row>
    <row r="19" ht="13.5" customHeight="true">
      <c r="A19" s="5" t="inlineStr">
        <is>
          <t xml:space="preserve">2026-05-18</t>
        </is>
      </c>
      <c r="B19" s="5" t="inlineStr">
        <is>
          <t xml:space="preserve">Martins</t>
        </is>
      </c>
      <c r="C19" s="5" t="inlineStr">
        <is>
          <t xml:space="preserve">Toni</t>
        </is>
      </c>
      <c r="D19" s="5" t="inlineStr">
        <is>
          <t xml:space="preserve">Jesus</t>
        </is>
      </c>
      <c r="E19" s="5" t="inlineStr">
        <is>
          <t xml:space="preserve">Pelvic</t>
        </is>
      </c>
      <c r="F19" s="5" t="inlineStr">
        <is>
          <t xml:space="preserve">666541</t>
        </is>
      </c>
      <c r="G19" s="5" t="inlineStr">
        <is>
          <t xml:space="preserve">Intact</t>
        </is>
      </c>
      <c r="H19" s="5" t="inlineStr">
        <is>
          <t xml:space="preserve">5502421192</t>
        </is>
      </c>
      <c r="I19" s="6" t="n">
        <v>62</v>
      </c>
      <c r="J19" s="6" t="n">
        <v>58</v>
      </c>
      <c r="K19" s="6" t="n">
        <v>4</v>
      </c>
      <c r="L19" s="15" t="n">
        <f aca="false">IFERROR(J19/I19,0)</f>
      </c>
      <c r="M19" s="16" t="inlineStr">
        <is>
          <t xml:space="preserve">3 cut urethra; 1 short block</t>
        </is>
      </c>
    </row>
    <row r="20" ht="13.5" customHeight="true">
      <c r="A20" s="5" t="inlineStr">
        <is>
          <t xml:space="preserve">2026-05-21</t>
        </is>
      </c>
      <c r="B20" s="5" t="inlineStr">
        <is>
          <t xml:space="preserve">Martins</t>
        </is>
      </c>
      <c r="C20" s="5" t="inlineStr">
        <is>
          <t xml:space="preserve">Toni</t>
        </is>
      </c>
      <c r="D20" s="5" t="inlineStr">
        <is>
          <t xml:space="preserve">Jesus</t>
        </is>
      </c>
      <c r="E20" s="5" t="inlineStr">
        <is>
          <t xml:space="preserve">Pelvic</t>
        </is>
      </c>
      <c r="F20" s="5" t="inlineStr">
        <is>
          <t xml:space="preserve">666506</t>
        </is>
      </c>
      <c r="G20" s="5" t="inlineStr">
        <is>
          <t xml:space="preserve">Non-intact</t>
        </is>
      </c>
      <c r="H20" s="5" t="inlineStr">
        <is>
          <t xml:space="preserve">5502421188</t>
        </is>
      </c>
      <c r="I20" s="6" t="n">
        <v>30</v>
      </c>
      <c r="J20" s="6" t="n">
        <v>29</v>
      </c>
      <c r="K20" s="6" t="n">
        <v>1</v>
      </c>
      <c r="L20" s="15" t="n">
        <f aca="false">IFERROR(J20/I20,0)</f>
      </c>
      <c r="M20" s="16" t="inlineStr">
        <is>
          <t xml:space="preserve">1 damaged membrane and ureter</t>
        </is>
      </c>
    </row>
    <row r="21" ht="13.5" customHeight="true">
      <c r="A21" s="5" t="inlineStr">
        <is>
          <t xml:space="preserve">2026-05-21</t>
        </is>
      </c>
      <c r="B21" s="5" t="inlineStr">
        <is>
          <t xml:space="preserve">Martins</t>
        </is>
      </c>
      <c r="C21" s="5" t="inlineStr">
        <is>
          <t xml:space="preserve">Toni</t>
        </is>
      </c>
      <c r="D21" s="5" t="inlineStr">
        <is>
          <t xml:space="preserve">Jesus</t>
        </is>
      </c>
      <c r="E21" s="5" t="inlineStr">
        <is>
          <t xml:space="preserve">Pelvic</t>
        </is>
      </c>
      <c r="F21" s="5" t="inlineStr">
        <is>
          <t xml:space="preserve">666541</t>
        </is>
      </c>
      <c r="G21" s="5" t="inlineStr">
        <is>
          <t xml:space="preserve">Intact</t>
        </is>
      </c>
      <c r="H21" s="5" t="inlineStr">
        <is>
          <t xml:space="preserve">5502421192</t>
        </is>
      </c>
      <c r="I21" s="6" t="n">
        <v>31</v>
      </c>
      <c r="J21" s="6" t="n">
        <v>29</v>
      </c>
      <c r="K21" s="6" t="n">
        <v>2</v>
      </c>
      <c r="L21" s="15" t="n">
        <f aca="false">IFERROR(J21/I21,0)</f>
      </c>
      <c r="M21" s="16" t="inlineStr">
        <is>
          <t xml:space="preserve">2 cut urethra</t>
        </is>
      </c>
    </row>
    <row r="22" ht="13.5" customHeight="true">
      <c r="A22" s="5" t="inlineStr">
        <is>
          <t xml:space="preserve">2026-05-27</t>
        </is>
      </c>
      <c r="B22" s="5" t="inlineStr">
        <is>
          <t xml:space="preserve">Martins</t>
        </is>
      </c>
      <c r="C22" s="5" t="inlineStr">
        <is>
          <t xml:space="preserve">Toni</t>
        </is>
      </c>
      <c r="D22" s="5" t="inlineStr">
        <is>
          <t xml:space="preserve">Jesus</t>
        </is>
      </c>
      <c r="E22" s="5" t="inlineStr">
        <is>
          <t xml:space="preserve">Pelvic</t>
        </is>
      </c>
      <c r="F22" s="5" t="inlineStr">
        <is>
          <t xml:space="preserve">666541</t>
        </is>
      </c>
      <c r="G22" s="5" t="inlineStr">
        <is>
          <t xml:space="preserve">Intact</t>
        </is>
      </c>
      <c r="H22" s="5" t="inlineStr">
        <is>
          <t xml:space="preserve">5502421192</t>
        </is>
      </c>
      <c r="I22" s="6" t="n">
        <v>39</v>
      </c>
      <c r="J22" s="6" t="n">
        <v>36</v>
      </c>
      <c r="K22" s="6" t="n">
        <v>3</v>
      </c>
      <c r="L22" s="15" t="n">
        <f aca="false">IFERROR(J22/I22,0)</f>
      </c>
      <c r="M22" s="16" t="inlineStr">
        <is>
          <t xml:space="preserve">1 hole in bowel; 2 membrane damage &gt;0.5"</t>
        </is>
      </c>
    </row>
    <row r="23" ht="27.0" customHeight="true">
      <c r="A23" s="5" t="inlineStr">
        <is>
          <t xml:space="preserve">2026-05-28</t>
        </is>
      </c>
      <c r="B23" s="5" t="inlineStr">
        <is>
          <t xml:space="preserve">Parks Family Meats</t>
        </is>
      </c>
      <c r="C23" s="5" t="inlineStr">
        <is>
          <t xml:space="preserve">Rasmin</t>
        </is>
      </c>
      <c r="D23" s="5" t="inlineStr">
        <is>
          <t xml:space="preserve">Natalie</t>
        </is>
      </c>
      <c r="E23" s="5" t="inlineStr">
        <is>
          <t xml:space="preserve">Pelvic</t>
        </is>
      </c>
      <c r="F23" s="5" t="inlineStr">
        <is>
          <t xml:space="preserve">666518</t>
        </is>
      </c>
      <c r="G23" s="5" t="inlineStr">
        <is>
          <t xml:space="preserve">Intact (SM)</t>
        </is>
      </c>
      <c r="H23" s="5" t="inlineStr">
        <is>
          <t xml:space="preserve">(no batch data)</t>
        </is>
      </c>
      <c r="I23" s="6" t="n">
        <v>16</v>
      </c>
      <c r="J23" s="6" t="n">
        <v>11</v>
      </c>
      <c r="K23" s="6" t="n">
        <v>5</v>
      </c>
      <c r="L23" s="15" t="n">
        <f aca="false">IFERROR(J23/I23,0)</f>
      </c>
      <c r="M23" s="16" t="inlineStr">
        <is>
          <t xml:space="preserve">4 mesentery length too short in critical zone; 1 bladder damage (internals exposed)</t>
        </is>
      </c>
    </row>
    <row r="24" ht="13.5" customHeight="true">
      <c r="A24" s="5" t="inlineStr">
        <is>
          <t xml:space="preserve">2026-06-01</t>
        </is>
      </c>
      <c r="B24" s="5" t="inlineStr">
        <is>
          <t xml:space="preserve">Martins</t>
        </is>
      </c>
      <c r="C24" s="5" t="inlineStr">
        <is>
          <t xml:space="preserve">Toni</t>
        </is>
      </c>
      <c r="D24" s="5" t="inlineStr">
        <is>
          <t xml:space="preserve">Jesus</t>
        </is>
      </c>
      <c r="E24" s="5" t="inlineStr">
        <is>
          <t xml:space="preserve">Pelvic</t>
        </is>
      </c>
      <c r="F24" s="5" t="inlineStr">
        <is>
          <t xml:space="preserve">666506</t>
        </is>
      </c>
      <c r="G24" s="5" t="inlineStr">
        <is>
          <t xml:space="preserve">Non-intact</t>
        </is>
      </c>
      <c r="H24" s="5" t="inlineStr">
        <is>
          <t xml:space="preserve">5502428782</t>
        </is>
      </c>
      <c r="I24" s="6" t="n">
        <v>7</v>
      </c>
      <c r="J24" s="6" t="n">
        <v>7</v>
      </c>
      <c r="K24" s="6" t="n">
        <v>0</v>
      </c>
      <c r="L24" s="15" t="n">
        <f aca="false">IFERROR(J24/I24,0)</f>
      </c>
      <c r="M24" s="16" t="inlineStr">
        <is>
          <t xml:space="preserve"/>
        </is>
      </c>
    </row>
    <row r="25" ht="13.5" customHeight="true">
      <c r="A25" s="5" t="inlineStr">
        <is>
          <t xml:space="preserve">2026-06-01</t>
        </is>
      </c>
      <c r="B25" s="5" t="inlineStr">
        <is>
          <t xml:space="preserve">Martins</t>
        </is>
      </c>
      <c r="C25" s="5" t="inlineStr">
        <is>
          <t xml:space="preserve">Toni</t>
        </is>
      </c>
      <c r="D25" s="5" t="inlineStr">
        <is>
          <t xml:space="preserve">Jesus</t>
        </is>
      </c>
      <c r="E25" s="5" t="inlineStr">
        <is>
          <t xml:space="preserve">Pelvic</t>
        </is>
      </c>
      <c r="F25" s="5" t="inlineStr">
        <is>
          <t xml:space="preserve">666541</t>
        </is>
      </c>
      <c r="G25" s="5" t="inlineStr">
        <is>
          <t xml:space="preserve">Intact</t>
        </is>
      </c>
      <c r="H25" s="5" t="inlineStr">
        <is>
          <t xml:space="preserve">5502428786</t>
        </is>
      </c>
      <c r="I25" s="6" t="n">
        <v>9</v>
      </c>
      <c r="J25" s="6" t="n">
        <v>9</v>
      </c>
      <c r="K25" s="6" t="n">
        <v>0</v>
      </c>
      <c r="L25" s="15" t="n">
        <f aca="false">IFERROR(J25/I25,0)</f>
      </c>
      <c r="M25" s="16" t="inlineStr">
        <is>
          <t xml:space="preserve"/>
        </is>
      </c>
    </row>
    <row r="26" ht="13.5" customHeight="true">
      <c r="A26" s="5" t="inlineStr">
        <is>
          <t xml:space="preserve">2026-06-02</t>
        </is>
      </c>
      <c r="B26" s="5" t="inlineStr">
        <is>
          <t xml:space="preserve">Parks Family Meats</t>
        </is>
      </c>
      <c r="C26" s="5" t="inlineStr">
        <is>
          <t xml:space="preserve">Rasmin</t>
        </is>
      </c>
      <c r="D26" s="5" t="inlineStr">
        <is>
          <t xml:space="preserve">Natalie</t>
        </is>
      </c>
      <c r="E26" s="5" t="inlineStr">
        <is>
          <t xml:space="preserve">Pelvic</t>
        </is>
      </c>
      <c r="F26" s="5" t="inlineStr">
        <is>
          <t xml:space="preserve">666518</t>
        </is>
      </c>
      <c r="G26" s="5" t="inlineStr">
        <is>
          <t xml:space="preserve">Intact (SM)</t>
        </is>
      </c>
      <c r="H26" s="5" t="inlineStr">
        <is>
          <t xml:space="preserve">(no batch data)</t>
        </is>
      </c>
      <c r="I26" s="6" t="n">
        <v>7</v>
      </c>
      <c r="J26" s="6" t="n">
        <v>7</v>
      </c>
      <c r="K26" s="6" t="n">
        <v>0</v>
      </c>
      <c r="L26" s="15" t="n">
        <f aca="false">IFERROR(J26/I26,0)</f>
      </c>
      <c r="M26" s="16" t="inlineStr">
        <is>
          <t xml:space="preserve"/>
        </is>
      </c>
    </row>
    <row r="27" ht="13.5" customHeight="true">
      <c r="A27" s="5" t="inlineStr">
        <is>
          <t xml:space="preserve">2026-06-03</t>
        </is>
      </c>
      <c r="B27" s="5" t="inlineStr">
        <is>
          <t xml:space="preserve">Martins</t>
        </is>
      </c>
      <c r="C27" s="5" t="inlineStr">
        <is>
          <t xml:space="preserve">Toni</t>
        </is>
      </c>
      <c r="D27" s="5" t="inlineStr">
        <is>
          <t xml:space="preserve">Jesus</t>
        </is>
      </c>
      <c r="E27" s="5" t="inlineStr">
        <is>
          <t xml:space="preserve">Pelvic</t>
        </is>
      </c>
      <c r="F27" s="5" t="inlineStr">
        <is>
          <t xml:space="preserve">666506</t>
        </is>
      </c>
      <c r="G27" s="5" t="inlineStr">
        <is>
          <t xml:space="preserve">Non-intact</t>
        </is>
      </c>
      <c r="H27" s="5" t="inlineStr">
        <is>
          <t xml:space="preserve">5502428782</t>
        </is>
      </c>
      <c r="I27" s="6" t="n">
        <v>29</v>
      </c>
      <c r="J27" s="6" t="n">
        <v>29</v>
      </c>
      <c r="K27" s="6" t="n">
        <v>0</v>
      </c>
      <c r="L27" s="15" t="n">
        <f aca="false">IFERROR(J27/I27,0)</f>
      </c>
      <c r="M27" s="16" t="inlineStr">
        <is>
          <t xml:space="preserve"/>
        </is>
      </c>
    </row>
    <row r="28" ht="13.5" customHeight="true">
      <c r="A28" s="5" t="inlineStr">
        <is>
          <t xml:space="preserve">2026-06-03</t>
        </is>
      </c>
      <c r="B28" s="5" t="inlineStr">
        <is>
          <t xml:space="preserve">Martins</t>
        </is>
      </c>
      <c r="C28" s="5" t="inlineStr">
        <is>
          <t xml:space="preserve">Toni</t>
        </is>
      </c>
      <c r="D28" s="5" t="inlineStr">
        <is>
          <t xml:space="preserve">Jesus</t>
        </is>
      </c>
      <c r="E28" s="5" t="inlineStr">
        <is>
          <t xml:space="preserve">Pelvic</t>
        </is>
      </c>
      <c r="F28" s="5" t="inlineStr">
        <is>
          <t xml:space="preserve">666541</t>
        </is>
      </c>
      <c r="G28" s="5" t="inlineStr">
        <is>
          <t xml:space="preserve">Intact</t>
        </is>
      </c>
      <c r="H28" s="5" t="inlineStr">
        <is>
          <t xml:space="preserve">5502428786</t>
        </is>
      </c>
      <c r="I28" s="6" t="n">
        <v>45</v>
      </c>
      <c r="J28" s="6" t="n">
        <v>43</v>
      </c>
      <c r="K28" s="6" t="n">
        <v>2</v>
      </c>
      <c r="L28" s="15" t="n">
        <f aca="false">IFERROR(J28/I28,0)</f>
      </c>
      <c r="M28" s="16" t="inlineStr">
        <is>
          <t xml:space="preserve">2 scrapped urethra</t>
        </is>
      </c>
    </row>
    <row r="29" ht="13.5" customHeight="true">
      <c r="A29" s="5" t="inlineStr">
        <is>
          <t xml:space="preserve">2026-06-08</t>
        </is>
      </c>
      <c r="B29" s="5" t="inlineStr">
        <is>
          <t xml:space="preserve">Martins</t>
        </is>
      </c>
      <c r="C29" s="5" t="inlineStr">
        <is>
          <t xml:space="preserve">Toni</t>
        </is>
      </c>
      <c r="D29" s="5" t="inlineStr">
        <is>
          <t xml:space="preserve">Jesus</t>
        </is>
      </c>
      <c r="E29" s="5" t="inlineStr">
        <is>
          <t xml:space="preserve">Pelvic</t>
        </is>
      </c>
      <c r="F29" s="5" t="inlineStr">
        <is>
          <t xml:space="preserve">666506</t>
        </is>
      </c>
      <c r="G29" s="5" t="inlineStr">
        <is>
          <t xml:space="preserve">Non-intact</t>
        </is>
      </c>
      <c r="H29" s="5" t="inlineStr">
        <is>
          <t xml:space="preserve">5502428782</t>
        </is>
      </c>
      <c r="I29" s="6" t="n">
        <v>13</v>
      </c>
      <c r="J29" s="6" t="n">
        <v>12</v>
      </c>
      <c r="K29" s="6" t="n">
        <v>1</v>
      </c>
      <c r="L29" s="15" t="n">
        <f aca="false">IFERROR(J29/I29,0)</f>
      </c>
      <c r="M29" s="16" t="inlineStr">
        <is>
          <t xml:space="preserve">1 short block</t>
        </is>
      </c>
    </row>
    <row r="30" ht="13.5" customHeight="true">
      <c r="A30" s="5" t="inlineStr">
        <is>
          <t xml:space="preserve">2026-06-08</t>
        </is>
      </c>
      <c r="B30" s="5" t="inlineStr">
        <is>
          <t xml:space="preserve">Martins</t>
        </is>
      </c>
      <c r="C30" s="5" t="inlineStr">
        <is>
          <t xml:space="preserve">Toni</t>
        </is>
      </c>
      <c r="D30" s="5" t="inlineStr">
        <is>
          <t xml:space="preserve">Jesus</t>
        </is>
      </c>
      <c r="E30" s="5" t="inlineStr">
        <is>
          <t xml:space="preserve">Pelvic</t>
        </is>
      </c>
      <c r="F30" s="5" t="inlineStr">
        <is>
          <t xml:space="preserve">666541</t>
        </is>
      </c>
      <c r="G30" s="5" t="inlineStr">
        <is>
          <t xml:space="preserve">Intact</t>
        </is>
      </c>
      <c r="H30" s="5" t="inlineStr">
        <is>
          <t xml:space="preserve">5502428786</t>
        </is>
      </c>
      <c r="I30" s="6" t="n">
        <v>17</v>
      </c>
      <c r="J30" s="6" t="n">
        <v>16</v>
      </c>
      <c r="K30" s="6" t="n">
        <v>1</v>
      </c>
      <c r="L30" s="15" t="n">
        <f aca="false">IFERROR(J30/I30,0)</f>
      </c>
      <c r="M30" s="16" t="inlineStr">
        <is>
          <t xml:space="preserve">1 cut urethra</t>
        </is>
      </c>
    </row>
    <row r="31" ht="27.0" customHeight="true">
      <c r="A31" s="5" t="inlineStr">
        <is>
          <t xml:space="preserve">2026-06-15</t>
        </is>
      </c>
      <c r="B31" s="5" t="inlineStr">
        <is>
          <t xml:space="preserve">Martins</t>
        </is>
      </c>
      <c r="C31" s="5" t="inlineStr">
        <is>
          <t xml:space="preserve">Toni</t>
        </is>
      </c>
      <c r="D31" s="5" t="inlineStr">
        <is>
          <t xml:space="preserve">Jesus</t>
        </is>
      </c>
      <c r="E31" s="5" t="inlineStr">
        <is>
          <t xml:space="preserve">Pelvic</t>
        </is>
      </c>
      <c r="F31" s="5" t="inlineStr">
        <is>
          <t xml:space="preserve">666541</t>
        </is>
      </c>
      <c r="G31" s="5" t="inlineStr">
        <is>
          <t xml:space="preserve">Intact</t>
        </is>
      </c>
      <c r="H31" s="5" t="inlineStr">
        <is>
          <t xml:space="preserve">5502462845</t>
        </is>
      </c>
      <c r="I31" s="6" t="n">
        <v>31</v>
      </c>
      <c r="J31" s="6" t="n">
        <v>30</v>
      </c>
      <c r="K31" s="6" t="n">
        <v>1</v>
      </c>
      <c r="L31" s="15" t="n">
        <f aca="false">IFERROR(J31/I31,0)</f>
      </c>
      <c r="M31" s="16" t="inlineStr">
        <is>
          <t xml:space="preserve">1 damaged bowel (source had two intact tally lines: 13/12/1 + 18/18/0, combined here)</t>
        </is>
      </c>
    </row>
    <row r="32" ht="27.0" customHeight="true">
      <c r="A32" s="5" t="inlineStr">
        <is>
          <t xml:space="preserve">2026-06-16</t>
        </is>
      </c>
      <c r="B32" s="5" t="inlineStr">
        <is>
          <t xml:space="preserve">Parks Family Meats</t>
        </is>
      </c>
      <c r="C32" s="5" t="inlineStr">
        <is>
          <t xml:space="preserve">Rasmin</t>
        </is>
      </c>
      <c r="D32" s="5" t="inlineStr">
        <is>
          <t xml:space="preserve">Natalie</t>
        </is>
      </c>
      <c r="E32" s="5" t="inlineStr">
        <is>
          <t xml:space="preserve">Pelvic</t>
        </is>
      </c>
      <c r="F32" s="5" t="inlineStr">
        <is>
          <t xml:space="preserve">666518</t>
        </is>
      </c>
      <c r="G32" s="5" t="inlineStr">
        <is>
          <t xml:space="preserve">Intact (SM)</t>
        </is>
      </c>
      <c r="H32" s="5" t="inlineStr">
        <is>
          <t xml:space="preserve">(no batch data)</t>
        </is>
      </c>
      <c r="I32" s="6" t="n">
        <v>16</v>
      </c>
      <c r="J32" s="6" t="n">
        <v>14</v>
      </c>
      <c r="K32" s="6" t="n">
        <v>2</v>
      </c>
      <c r="L32" s="15" t="n">
        <f aca="false">IFERROR(J32/I32,0)</f>
      </c>
      <c r="M32" s="16" t="inlineStr">
        <is>
          <t xml:space="preserve">1 bladder hole; 1 ureter damage (many blocks failed upstream from miscuts during removal — see notes)</t>
        </is>
      </c>
    </row>
    <row r="33" ht="27.0" customHeight="true">
      <c r="A33" s="5" t="inlineStr">
        <is>
          <t xml:space="preserve">2026-06-22</t>
        </is>
      </c>
      <c r="B33" s="5" t="inlineStr">
        <is>
          <t xml:space="preserve">Parks Family Meats</t>
        </is>
      </c>
      <c r="C33" s="5" t="inlineStr">
        <is>
          <t xml:space="preserve">Rasmin</t>
        </is>
      </c>
      <c r="D33" s="5" t="inlineStr">
        <is>
          <t xml:space="preserve">Natalie</t>
        </is>
      </c>
      <c r="E33" s="5" t="inlineStr">
        <is>
          <t xml:space="preserve">Pelvic</t>
        </is>
      </c>
      <c r="F33" s="5" t="inlineStr">
        <is>
          <t xml:space="preserve">666518</t>
        </is>
      </c>
      <c r="G33" s="5" t="inlineStr">
        <is>
          <t xml:space="preserve">Intact (SM)</t>
        </is>
      </c>
      <c r="H33" s="5" t="inlineStr">
        <is>
          <t xml:space="preserve">(no batch data)</t>
        </is>
      </c>
      <c r="I33" s="6" t="n">
        <v>36</v>
      </c>
      <c r="J33" s="6" t="n">
        <v>31</v>
      </c>
      <c r="K33" s="6" t="n">
        <v>5</v>
      </c>
      <c r="L33" s="15" t="n">
        <f aca="false">IFERROR(J33/I33,0)</f>
      </c>
      <c r="M33" s="16" t="inlineStr">
        <is>
          <t xml:space="preserve">1 bladder hole; 2 critical-area lacerations; 2 short blocks</t>
        </is>
      </c>
    </row>
    <row r="34" ht="13.5" customHeight="true">
      <c r="A34" s="5" t="inlineStr">
        <is>
          <t xml:space="preserve">2026-06-24</t>
        </is>
      </c>
      <c r="B34" s="5" t="inlineStr">
        <is>
          <t xml:space="preserve">Martins</t>
        </is>
      </c>
      <c r="C34" s="5" t="inlineStr">
        <is>
          <t xml:space="preserve">Toni</t>
        </is>
      </c>
      <c r="D34" s="5" t="inlineStr">
        <is>
          <t xml:space="preserve">Jesus</t>
        </is>
      </c>
      <c r="E34" s="5" t="inlineStr">
        <is>
          <t xml:space="preserve">Pelvic</t>
        </is>
      </c>
      <c r="F34" s="5" t="inlineStr">
        <is>
          <t xml:space="preserve">666541</t>
        </is>
      </c>
      <c r="G34" s="5" t="inlineStr">
        <is>
          <t xml:space="preserve">Intact</t>
        </is>
      </c>
      <c r="H34" s="5" t="inlineStr">
        <is>
          <t xml:space="preserve">5502462845</t>
        </is>
      </c>
      <c r="I34" s="6" t="n">
        <v>34</v>
      </c>
      <c r="J34" s="6" t="n">
        <v>30</v>
      </c>
      <c r="K34" s="6" t="n">
        <v>4</v>
      </c>
      <c r="L34" s="15" t="n">
        <f aca="false">IFERROR(J34/I34,0)</f>
      </c>
      <c r="M34" s="16" t="inlineStr">
        <is>
          <t xml:space="preserve">1 damaged bladder; 3 damaged membrane</t>
        </is>
      </c>
    </row>
    <row r="35" ht="13.5" customHeight="true">
      <c r="A35" s="5" t="inlineStr">
        <is>
          <t xml:space="preserve">2026-06-25</t>
        </is>
      </c>
      <c r="B35" s="5" t="inlineStr">
        <is>
          <t xml:space="preserve">Parks Family Meats</t>
        </is>
      </c>
      <c r="C35" s="5" t="inlineStr">
        <is>
          <t xml:space="preserve">Rasmin</t>
        </is>
      </c>
      <c r="D35" s="5" t="inlineStr">
        <is>
          <t xml:space="preserve">Natalie</t>
        </is>
      </c>
      <c r="E35" s="5" t="inlineStr">
        <is>
          <t xml:space="preserve">Pelvic</t>
        </is>
      </c>
      <c r="F35" s="5" t="inlineStr">
        <is>
          <t xml:space="preserve">666518</t>
        </is>
      </c>
      <c r="G35" s="5" t="inlineStr">
        <is>
          <t xml:space="preserve">Intact (SM)</t>
        </is>
      </c>
      <c r="H35" s="5" t="inlineStr">
        <is>
          <t xml:space="preserve">(no batch data)</t>
        </is>
      </c>
      <c r="I35" s="6" t="n">
        <v>19</v>
      </c>
      <c r="J35" s="6" t="n">
        <v>16</v>
      </c>
      <c r="K35" s="6" t="n">
        <v>3</v>
      </c>
      <c r="L35" s="15" t="n">
        <f aca="false">IFERROR(J35/I35,0)</f>
      </c>
      <c r="M35" s="16" t="inlineStr">
        <is>
          <t xml:space="preserve">1 bladder hole; 1 ureter laceration; 1 short block</t>
        </is>
      </c>
    </row>
    <row r="36" ht="13.5" customHeight="true">
      <c r="A36" s="5" t="inlineStr">
        <is>
          <t xml:space="preserve">2026-06-29</t>
        </is>
      </c>
      <c r="B36" s="5" t="inlineStr">
        <is>
          <t xml:space="preserve">Martins</t>
        </is>
      </c>
      <c r="C36" s="5" t="inlineStr">
        <is>
          <t xml:space="preserve">Toni</t>
        </is>
      </c>
      <c r="D36" s="5" t="inlineStr">
        <is>
          <t xml:space="preserve">Jesus</t>
        </is>
      </c>
      <c r="E36" s="5" t="inlineStr">
        <is>
          <t xml:space="preserve">Pelvic</t>
        </is>
      </c>
      <c r="F36" s="5" t="inlineStr">
        <is>
          <t xml:space="preserve">666506</t>
        </is>
      </c>
      <c r="G36" s="5" t="inlineStr">
        <is>
          <t xml:space="preserve">Non-intact</t>
        </is>
      </c>
      <c r="H36" s="5" t="inlineStr">
        <is>
          <t xml:space="preserve">5502471457</t>
        </is>
      </c>
      <c r="I36" s="6" t="n">
        <v>4</v>
      </c>
      <c r="J36" s="6" t="n">
        <v>4</v>
      </c>
      <c r="K36" s="6" t="n">
        <v>0</v>
      </c>
      <c r="L36" s="15" t="n">
        <f aca="false">IFERROR(J36/I36,0)</f>
      </c>
      <c r="M36" s="16" t="inlineStr">
        <is>
          <t xml:space="preserve"/>
        </is>
      </c>
    </row>
    <row r="37" ht="40.0" customHeight="true">
      <c r="A37" s="5" t="inlineStr">
        <is>
          <t xml:space="preserve">2026-06-29</t>
        </is>
      </c>
      <c r="B37" s="5" t="inlineStr">
        <is>
          <t xml:space="preserve">Parks Family Meats</t>
        </is>
      </c>
      <c r="C37" s="5" t="inlineStr">
        <is>
          <t xml:space="preserve">Rasmin</t>
        </is>
      </c>
      <c r="D37" s="5" t="inlineStr">
        <is>
          <t xml:space="preserve">Natalie</t>
        </is>
      </c>
      <c r="E37" s="5" t="inlineStr">
        <is>
          <t xml:space="preserve">Pelvic</t>
        </is>
      </c>
      <c r="F37" s="5" t="inlineStr">
        <is>
          <t xml:space="preserve">666518</t>
        </is>
      </c>
      <c r="G37" s="5" t="inlineStr">
        <is>
          <t xml:space="preserve">Intact (SM)</t>
        </is>
      </c>
      <c r="H37" s="5" t="inlineStr">
        <is>
          <t xml:space="preserve">(no batch data)</t>
        </is>
      </c>
      <c r="I37" s="6" t="n">
        <v>50</v>
      </c>
      <c r="J37" s="6" t="n">
        <v>38</v>
      </c>
      <c r="K37" s="6" t="n">
        <v>12</v>
      </c>
      <c r="L37" s="15" t="n">
        <f aca="false">IFERROR(J37/I37,0)</f>
      </c>
      <c r="M37" s="16" t="inlineStr">
        <is>
          <t xml:space="preserve">2 damaged during bowel cleaning (bowel blockage burst); 2 short blocks; 1 critical-area laceration; 7 urethra/bladder lacerations (cuts near template edge)</t>
        </is>
      </c>
    </row>
    <row r="38" ht="13.5" customHeight="true">
      <c r="A38" s="5" t="inlineStr">
        <is>
          <t xml:space="preserve">2026-06-29</t>
        </is>
      </c>
      <c r="B38" s="5" t="inlineStr">
        <is>
          <t xml:space="preserve">Martins</t>
        </is>
      </c>
      <c r="C38" s="5" t="inlineStr">
        <is>
          <t xml:space="preserve">Toni</t>
        </is>
      </c>
      <c r="D38" s="5" t="inlineStr">
        <is>
          <t xml:space="preserve">Jesus</t>
        </is>
      </c>
      <c r="E38" s="5" t="inlineStr">
        <is>
          <t xml:space="preserve">Pelvic</t>
        </is>
      </c>
      <c r="F38" s="5" t="inlineStr">
        <is>
          <t xml:space="preserve">666541</t>
        </is>
      </c>
      <c r="G38" s="5" t="inlineStr">
        <is>
          <t xml:space="preserve">Intact</t>
        </is>
      </c>
      <c r="H38" s="5" t="inlineStr">
        <is>
          <t xml:space="preserve">5502471460</t>
        </is>
      </c>
      <c r="I38" s="6" t="n">
        <v>16</v>
      </c>
      <c r="J38" s="6" t="n">
        <v>16</v>
      </c>
      <c r="K38" s="6" t="n">
        <v>0</v>
      </c>
      <c r="L38" s="15" t="n">
        <f aca="false">IFERROR(J38/I38,0)</f>
      </c>
      <c r="M38" s="16" t="inlineStr">
        <is>
          <t xml:space="preserve"/>
        </is>
      </c>
    </row>
    <row r="39" ht="13.5" customHeight="true">
      <c r="A39" s="5" t="inlineStr">
        <is>
          <t xml:space="preserve">2026-07-06</t>
        </is>
      </c>
      <c r="B39" s="5" t="inlineStr">
        <is>
          <t xml:space="preserve">Martins</t>
        </is>
      </c>
      <c r="C39" s="5" t="inlineStr">
        <is>
          <t xml:space="preserve">Toni</t>
        </is>
      </c>
      <c r="D39" s="5" t="inlineStr">
        <is>
          <t xml:space="preserve">Jesus</t>
        </is>
      </c>
      <c r="E39" s="5" t="inlineStr">
        <is>
          <t xml:space="preserve">Pelvic</t>
        </is>
      </c>
      <c r="F39" s="5" t="inlineStr">
        <is>
          <t xml:space="preserve">666506</t>
        </is>
      </c>
      <c r="G39" s="5" t="inlineStr">
        <is>
          <t xml:space="preserve">Non-intact</t>
        </is>
      </c>
      <c r="H39" s="5" t="inlineStr">
        <is>
          <t xml:space="preserve">5502471457</t>
        </is>
      </c>
      <c r="I39" s="6" t="n">
        <v>10</v>
      </c>
      <c r="J39" s="6" t="n">
        <v>9</v>
      </c>
      <c r="K39" s="6" t="n">
        <v>1</v>
      </c>
      <c r="L39" s="15" t="n">
        <f aca="false">IFERROR(J39/I39,0)</f>
      </c>
      <c r="M39" s="16" t="inlineStr">
        <is>
          <t xml:space="preserve">1 membrane damage larger than 1.5"</t>
        </is>
      </c>
    </row>
    <row r="40" ht="13.5" customHeight="true">
      <c r="A40" s="5" t="inlineStr">
        <is>
          <t xml:space="preserve">2026-07-06</t>
        </is>
      </c>
      <c r="B40" s="5" t="inlineStr">
        <is>
          <t xml:space="preserve">Martins</t>
        </is>
      </c>
      <c r="C40" s="5" t="inlineStr">
        <is>
          <t xml:space="preserve">Toni</t>
        </is>
      </c>
      <c r="D40" s="5" t="inlineStr">
        <is>
          <t xml:space="preserve">Jesus</t>
        </is>
      </c>
      <c r="E40" s="5" t="inlineStr">
        <is>
          <t xml:space="preserve">Pelvic</t>
        </is>
      </c>
      <c r="F40" s="5" t="inlineStr">
        <is>
          <t xml:space="preserve">666541</t>
        </is>
      </c>
      <c r="G40" s="5" t="inlineStr">
        <is>
          <t xml:space="preserve">Intact</t>
        </is>
      </c>
      <c r="H40" s="5" t="inlineStr">
        <is>
          <t xml:space="preserve">5502471460</t>
        </is>
      </c>
      <c r="I40" s="6" t="n">
        <v>12</v>
      </c>
      <c r="J40" s="6" t="n">
        <v>11</v>
      </c>
      <c r="K40" s="6" t="n">
        <v>1</v>
      </c>
      <c r="L40" s="15" t="n">
        <f aca="false">IFERROR(J40/I40,0)</f>
      </c>
      <c r="M40" s="16" t="inlineStr">
        <is>
          <t xml:space="preserve">1 damaged urethra</t>
        </is>
      </c>
    </row>
    <row r="41" ht="13.5" customHeight="true">
      <c r="A41" s="5" t="inlineStr">
        <is>
          <t xml:space="preserve">2026-07-13</t>
        </is>
      </c>
      <c r="B41" s="5" t="inlineStr">
        <is>
          <t xml:space="preserve">Martins</t>
        </is>
      </c>
      <c r="C41" s="5" t="inlineStr">
        <is>
          <t xml:space="preserve">Toni</t>
        </is>
      </c>
      <c r="D41" s="5" t="inlineStr">
        <is>
          <t xml:space="preserve">Jesus</t>
        </is>
      </c>
      <c r="E41" s="5" t="inlineStr">
        <is>
          <t xml:space="preserve">Pelvic</t>
        </is>
      </c>
      <c r="F41" s="5" t="inlineStr">
        <is>
          <t xml:space="preserve">666506</t>
        </is>
      </c>
      <c r="G41" s="5" t="inlineStr">
        <is>
          <t xml:space="preserve">Non-intact</t>
        </is>
      </c>
      <c r="H41" s="5" t="inlineStr">
        <is>
          <t xml:space="preserve">5502495104</t>
        </is>
      </c>
      <c r="I41" s="6" t="n">
        <v>14</v>
      </c>
      <c r="J41" s="6" t="n">
        <v>14</v>
      </c>
      <c r="K41" s="6" t="n">
        <v>0</v>
      </c>
      <c r="L41" s="15" t="n">
        <f aca="false">IFERROR(J41/I41,0)</f>
      </c>
      <c r="M41" s="16" t="inlineStr">
        <is>
          <t xml:space="preserve"/>
        </is>
      </c>
    </row>
    <row r="42" ht="27.0" customHeight="true">
      <c r="A42" s="5" t="inlineStr">
        <is>
          <t xml:space="preserve">2026-07-13</t>
        </is>
      </c>
      <c r="B42" s="5" t="inlineStr">
        <is>
          <t xml:space="preserve">Parks Family Meats</t>
        </is>
      </c>
      <c r="C42" s="5" t="inlineStr">
        <is>
          <t xml:space="preserve">Rasmin</t>
        </is>
      </c>
      <c r="D42" s="5" t="inlineStr">
        <is>
          <t xml:space="preserve">Natalie</t>
        </is>
      </c>
      <c r="E42" s="5" t="inlineStr">
        <is>
          <t xml:space="preserve">Pelvic</t>
        </is>
      </c>
      <c r="F42" s="5" t="inlineStr">
        <is>
          <t xml:space="preserve">666518</t>
        </is>
      </c>
      <c r="G42" s="5" t="inlineStr">
        <is>
          <t xml:space="preserve">Intact (SM)</t>
        </is>
      </c>
      <c r="H42" s="5" t="inlineStr">
        <is>
          <t xml:space="preserve">(no batch data)</t>
        </is>
      </c>
      <c r="I42" s="6" t="n">
        <v>34</v>
      </c>
      <c r="J42" s="6" t="n">
        <v>29</v>
      </c>
      <c r="K42" s="6" t="n">
        <v>5</v>
      </c>
      <c r="L42" s="15" t="n">
        <f aca="false">IFERROR(J42/I42,0)</f>
      </c>
      <c r="M42" s="16" t="inlineStr">
        <is>
          <t xml:space="preserve">2 damaged during bowel cleaning (bowel blockage burst); 3 short blocks (smaller pigs)</t>
        </is>
      </c>
    </row>
    <row r="43" ht="13.5" customHeight="true">
      <c r="A43" s="5" t="inlineStr">
        <is>
          <t xml:space="preserve">2026-07-13</t>
        </is>
      </c>
      <c r="B43" s="5" t="inlineStr">
        <is>
          <t xml:space="preserve">Martins</t>
        </is>
      </c>
      <c r="C43" s="5" t="inlineStr">
        <is>
          <t xml:space="preserve">Toni</t>
        </is>
      </c>
      <c r="D43" s="5" t="inlineStr">
        <is>
          <t xml:space="preserve">Jesus</t>
        </is>
      </c>
      <c r="E43" s="5" t="inlineStr">
        <is>
          <t xml:space="preserve">Pelvic</t>
        </is>
      </c>
      <c r="F43" s="5" t="inlineStr">
        <is>
          <t xml:space="preserve">666541</t>
        </is>
      </c>
      <c r="G43" s="5" t="inlineStr">
        <is>
          <t xml:space="preserve">Intact</t>
        </is>
      </c>
      <c r="H43" s="5" t="inlineStr">
        <is>
          <t xml:space="preserve">5502495107</t>
        </is>
      </c>
      <c r="I43" s="6" t="n">
        <v>38</v>
      </c>
      <c r="J43" s="6" t="n">
        <v>36</v>
      </c>
      <c r="K43" s="6" t="n">
        <v>2</v>
      </c>
      <c r="L43" s="15" t="n">
        <f aca="false">IFERROR(J43/I43,0)</f>
      </c>
      <c r="M43" s="16" t="inlineStr">
        <is>
          <t xml:space="preserve">1 damaged membrane; 1 damaged bladder</t>
        </is>
      </c>
    </row>
    <row r="44" ht="27.0" customHeight="true">
      <c r="A44" s="5" t="inlineStr">
        <is>
          <t xml:space="preserve">2026-07-16</t>
        </is>
      </c>
      <c r="B44" s="5" t="inlineStr">
        <is>
          <t xml:space="preserve">Parks Family Meats</t>
        </is>
      </c>
      <c r="C44" s="5" t="inlineStr">
        <is>
          <t xml:space="preserve">Rasmin</t>
        </is>
      </c>
      <c r="D44" s="5" t="inlineStr">
        <is>
          <t xml:space="preserve">Natalie</t>
        </is>
      </c>
      <c r="E44" s="5" t="inlineStr">
        <is>
          <t xml:space="preserve">Pelvic</t>
        </is>
      </c>
      <c r="F44" s="5" t="inlineStr">
        <is>
          <t xml:space="preserve">666518</t>
        </is>
      </c>
      <c r="G44" s="5" t="inlineStr">
        <is>
          <t xml:space="preserve">Intact (SM)</t>
        </is>
      </c>
      <c r="H44" s="5" t="inlineStr">
        <is>
          <t xml:space="preserve">(no batch data)</t>
        </is>
      </c>
      <c r="I44" s="6" t="n">
        <v>24</v>
      </c>
      <c r="J44" s="6" t="n">
        <v>20</v>
      </c>
      <c r="K44" s="6" t="n">
        <v>4</v>
      </c>
      <c r="L44" s="15" t="n">
        <f aca="false">IFERROR(J44/I44,0)</f>
      </c>
      <c r="M44" s="16" t="inlineStr">
        <is>
          <t xml:space="preserve">2 short (bowel snapped before cut to length); 2 holes in mesentery critical area</t>
        </is>
      </c>
    </row>
    <row r="45" ht="13.5" customHeight="true">
      <c r="A45" s="5" t="inlineStr">
        <is>
          <t xml:space="preserve">2026-07-20</t>
        </is>
      </c>
      <c r="B45" s="5" t="inlineStr">
        <is>
          <t xml:space="preserve">Martins</t>
        </is>
      </c>
      <c r="C45" s="5" t="inlineStr">
        <is>
          <t xml:space="preserve">Toni</t>
        </is>
      </c>
      <c r="D45" s="5" t="inlineStr">
        <is>
          <t xml:space="preserve">Jesus</t>
        </is>
      </c>
      <c r="E45" s="5" t="inlineStr">
        <is>
          <t xml:space="preserve">Pelvic</t>
        </is>
      </c>
      <c r="F45" s="5" t="inlineStr">
        <is>
          <t xml:space="preserve">666506</t>
        </is>
      </c>
      <c r="G45" s="5" t="inlineStr">
        <is>
          <t xml:space="preserve">Non-intact</t>
        </is>
      </c>
      <c r="H45" s="5" t="inlineStr">
        <is>
          <t xml:space="preserve">5502495104</t>
        </is>
      </c>
      <c r="I45" s="6" t="n">
        <v>30</v>
      </c>
      <c r="J45" s="6" t="n">
        <v>29</v>
      </c>
      <c r="K45" s="6" t="n">
        <v>1</v>
      </c>
      <c r="L45" s="15" t="n">
        <f aca="false">IFERROR(J45/I45,0)</f>
      </c>
      <c r="M45" s="16" t="inlineStr">
        <is>
          <t xml:space="preserve">1 large membrane damage</t>
        </is>
      </c>
    </row>
    <row r="46" ht="40.0" customHeight="true">
      <c r="A46" s="5" t="inlineStr">
        <is>
          <t xml:space="preserve">2026-07-20</t>
        </is>
      </c>
      <c r="B46" s="5" t="inlineStr">
        <is>
          <t xml:space="preserve">Martins</t>
        </is>
      </c>
      <c r="C46" s="5" t="inlineStr">
        <is>
          <t xml:space="preserve">Toni</t>
        </is>
      </c>
      <c r="D46" s="5" t="inlineStr">
        <is>
          <t xml:space="preserve">Jesus</t>
        </is>
      </c>
      <c r="E46" s="5" t="inlineStr">
        <is>
          <t xml:space="preserve">Pelvic</t>
        </is>
      </c>
      <c r="F46" s="5" t="inlineStr">
        <is>
          <t xml:space="preserve">666541</t>
        </is>
      </c>
      <c r="G46" s="5" t="inlineStr">
        <is>
          <t xml:space="preserve">Intact</t>
        </is>
      </c>
      <c r="H46" s="5" t="inlineStr">
        <is>
          <t xml:space="preserve">5502495107</t>
        </is>
      </c>
      <c r="I46" s="6" t="n">
        <v>65</v>
      </c>
      <c r="J46" s="6" t="n">
        <v>63</v>
      </c>
      <c r="K46" s="6" t="n">
        <v>2</v>
      </c>
      <c r="L46" s="15" t="n">
        <f aca="false">IFERROR(J46/I46,0)</f>
      </c>
      <c r="M46" s="16" t="inlineStr">
        <is>
          <t xml:space="preserve">1 deformed bladder documented; source #Fail cell read 1, but 65 inspected − 63 pass = 2 → 1 reject undocumented (confirm)</t>
        </is>
      </c>
    </row>
    <row r="47" ht="13.5" customHeight="true">
      <c r="A47" s="5" t="inlineStr">
        <is>
          <t xml:space="preserve">2026-07-27</t>
        </is>
      </c>
      <c r="B47" s="5" t="inlineStr">
        <is>
          <t xml:space="preserve">Martins</t>
        </is>
      </c>
      <c r="C47" s="5" t="inlineStr">
        <is>
          <t xml:space="preserve">Toni</t>
        </is>
      </c>
      <c r="D47" s="5" t="inlineStr">
        <is>
          <t xml:space="preserve">Jesus</t>
        </is>
      </c>
      <c r="E47" s="5" t="inlineStr">
        <is>
          <t xml:space="preserve">Pelvic</t>
        </is>
      </c>
      <c r="F47" s="5" t="inlineStr">
        <is>
          <t xml:space="preserve">666506</t>
        </is>
      </c>
      <c r="G47" s="5" t="inlineStr">
        <is>
          <t xml:space="preserve">Non-intact</t>
        </is>
      </c>
      <c r="H47" s="5" t="inlineStr">
        <is>
          <t xml:space="preserve">5502512225</t>
        </is>
      </c>
      <c r="I47" s="6" t="n">
        <v>25</v>
      </c>
      <c r="J47" s="6" t="n">
        <v>25</v>
      </c>
      <c r="K47" s="6" t="n">
        <v>0</v>
      </c>
      <c r="L47" s="15" t="n">
        <f aca="false">IFERROR(J47/I47,0)</f>
      </c>
      <c r="M47" s="16" t="inlineStr">
        <is>
          <t xml:space="preserve"/>
        </is>
      </c>
    </row>
    <row r="48" ht="27.0" customHeight="true">
      <c r="A48" s="5" t="inlineStr">
        <is>
          <t xml:space="preserve">2026-07-27</t>
        </is>
      </c>
      <c r="B48" s="5" t="inlineStr">
        <is>
          <t xml:space="preserve">Parks Family Meats</t>
        </is>
      </c>
      <c r="C48" s="5" t="inlineStr">
        <is>
          <t xml:space="preserve">Rasmin</t>
        </is>
      </c>
      <c r="D48" s="5" t="inlineStr">
        <is>
          <t xml:space="preserve">Natalie</t>
        </is>
      </c>
      <c r="E48" s="5" t="inlineStr">
        <is>
          <t xml:space="preserve">Pelvic</t>
        </is>
      </c>
      <c r="F48" s="5" t="inlineStr">
        <is>
          <t xml:space="preserve">666518</t>
        </is>
      </c>
      <c r="G48" s="5" t="inlineStr">
        <is>
          <t xml:space="preserve">Intact (SM)</t>
        </is>
      </c>
      <c r="H48" s="5" t="inlineStr">
        <is>
          <t xml:space="preserve">(no batch data)</t>
        </is>
      </c>
      <c r="I48" s="6" t="n">
        <v>45</v>
      </c>
      <c r="J48" s="6" t="n">
        <v>42</v>
      </c>
      <c r="K48" s="6" t="n">
        <v>3</v>
      </c>
      <c r="L48" s="15" t="n">
        <f aca="false">IFERROR(J48/I48,0)</f>
      </c>
      <c r="M48" s="16" t="inlineStr">
        <is>
          <t xml:space="preserve">1 ureter damage; 1 mesentery hole in critical area &gt;0.5"; 1 bowel-colon separation past critical area</t>
        </is>
      </c>
    </row>
    <row r="49" ht="13.5" customHeight="true">
      <c r="A49" s="5" t="inlineStr">
        <is>
          <t xml:space="preserve">2026-07-27</t>
        </is>
      </c>
      <c r="B49" s="5" t="inlineStr">
        <is>
          <t xml:space="preserve">Martins</t>
        </is>
      </c>
      <c r="C49" s="5" t="inlineStr">
        <is>
          <t xml:space="preserve">Toni</t>
        </is>
      </c>
      <c r="D49" s="5" t="inlineStr">
        <is>
          <t xml:space="preserve">Jesus</t>
        </is>
      </c>
      <c r="E49" s="5" t="inlineStr">
        <is>
          <t xml:space="preserve">Pelvic</t>
        </is>
      </c>
      <c r="F49" s="5" t="inlineStr">
        <is>
          <t xml:space="preserve">666541</t>
        </is>
      </c>
      <c r="G49" s="5" t="inlineStr">
        <is>
          <t xml:space="preserve">Intact</t>
        </is>
      </c>
      <c r="H49" s="5" t="inlineStr">
        <is>
          <t xml:space="preserve">5502512228</t>
        </is>
      </c>
      <c r="I49" s="6" t="n">
        <v>46</v>
      </c>
      <c r="J49" s="6" t="n">
        <v>45</v>
      </c>
      <c r="K49" s="6" t="n">
        <v>1</v>
      </c>
      <c r="L49" s="15" t="n">
        <f aca="false">IFERROR(J49/I49,0)</f>
      </c>
      <c r="M49" s="16" t="inlineStr">
        <is>
          <t xml:space="preserve">1 damaged membrane larger than 0.5"</t>
        </is>
      </c>
    </row>
    <row r="50" ht="54.0" customHeight="true">
      <c r="A50" s="5" t="inlineStr">
        <is>
          <t xml:space="preserve">2026-07-29</t>
        </is>
      </c>
      <c r="B50" s="5" t="inlineStr">
        <is>
          <t xml:space="preserve">Nahunta</t>
        </is>
      </c>
      <c r="C50" s="5" t="inlineStr">
        <is>
          <t xml:space="preserve">Kris</t>
        </is>
      </c>
      <c r="D50" s="5" t="inlineStr">
        <is>
          <t xml:space="preserve">Jordan</t>
        </is>
      </c>
      <c r="E50" s="5" t="inlineStr">
        <is>
          <t xml:space="preserve">Thoracic</t>
        </is>
      </c>
      <c r="F50" s="5" t="inlineStr">
        <is>
          <t xml:space="preserve">666521</t>
        </is>
      </c>
      <c r="G50" s="5" t="inlineStr">
        <is>
          <t xml:space="preserve">Lung / heart</t>
        </is>
      </c>
      <c r="H50" s="5" t="inlineStr">
        <is>
          <t xml:space="preserve">5502512218</t>
        </is>
      </c>
      <c r="I50" s="6" t="n">
        <v>19</v>
      </c>
      <c r="J50" s="6" t="n">
        <v>6</v>
      </c>
      <c r="K50" s="6" t="n">
        <v>13</v>
      </c>
      <c r="L50" s="15" t="n">
        <f aca="false">IFERROR(J50/I50,0)</f>
      </c>
      <c r="M50" s="16" t="inlineStr">
        <is>
          <t xml:space="preserve">11 right-lung lacerations (mostly along the perimeter); 2 heart damage; 1 accepted with two sub-4cm perimeter lacerations that did not connect. Majority of damage attributed to the harvesting side.</t>
        </is>
      </c>
    </row>
    <row r="51" ht="13.5" customHeight="true">
      <c r="A51" s="5" t="inlineStr">
        <is>
          <t xml:space="preserve">2026-07-29</t>
        </is>
      </c>
      <c r="B51" s="5" t="inlineStr">
        <is>
          <t xml:space="preserve">Nahunta</t>
        </is>
      </c>
      <c r="C51" s="5" t="inlineStr">
        <is>
          <t xml:space="preserve">Kris</t>
        </is>
      </c>
      <c r="D51" s="5" t="inlineStr">
        <is>
          <t xml:space="preserve">Jordan</t>
        </is>
      </c>
      <c r="E51" s="5" t="inlineStr">
        <is>
          <t xml:space="preserve">Pelvic</t>
        </is>
      </c>
      <c r="F51" s="5" t="inlineStr">
        <is>
          <t xml:space="preserve">666541</t>
        </is>
      </c>
      <c r="G51" s="5" t="inlineStr">
        <is>
          <t xml:space="preserve">Intact</t>
        </is>
      </c>
      <c r="H51" s="5" t="inlineStr">
        <is>
          <t xml:space="preserve">5502512218</t>
        </is>
      </c>
      <c r="I51" s="6" t="n">
        <v>1</v>
      </c>
      <c r="J51" s="6" t="n">
        <v>1</v>
      </c>
      <c r="K51" s="6" t="n">
        <v>0</v>
      </c>
      <c r="L51" s="15" t="n">
        <f aca="false">IFERROR(J51/I51,0)</f>
      </c>
      <c r="M51" s="16" t="inlineStr">
        <is>
          <t xml:space="preserve"/>
        </is>
      </c>
    </row>
    <row r="52" ht="27.0" customHeight="true">
      <c r="A52" s="5" t="inlineStr">
        <is>
          <t xml:space="preserve">2026-07-30</t>
        </is>
      </c>
      <c r="B52" s="5" t="inlineStr">
        <is>
          <t xml:space="preserve">Parks Family Meats</t>
        </is>
      </c>
      <c r="C52" s="5" t="inlineStr">
        <is>
          <t xml:space="preserve">Rasmin</t>
        </is>
      </c>
      <c r="D52" s="5" t="inlineStr">
        <is>
          <t xml:space="preserve">Natalie</t>
        </is>
      </c>
      <c r="E52" s="5" t="inlineStr">
        <is>
          <t xml:space="preserve">Pelvic</t>
        </is>
      </c>
      <c r="F52" s="5" t="inlineStr">
        <is>
          <t xml:space="preserve">666518</t>
        </is>
      </c>
      <c r="G52" s="5" t="inlineStr">
        <is>
          <t xml:space="preserve">Intact (SM)</t>
        </is>
      </c>
      <c r="H52" s="5" t="inlineStr">
        <is>
          <t xml:space="preserve">(no batch data)</t>
        </is>
      </c>
      <c r="I52" s="6" t="n">
        <v>10</v>
      </c>
      <c r="J52" s="6" t="n">
        <v>9</v>
      </c>
      <c r="K52" s="6" t="n">
        <v>1</v>
      </c>
      <c r="L52" s="15" t="n">
        <f aca="false">IFERROR(J52/I52,0)</f>
      </c>
      <c r="M52" s="16" t="inlineStr">
        <is>
          <t xml:space="preserve">1 pelvic block short (majority of pigs received were male → lower numbers)</t>
        </is>
      </c>
    </row>
    <row r="53" ht="13.5" customHeight="true">
      <c r="A53" s="5" t="inlineStr">
        <is>
          <t xml:space="preserve">2026-08-03</t>
        </is>
      </c>
      <c r="B53" s="5" t="inlineStr">
        <is>
          <t xml:space="preserve">Martins</t>
        </is>
      </c>
      <c r="C53" s="5" t="inlineStr">
        <is>
          <t xml:space="preserve">Toni</t>
        </is>
      </c>
      <c r="D53" s="5" t="inlineStr">
        <is>
          <t xml:space="preserve">Jesus</t>
        </is>
      </c>
      <c r="E53" s="5" t="inlineStr">
        <is>
          <t xml:space="preserve">Pelvic</t>
        </is>
      </c>
      <c r="F53" s="5" t="inlineStr">
        <is>
          <t xml:space="preserve">666541</t>
        </is>
      </c>
      <c r="G53" s="5" t="inlineStr">
        <is>
          <t xml:space="preserve">Intact</t>
        </is>
      </c>
      <c r="H53" s="5" t="inlineStr">
        <is>
          <t xml:space="preserve">5502512228</t>
        </is>
      </c>
      <c r="I53" s="6" t="n">
        <v>44</v>
      </c>
      <c r="J53" s="6" t="n">
        <v>44</v>
      </c>
      <c r="K53" s="6" t="n">
        <v>0</v>
      </c>
      <c r="L53" s="15" t="n">
        <f aca="false">IFERROR(J53/I53,0)</f>
      </c>
      <c r="M53" s="16" t="inlineStr">
        <is>
          <t xml:space="preserve"/>
        </is>
      </c>
    </row>
    <row r="54" ht="54.0" customHeight="true">
      <c r="A54" s="5" t="inlineStr">
        <is>
          <t xml:space="preserve">2026-08-05</t>
        </is>
      </c>
      <c r="B54" s="5" t="inlineStr">
        <is>
          <t xml:space="preserve">Nahunta</t>
        </is>
      </c>
      <c r="C54" s="5" t="inlineStr">
        <is>
          <t xml:space="preserve">Kris</t>
        </is>
      </c>
      <c r="D54" s="5" t="inlineStr">
        <is>
          <t xml:space="preserve">Jordan</t>
        </is>
      </c>
      <c r="E54" s="5" t="inlineStr">
        <is>
          <t xml:space="preserve">Thoracic</t>
        </is>
      </c>
      <c r="F54" s="5" t="inlineStr">
        <is>
          <t xml:space="preserve">666521</t>
        </is>
      </c>
      <c r="G54" s="5" t="inlineStr">
        <is>
          <t xml:space="preserve">Lung / heart</t>
        </is>
      </c>
      <c r="H54" s="5" t="inlineStr">
        <is>
          <t xml:space="preserve">5502512218</t>
        </is>
      </c>
      <c r="I54" s="6" t="n">
        <v>15</v>
      </c>
      <c r="J54" s="6" t="n">
        <v>0</v>
      </c>
      <c r="K54" s="6" t="n">
        <v>15</v>
      </c>
      <c r="L54" s="15" t="n">
        <f aca="false">IFERROR(J54/I54,0)</f>
      </c>
      <c r="M54" s="16" t="inlineStr">
        <is>
          <t xml:space="preserve">11 right-lung lacerations (mostly along perimeter); 4 heart damage. Majority of damage harvesting-side; two units had no lung laceration but failed on heart.</t>
        </is>
      </c>
    </row>
    <row r="55" ht="13.5" customHeight="true">
      <c r="A55" s="5" t="inlineStr">
        <is>
          <t xml:space="preserve">2026-08-05</t>
        </is>
      </c>
      <c r="B55" s="5" t="inlineStr">
        <is>
          <t xml:space="preserve">Martins</t>
        </is>
      </c>
      <c r="C55" s="5" t="inlineStr">
        <is>
          <t xml:space="preserve">Toni</t>
        </is>
      </c>
      <c r="D55" s="5" t="inlineStr">
        <is>
          <t xml:space="preserve">Jesus</t>
        </is>
      </c>
      <c r="E55" s="5" t="inlineStr">
        <is>
          <t xml:space="preserve">Pelvic</t>
        </is>
      </c>
      <c r="F55" s="5" t="inlineStr">
        <is>
          <t xml:space="preserve">666541</t>
        </is>
      </c>
      <c r="G55" s="5" t="inlineStr">
        <is>
          <t xml:space="preserve">Intact</t>
        </is>
      </c>
      <c r="H55" s="5" t="inlineStr">
        <is>
          <t xml:space="preserve">5502512228</t>
        </is>
      </c>
      <c r="I55" s="6" t="n">
        <v>35</v>
      </c>
      <c r="J55" s="6" t="n">
        <v>33</v>
      </c>
      <c r="K55" s="6" t="n">
        <v>2</v>
      </c>
      <c r="L55" s="15" t="n">
        <f aca="false">IFERROR(J55/I55,0)</f>
      </c>
      <c r="M55" s="16" t="inlineStr">
        <is>
          <t xml:space="preserve">1 damaged membrane; 1 hole in bowel</t>
        </is>
      </c>
    </row>
    <row r="56" ht="13.5" customHeight="true">
      <c r="A56" s="5" t="inlineStr">
        <is>
          <t xml:space="preserve">2026-08-10</t>
        </is>
      </c>
      <c r="B56" s="5" t="inlineStr">
        <is>
          <t xml:space="preserve">Martins</t>
        </is>
      </c>
      <c r="C56" s="5" t="inlineStr">
        <is>
          <t xml:space="preserve">Toni</t>
        </is>
      </c>
      <c r="D56" s="5" t="inlineStr">
        <is>
          <t xml:space="preserve">Jesus</t>
        </is>
      </c>
      <c r="E56" s="5" t="inlineStr">
        <is>
          <t xml:space="preserve">Pelvic</t>
        </is>
      </c>
      <c r="F56" s="5" t="inlineStr">
        <is>
          <t xml:space="preserve">666506</t>
        </is>
      </c>
      <c r="G56" s="5" t="inlineStr">
        <is>
          <t xml:space="preserve">Non-intact</t>
        </is>
      </c>
      <c r="H56" s="5" t="inlineStr">
        <is>
          <t xml:space="preserve">5502523266</t>
        </is>
      </c>
      <c r="I56" s="6" t="n">
        <v>8</v>
      </c>
      <c r="J56" s="6" t="n">
        <v>8</v>
      </c>
      <c r="K56" s="6" t="n">
        <v>0</v>
      </c>
      <c r="L56" s="15" t="n">
        <f aca="false">IFERROR(J56/I56,0)</f>
      </c>
      <c r="M56" s="16" t="inlineStr">
        <is>
          <t xml:space="preserve"/>
        </is>
      </c>
    </row>
    <row r="57" ht="13.5" customHeight="true">
      <c r="A57" s="5" t="inlineStr">
        <is>
          <t xml:space="preserve">2026-08-10</t>
        </is>
      </c>
      <c r="B57" s="5" t="inlineStr">
        <is>
          <t xml:space="preserve">Martins</t>
        </is>
      </c>
      <c r="C57" s="5" t="inlineStr">
        <is>
          <t xml:space="preserve">Toni</t>
        </is>
      </c>
      <c r="D57" s="5" t="inlineStr">
        <is>
          <t xml:space="preserve">Jesus</t>
        </is>
      </c>
      <c r="E57" s="5" t="inlineStr">
        <is>
          <t xml:space="preserve">Pelvic</t>
        </is>
      </c>
      <c r="F57" s="5" t="inlineStr">
        <is>
          <t xml:space="preserve">666541</t>
        </is>
      </c>
      <c r="G57" s="5" t="inlineStr">
        <is>
          <t xml:space="preserve">Intact</t>
        </is>
      </c>
      <c r="H57" s="5" t="inlineStr">
        <is>
          <t xml:space="preserve">5502523269</t>
        </is>
      </c>
      <c r="I57" s="6" t="n">
        <v>43</v>
      </c>
      <c r="J57" s="6" t="n">
        <v>41</v>
      </c>
      <c r="K57" s="6" t="n">
        <v>2</v>
      </c>
      <c r="L57" s="15" t="n">
        <f aca="false">IFERROR(J57/I57,0)</f>
      </c>
      <c r="M57" s="16" t="inlineStr">
        <is>
          <t xml:space="preserve">2 urethra damage</t>
        </is>
      </c>
    </row>
    <row r="58" ht="13.5" customHeight="true">
      <c r="A58" s="5" t="inlineStr">
        <is>
          <t xml:space="preserve">2026-08-10</t>
        </is>
      </c>
      <c r="B58" s="5" t="inlineStr">
        <is>
          <t xml:space="preserve">Parks Family Meats</t>
        </is>
      </c>
      <c r="C58" s="5" t="inlineStr">
        <is>
          <t xml:space="preserve">Rasmin</t>
        </is>
      </c>
      <c r="D58" s="5" t="inlineStr">
        <is>
          <t xml:space="preserve">Natalie</t>
        </is>
      </c>
      <c r="E58" s="5" t="inlineStr">
        <is>
          <t xml:space="preserve">Pelvic</t>
        </is>
      </c>
      <c r="F58" s="5" t="inlineStr">
        <is>
          <t xml:space="preserve">666541</t>
        </is>
      </c>
      <c r="G58" s="5" t="inlineStr">
        <is>
          <t xml:space="preserve">Intact</t>
        </is>
      </c>
      <c r="H58" s="5" t="inlineStr">
        <is>
          <t xml:space="preserve">(no batch data)</t>
        </is>
      </c>
      <c r="I58" s="6" t="n">
        <v>10</v>
      </c>
      <c r="J58" s="6" t="n">
        <v>10</v>
      </c>
      <c r="K58" s="6" t="n">
        <v>0</v>
      </c>
      <c r="L58" s="15" t="n">
        <f aca="false">IFERROR(J58/I58,0)</f>
      </c>
      <c r="M58" s="16" t="inlineStr">
        <is>
          <t xml:space="preserve">No failures this day.</t>
        </is>
      </c>
    </row>
    <row r="59" ht="40.0" customHeight="true">
      <c r="A59" s="5" t="inlineStr">
        <is>
          <t xml:space="preserve">2026-08-12</t>
        </is>
      </c>
      <c r="B59" s="5" t="inlineStr">
        <is>
          <t xml:space="preserve">Nahunta</t>
        </is>
      </c>
      <c r="C59" s="5" t="inlineStr">
        <is>
          <t xml:space="preserve">Kris</t>
        </is>
      </c>
      <c r="D59" s="5" t="inlineStr">
        <is>
          <t xml:space="preserve">Jordan</t>
        </is>
      </c>
      <c r="E59" s="5" t="inlineStr">
        <is>
          <t xml:space="preserve">Thoracic</t>
        </is>
      </c>
      <c r="F59" s="5" t="inlineStr">
        <is>
          <t xml:space="preserve">666521</t>
        </is>
      </c>
      <c r="G59" s="5" t="inlineStr">
        <is>
          <t xml:space="preserve">Lung / heart</t>
        </is>
      </c>
      <c r="H59" s="5" t="inlineStr">
        <is>
          <t xml:space="preserve">5502523283</t>
        </is>
      </c>
      <c r="I59" s="6" t="n">
        <v>13</v>
      </c>
      <c r="J59" s="6" t="n">
        <v>2</v>
      </c>
      <c r="K59" s="6" t="n">
        <v>11</v>
      </c>
      <c r="L59" s="15" t="n">
        <f aca="false">IFERROR(J59/I59,0)</f>
      </c>
      <c r="M59" s="16" t="inlineStr">
        <is>
          <t xml:space="preserve">9 right-lung lacerations; 3 heart damage (breakdown sums to 12 vs 11 recorded). No left-lung damage seen; requested Ricardo shadow next visit.</t>
        </is>
      </c>
    </row>
    <row r="60" ht="40.0" customHeight="true">
      <c r="A60" s="5" t="inlineStr">
        <is>
          <t xml:space="preserve">2026-08-12</t>
        </is>
      </c>
      <c r="B60" s="5" t="inlineStr">
        <is>
          <t xml:space="preserve">Nahunta</t>
        </is>
      </c>
      <c r="C60" s="5" t="inlineStr">
        <is>
          <t xml:space="preserve">Kris</t>
        </is>
      </c>
      <c r="D60" s="5" t="inlineStr">
        <is>
          <t xml:space="preserve">Jordan</t>
        </is>
      </c>
      <c r="E60" s="5" t="inlineStr">
        <is>
          <t xml:space="preserve">Pelvic</t>
        </is>
      </c>
      <c r="F60" s="5" t="inlineStr">
        <is>
          <t xml:space="preserve">666541</t>
        </is>
      </c>
      <c r="G60" s="5" t="inlineStr">
        <is>
          <t xml:space="preserve">Intact</t>
        </is>
      </c>
      <c r="H60" s="5" t="inlineStr">
        <is>
          <t xml:space="preserve">5502523283</t>
        </is>
      </c>
      <c r="I60" s="6" t="n">
        <v>13</v>
      </c>
      <c r="J60" s="6" t="n">
        <v>1</v>
      </c>
      <c r="K60" s="6" t="n">
        <v>12</v>
      </c>
      <c r="L60" s="15" t="n">
        <f aca="false">IFERROR(J60/I60,0)</f>
      </c>
      <c r="M60" s="16" t="inlineStr">
        <is>
          <t xml:space="preserve">Pelvic deprioritized — Jordan harvests other components first; no per-defect breakdown recorded (PROVISIONAL — confirm)</t>
        </is>
      </c>
    </row>
    <row r="61" ht="27.0" customHeight="true">
      <c r="A61" s="5" t="inlineStr">
        <is>
          <t xml:space="preserve">2026-08-14</t>
        </is>
      </c>
      <c r="B61" s="5" t="inlineStr">
        <is>
          <t xml:space="preserve">Parks Family Meats</t>
        </is>
      </c>
      <c r="C61" s="5" t="inlineStr">
        <is>
          <t xml:space="preserve">Rasmin</t>
        </is>
      </c>
      <c r="D61" s="5" t="inlineStr">
        <is>
          <t xml:space="preserve">Natalie</t>
        </is>
      </c>
      <c r="E61" s="5" t="inlineStr">
        <is>
          <t xml:space="preserve">Pelvic</t>
        </is>
      </c>
      <c r="F61" s="5" t="inlineStr">
        <is>
          <t xml:space="preserve">666541</t>
        </is>
      </c>
      <c r="G61" s="5" t="inlineStr">
        <is>
          <t xml:space="preserve">Intact</t>
        </is>
      </c>
      <c r="H61" s="5" t="inlineStr">
        <is>
          <t xml:space="preserve">(no batch data)</t>
        </is>
      </c>
      <c r="I61" s="6" t="n">
        <v>23</v>
      </c>
      <c r="J61" s="6" t="n">
        <v>22</v>
      </c>
      <c r="K61" s="6" t="n">
        <v>1</v>
      </c>
      <c r="L61" s="15" t="n">
        <f aca="false">IFERROR(J61/I61,0)</f>
      </c>
      <c r="M61" s="16" t="inlineStr">
        <is>
          <t xml:space="preserve">Bowel separated from mesentery past the critical point</t>
        </is>
      </c>
    </row>
    <row r="62" ht="13.5" customHeight="true">
      <c r="A62" s="5" t="inlineStr">
        <is>
          <t xml:space="preserve">2026-08-17</t>
        </is>
      </c>
      <c r="B62" s="5" t="inlineStr">
        <is>
          <t xml:space="preserve">Martins</t>
        </is>
      </c>
      <c r="C62" s="5" t="inlineStr">
        <is>
          <t xml:space="preserve">Toni</t>
        </is>
      </c>
      <c r="D62" s="5" t="inlineStr">
        <is>
          <t xml:space="preserve">Jesus</t>
        </is>
      </c>
      <c r="E62" s="5" t="inlineStr">
        <is>
          <t xml:space="preserve">Pelvic</t>
        </is>
      </c>
      <c r="F62" s="5" t="inlineStr">
        <is>
          <t xml:space="preserve">666506</t>
        </is>
      </c>
      <c r="G62" s="5" t="inlineStr">
        <is>
          <t xml:space="preserve">Non-intact</t>
        </is>
      </c>
      <c r="H62" s="5" t="inlineStr">
        <is>
          <t xml:space="preserve">5502523266</t>
        </is>
      </c>
      <c r="I62" s="6" t="n">
        <v>5</v>
      </c>
      <c r="J62" s="6" t="n">
        <v>5</v>
      </c>
      <c r="K62" s="6" t="n">
        <v>0</v>
      </c>
      <c r="L62" s="15" t="n">
        <f aca="false">IFERROR(J62/I62,0)</f>
      </c>
      <c r="M62" s="16" t="inlineStr">
        <is>
          <t xml:space="preserve"/>
        </is>
      </c>
    </row>
    <row r="63" ht="27.0" customHeight="true">
      <c r="A63" s="5" t="inlineStr">
        <is>
          <t xml:space="preserve">2026-08-17</t>
        </is>
      </c>
      <c r="B63" s="5" t="inlineStr">
        <is>
          <t xml:space="preserve">Martins</t>
        </is>
      </c>
      <c r="C63" s="5" t="inlineStr">
        <is>
          <t xml:space="preserve">Toni</t>
        </is>
      </c>
      <c r="D63" s="5" t="inlineStr">
        <is>
          <t xml:space="preserve">Jesus</t>
        </is>
      </c>
      <c r="E63" s="5" t="inlineStr">
        <is>
          <t xml:space="preserve">Pelvic</t>
        </is>
      </c>
      <c r="F63" s="5" t="inlineStr">
        <is>
          <t xml:space="preserve">666541</t>
        </is>
      </c>
      <c r="G63" s="5" t="inlineStr">
        <is>
          <t xml:space="preserve">Intact</t>
        </is>
      </c>
      <c r="H63" s="5" t="inlineStr">
        <is>
          <t xml:space="preserve">5502523269</t>
        </is>
      </c>
      <c r="I63" s="6" t="n">
        <v>15</v>
      </c>
      <c r="J63" s="6" t="n">
        <v>14</v>
      </c>
      <c r="K63" s="6" t="n">
        <v>1</v>
      </c>
      <c r="L63" s="15" t="n">
        <f aca="false">IFERROR(J63/I63,0)</f>
      </c>
      <c r="M63" s="16" t="inlineStr">
        <is>
          <t xml:space="preserve">1 hole in bowel (ran out of pigs, 3-hr wait, truck late)</t>
        </is>
      </c>
    </row>
    <row r="64" ht="54.0" customHeight="true">
      <c r="A64" s="5" t="inlineStr">
        <is>
          <t xml:space="preserve">2026-08-19</t>
        </is>
      </c>
      <c r="B64" s="5" t="inlineStr">
        <is>
          <t xml:space="preserve">Nahunta</t>
        </is>
      </c>
      <c r="C64" s="5" t="inlineStr">
        <is>
          <t xml:space="preserve">Kris</t>
        </is>
      </c>
      <c r="D64" s="5" t="inlineStr">
        <is>
          <t xml:space="preserve">Jordan</t>
        </is>
      </c>
      <c r="E64" s="5" t="inlineStr">
        <is>
          <t xml:space="preserve">Thoracic</t>
        </is>
      </c>
      <c r="F64" s="5" t="inlineStr">
        <is>
          <t xml:space="preserve">666521</t>
        </is>
      </c>
      <c r="G64" s="5" t="inlineStr">
        <is>
          <t xml:space="preserve">Lung / heart</t>
        </is>
      </c>
      <c r="H64" s="5" t="inlineStr">
        <is>
          <t xml:space="preserve">5502523283</t>
        </is>
      </c>
      <c r="I64" s="6" t="n">
        <v>29</v>
      </c>
      <c r="J64" s="6" t="n">
        <v>6</v>
      </c>
      <c r="K64" s="6" t="n">
        <v>23</v>
      </c>
      <c r="L64" s="15" t="n">
        <f aca="false">IFERROR(J64/I64,0)</f>
      </c>
      <c r="M64" s="16" t="inlineStr">
        <is>
          <t xml:space="preserve">11 right-lung lacerations; 12 heart damage. Ricardo meeting reduced lung lacerations only until first break; heart lacerations (inspector-side) now the next gap.</t>
        </is>
      </c>
    </row>
    <row r="65"/>
    <row r="66" ht="18" customHeight="true">
      <c r="A66" s="3" t="inlineStr">
        <is>
          <t xml:space="preserve">TOTALS BY TISSUE TYPE</t>
        </is>
      </c>
    </row>
    <row r="67">
      <c r="A67" s="11" t="inlineStr">
        <is>
          <t xml:space="preserve">Tissue Type</t>
        </is>
      </c>
      <c r="I67" s="11" t="inlineStr">
        <is>
          <t xml:space="preserve"># Inspected</t>
        </is>
      </c>
      <c r="J67" s="11" t="inlineStr">
        <is>
          <t xml:space="preserve"># Pass</t>
        </is>
      </c>
      <c r="K67" s="11" t="inlineStr">
        <is>
          <t xml:space="preserve"># Fail</t>
        </is>
      </c>
      <c r="L67" s="11" t="inlineStr">
        <is>
          <t xml:space="preserve">First-Pass Yield</t>
        </is>
      </c>
    </row>
    <row r="68">
      <c r="A68" s="12" t="inlineStr">
        <is>
          <t xml:space="preserve">Pelvic</t>
        </is>
      </c>
      <c r="I68" s="6" t="n">
        <f aca="false">SUMIF($E$6:$E$64,"Pelvic",$I$6:$I$64)</f>
      </c>
      <c r="J68" s="6" t="n">
        <f aca="false">SUMIF($E$6:$E$64,"Pelvic",$J$6:$J$64)</f>
      </c>
      <c r="K68" s="6" t="n">
        <f aca="false">SUMIF($E$6:$E$64,"Pelvic",$K$6:$K$64)</f>
      </c>
      <c r="L68" s="15" t="n">
        <f aca="false">IFERROR(J68/I68,0)</f>
      </c>
    </row>
    <row r="69">
      <c r="A69" s="12" t="inlineStr">
        <is>
          <t xml:space="preserve">Thoracic</t>
        </is>
      </c>
      <c r="I69" s="6" t="n">
        <f aca="false">SUMIF($E$6:$E$64,"Thoracic",$I$6:$I$64)</f>
      </c>
      <c r="J69" s="6" t="n">
        <f aca="false">SUMIF($E$6:$E$64,"Thoracic",$J$6:$J$64)</f>
      </c>
      <c r="K69" s="6" t="n">
        <f aca="false">SUMIF($E$6:$E$64,"Thoracic",$K$6:$K$64)</f>
      </c>
      <c r="L69" s="15" t="n">
        <f aca="false">IFERROR(J69/I69,0)</f>
      </c>
    </row>
    <row r="70">
      <c r="A70" s="12" t="inlineStr">
        <is>
          <t xml:space="preserve">GRAND TOTAL (all tissue types)</t>
        </is>
      </c>
      <c r="I70" s="6" t="n">
        <f aca="false">SUM($I$6:$I$64)</f>
      </c>
      <c r="J70" s="6" t="n">
        <f aca="false">SUM($J$6:$J$64)</f>
      </c>
      <c r="K70" s="6" t="n">
        <f aca="false">SUM($K$6:$K$64)</f>
      </c>
      <c r="L70" s="15" t="n">
        <f aca="false">IFERROR(J70/I70,0)</f>
      </c>
    </row>
    <row r="71"/>
    <row r="72" ht="18" customHeight="true">
      <c r="A72" s="3" t="inlineStr">
        <is>
          <t xml:space="preserve">ATM RECEIPT COMPARISON</t>
        </is>
      </c>
    </row>
    <row r="73" ht="30" customHeight="true">
      <c r="A73" s="20" t="inlineStr">
        <is>
          <t xml:space="preserve">Reserved for ATM (post-freeze receipt) inspection data. ATM data is no longer batch/lot-linked, so it will be compared by tissue type / part and time window rather than by lot. Populated when ATM data arrives.</t>
        </is>
      </c>
    </row>
    <row r="74"/>
    <row r="75" ht="18" customHeight="true">
      <c r="A75" s="3" t="inlineStr">
        <is>
          <t xml:space="preserve">NOTES &amp; DATA CONVENTIONS</t>
        </is>
      </c>
    </row>
    <row r="76" ht="60.0" customHeight="true">
      <c r="A76" s="19" t="inlineStr">
        <is>
          <t xml:space="preserve">1. 666506 = non-intact</t>
        </is>
      </c>
      <c r="B76" s="20" t="inlineStr">
        <is>
          <t xml:space="preserve">In the source tally sheets, PN 666541 is labeled 'intact' and PN 666506 is labeled 'Non intact'. Scrap reasons include phrases like '2 blood clots, moved to non intact', suggesting 666506 is a downgrade/recovery spec rather than an independent product line. Confirm with Quality before relying on this interpretation.</t>
        </is>
      </c>
    </row>
    <row r="77" ht="60.0" customHeight="true">
      <c r="A77" s="19" t="inlineStr">
        <is>
          <t xml:space="preserve">2. Different lot suffixes for intact vs non-intact</t>
        </is>
      </c>
      <c r="B77" s="20" t="inlineStr">
        <is>
          <t xml:space="preserve">Intact and non-intact batches from the same kill day carry DIFFERENT lot numbers (e.g. Visit 1: 5502378434 intact / 5502378430 non-intact; Visit 3: 5502404928 intact / 5502404924 non-intact). The prefix ties them to the same kill but they are tracked separately. This is what 'same batch number but not exactly' refers to.</t>
        </is>
      </c>
    </row>
    <row r="78" ht="60.0" customHeight="true">
      <c r="A78" s="19" t="inlineStr">
        <is>
          <t xml:space="preserve">3. 'Ran out of time' event on 04/20</t>
        </is>
      </c>
      <c r="B78" s="20" t="inlineStr">
        <is>
          <t xml:space="preserve">Lot 5502391862 intact had zero units inspected on 04/20 due to a schedule conflict (bagging set later, SH tech start time changed to 8:00–4:30 PM). 57 units from that lot were inspected on 04/22 instead. Process note, not a quality signal — but if it recurs, sampling discipline at the slaughterhouse is worth revisiting.</t>
        </is>
      </c>
    </row>
    <row r="79" ht="60.0" customHeight="true">
      <c r="A79" s="19" t="inlineStr">
        <is>
          <t xml:space="preserve">4. 'Damaged urethra' dominates Visit 3</t>
        </is>
      </c>
      <c r="B79" s="20" t="inlineStr">
        <is>
          <t xml:space="preserve">On Visit 3 (05/04 + 05/06), 7 of 8 failures across both intact and non-intact were 'damaged urethra' — a sharp departure from prior visits, where bowel-related defects dominated. Worth checking whether harvest technique or tooling changed, or whether the long pre-inspection wait on 05/04 (see next note) contributed.</t>
        </is>
      </c>
    </row>
    <row r="80" ht="60.0" customHeight="true">
      <c r="A80" s="19" t="inlineStr">
        <is>
          <t xml:space="preserve">5. Long truck wait on 05/04 (Visit 3)</t>
        </is>
      </c>
      <c r="B80" s="20" t="inlineStr">
        <is>
          <t xml:space="preserve">Source tally-sheet notes record: 'Monday 05/04 waited 2 hour for truck to deliver at 10:15 am. Had almost 3 hours of waiting.' Tissue sitting longer pre-inspection plausibly correlates with the urethra-damage spike that day. Worth tagging future inspections with delivery time so this can be analyzed quantitatively.</t>
        </is>
      </c>
    </row>
    <row r="81" ht="60.0" customHeight="true">
      <c r="A81" s="19" t="inlineStr">
        <is>
          <t xml:space="preserve">6. Source file typos</t>
        </is>
      </c>
      <c r="B81" s="20" t="inlineStr">
        <is>
          <t xml:space="preserve">Source tally sheets carry '25026' instead of '2026' in the Date and Kill Date fields (Harvest Date is correct). Not reflected here — clean dates used throughout. One-line correction in the tally-sheet template would fix it going forward.</t>
        </is>
      </c>
    </row>
    <row r="82" ht="60.0" customHeight="true">
      <c r="A82" s="19" t="inlineStr">
        <is>
          <t xml:space="preserve">7. Stage-to-stage scope</t>
        </is>
      </c>
      <c r="B82" s="20" t="inlineStr">
        <is>
          <t xml:space="preserve">Three lots now have BOTH SH and ATM data: 5502378434, 5502391862, and 5502404928. The 666506 non-intact lots remain untracked at ATM. As lots accumulate, the SH-vs-ATM yield gap is the cleanest available proxy for freeze/thaw/transport damage.</t>
        </is>
      </c>
    </row>
    <row r="83" ht="60.0" customHeight="true">
      <c r="A83" s="19" t="inlineStr">
        <is>
          <t xml:space="preserve">8. Inspection coverage</t>
        </is>
      </c>
      <c r="B83" s="20" t="inlineStr">
        <is>
          <t xml:space="preserve">59 part-inspections across 39 visit-days and 3 slaughterhouses (Martins ×23, Parks ×12, Nahunta ×4), Apr 13 – Aug 19 2026. Tissue types: Pelvic (parts 666541/666506/666518) and Thoracic (666521). To extend, append rows to the log; the SUMIF/SUM ranges auto-cover them.</t>
        </is>
      </c>
    </row>
    <row r="84" ht="60.0" customHeight="true">
      <c r="A84" s="19" t="inlineStr">
        <is>
          <t xml:space="preserve">9. Lot 5502421192 reused on the 05/27 sheet</t>
        </is>
      </c>
      <c r="B84" s="20" t="inlineStr">
        <is>
          <t xml:space="preserve">The 05/27 Martins tally sheet records the intact lot as 5502421192 — identical to Visit 4's intact lot (harvested 05/18 &amp; 05/21). A single fresh lot spanning 05/18–05/27 is unlikely, so this is probably a tally-sheet carry-over from the prior week's template. It is recorded here as a separate Visit 5 (harvest 05/27), NOT merged into Visit 4, pending confirmation of the true lot number with the SH.</t>
        </is>
      </c>
    </row>
    <row r="85" ht="60.0" customHeight="true">
      <c r="A85" s="19" t="inlineStr">
        <is>
          <t xml:space="preserve">10. New slaughterhouse &amp; inspection team (Parks, 05/28)</t>
        </is>
      </c>
      <c r="B85" s="20" t="inlineStr">
        <is>
          <t xml:space="preserve">First SH-floor inspection at Parks Family Meats, with a new ATM inspector (Rasmin) and new SH tech (Natalie) vs. Toni / Jesus at Martins. Source PN was written 668518 and normalized to 666518 (per the workbook's typo convention). No batch/lot was recorded ('no batch data'), so this visit has no SH→ATM link, and the related Parks ATM lot 5502428883 (7 received / 7 scrapped, 'before our visit') has no SH-floor counterpart here. Date taken from the source date field (05/28); the carried-over note text mentioning '5/27' and non-intact labels does not apply to this intact-only Parks visit.</t>
        </is>
      </c>
    </row>
    <row r="86" ht="60.0" customHeight="true">
      <c r="A86" s="19" t="inlineStr">
        <is>
          <t xml:space="preserve">11. Visit 7 harvest-date split (06/01 vs 06/03)</t>
        </is>
      </c>
      <c r="B86" s="20" t="inlineStr">
        <is>
          <t xml:space="preserve">The 06/01 &amp; 06/03 Martins tally sheet did not label which counts belong to which day. Based on the note that 06/01 finished early (truck no-show, cleanup 1pm), the smaller counts were assigned to 06/01 (9 intact, 7 non-intact) and the larger to 06/03 (45 intact, 29 non-intact), placing the 2 urethra scraps on 06/03. Flip the two raw rows if the source intended otherwise — the batch-level rollup is identical either way.</t>
        </is>
      </c>
    </row>
    <row r="87" ht="60.0" customHeight="true">
      <c r="A87" s="19" t="inlineStr">
        <is>
          <t xml:space="preserve">12. New visits 7 (Martins) &amp; 8 (Parks)</t>
        </is>
      </c>
      <c r="B87" s="20" t="inlineStr">
        <is>
          <t xml:space="preserve">Visit 7 adds intact lot 5502428786 and non-intact lot 5502428782 (Martins). Visit 8 is the second Parks visit (intact-only, no batch/lot; PN normalized 668518 → 666518). The Parks visit date 06/02 is the cached value of a volatile =NOW()-1 field on the source sheet, so it is nominal. One non-intact Martins row (29 inspected) had a blank pass cell on the source; recorded as 29 pass since fail = 0.</t>
        </is>
      </c>
    </row>
    <row r="88" ht="60.0" customHeight="true">
      <c r="A88" s="19" t="inlineStr">
        <is>
          <t xml:space="preserve">13. New visits 9–12 (06/08–06/24)</t>
        </is>
      </c>
      <c r="B88" s="20" t="inlineStr">
        <is>
          <t xml:space="preserve">Visit 9 = 06/08 Martins; Visit 10 = 06/15 Martins; Visit 11 = 06/16 Parks (intact-only); Visit 12 = 06/24 Martins (intact-only). Source date/kill fields on several incoming sheets are volatile =NOW() captures (e.g. the Parks sheet sent 06/17 reads 06/16); the hand-entered harvest-date fields were used as the authoritative visit dates.</t>
        </is>
      </c>
    </row>
    <row r="89" ht="60.0" customHeight="true">
      <c r="A89" s="19" t="inlineStr">
        <is>
          <t xml:space="preserve">14. Lot-number carry-over recurs (Visits 9 &amp; 12)</t>
        </is>
      </c>
      <c r="B89" s="20" t="inlineStr">
        <is>
          <t xml:space="preserve">Visit 9 (06/08) reuses Visit 7’s lots 5502428786/5502428782, and Visit 12 (06/24) reuses Visit 10’s intact lot 5502462845 — the same template carry-over pattern documented in note 9 for lot 5502421192. Each is recorded as its own visit with its own raw and rollup rows, but per the note-9 precedent only the FIRST occurrence of each lot is reconciled in the SH→ATM section, so the reused-lot inspections do not generate duplicate SH→ATM rows.</t>
        </is>
      </c>
    </row>
    <row r="90" ht="60.0" customHeight="true">
      <c r="A90" s="19" t="inlineStr">
        <is>
          <t xml:space="preserve">15. Visit 10 (06/15) — two intact tally lines combined; no non-intact</t>
        </is>
      </c>
      <c r="B90" s="20" t="inlineStr">
        <is>
          <t xml:space="preserve">The source recorded two intact 666541 lines on 06/15 (13/12/1 and 18/18/0); they share date, lot and condition, so they are combined into a single raw row (31/30/1). No non-intact units were collected (the SH had met its non-intact quota and run low on labels), so lot 5502462842 appears in the metadata but has no raw/rollup row.</t>
        </is>
      </c>
    </row>
    <row r="91" ht="60.0" customHeight="true">
      <c r="A91" s="19" t="inlineStr">
        <is>
          <t xml:space="preserve">16. Visit 11 (06/16 Parks) — heavy upstream miscut losses</t>
        </is>
      </c>
      <c r="B91" s="20" t="inlineStr">
        <is>
          <t xml:space="preserve">The inspector noted ~100 pigs slaughtered, with the majority of blocks failing BEFORE reaching IQC due to miscuts during block removal. Of the 16 that reached inspection, 14 passed (1 bladder hole, 1 ureter damage). That upstream loss is a Parks harvest-technique signal not captured in the pass/fail counts here. PN normalized 668518 → 666518 per note 10. Separately, the “PARKS0603” sheet (internal date 06/02, 7/7 intact, no batch) is the SAME inspection already recorded as Visit 8 and was not re-added.</t>
        </is>
      </c>
    </row>
    <row r="92" ht="60.0" customHeight="true">
      <c r="A92" s="19" t="inlineStr">
        <is>
          <t xml:space="preserve">17. New Parks visits 13 (06/22) &amp; 14 (06/25)</t>
        </is>
      </c>
      <c r="B92" s="20" t="inlineStr">
        <is>
          <t xml:space="preserve">Two more intact-only Parks inspections (no batch data; PN normalized 668518 → 666518). Visit 13 (06/22) = 36 inspected / 31 pass / 5 fail (1 bladder hole, 2 critical-area lacerations, 2 short blocks); Visit 14 (06/25) = 19 inspected / 16 pass / 3 fail (1 bladder hole, 1 ureter laceration, 1 short block). Both were received after Visit 12, so Visit 13’s harvest date (06/22) precedes Visit 12’s (06/24 Martins) — visit numbers reflect processing order, as with the existing Visit 7/8 overlap. No batch on either, so neither has an SH→ATM link (consistent with Visits 6, 8 and 11). Short blocks and critical-zone mesentery damage continue to dominate Parks scrap.</t>
        </is>
      </c>
    </row>
    <row r="93" ht="60.0" customHeight="true">
      <c r="A93" s="19" t="inlineStr">
        <is>
          <t xml:space="preserve">18. New visits 15–19 (06/29–07/13); two Parks fail-count corrections</t>
        </is>
      </c>
      <c r="B93" s="20" t="inlineStr">
        <is>
          <t xml:space="preserve">Visit 15 = 06/29 Martins; Visit 16 = 06/29 Parks; Visit 17 = 07/06 Martins; Visit 18 = 07/13 Martins; Visit 19 = 07/13 Parks. DATA-ACCURACY FIX: on both Parks sheets the source “# Fail” cell undercounted because blocks damaged during bowel-cleaning were written in the notes but not added to the fail tally. Corrected to inspected − pass, which matches the scrap breakdown — Visit 16 (06/29) = 50/38/12 (source cell read 10; 2 cleaning-damage + 2 short + 1 critical + 7 urethra/bladder = 12); Visit 19 (07/13) = 34/29/5 (source cell read 3; 2 cleaning-damage + 3 short = 5). Visit 17 (07/06) reuses Visit 15’s lots 5502471460/5502471457 — a tally-sheet carry-over recorded as a separate visit (see note 9). Visit 18’s inspector field was blank on the source; recorded as Toni, the standing Martins inspector.</t>
        </is>
      </c>
    </row>
    <row r="94" ht="60.0" customHeight="true">
      <c r="A94" s="19" t="inlineStr">
        <is>
          <t xml:space="preserve">19. Visit 19 (Parks) harvest-date ambiguity</t>
        </is>
      </c>
      <c r="B94" s="20" t="inlineStr">
        <is>
          <t xml:space="preserve">The source file is named “PARKS_0713” (→ 07/13), was sent as a most-recent inspection, and a Martins 07/13 sheet arrived in the same batch — so Visit 19 is recorded as harvest 07/13/2026. However, all three internal date fields on that sheet (Date, Kill, Harvest) read 06/13/2026, likely a month typo. If 06/13 was intended, flip Visit 19’s date; the counts (34/29/5) are unaffected either way.</t>
        </is>
      </c>
    </row>
    <row r="95" ht="60.0" customHeight="true">
      <c r="A95" s="19" t="inlineStr">
        <is>
          <t xml:space="preserve">20. New visits 20–23 (07/20–07/30); first thoracic &amp; new slaughterhouse</t>
        </is>
      </c>
      <c r="B95" s="20" t="inlineStr">
        <is>
          <t xml:space="preserve">Visit 20 = 07/20 Martins (reuses Visit 18 lots 5502495107 / 5502495104 — carry-over); Visit 21 = 07/27 Martins (new lots 5502512228 / 5502512225); Visit 22 = 07/29 Nahunta — the first THORACIC (PN 666521, lot 5502512218), a new product family at a new slaughterhouse with a new inspector/tech (Kris / Jordan), 19 inspected / 6 pass / 13 fail (31.6%); Visit 23 = 07/30 Parks (666518, majority-male pigs noted). The thoracic is logged in the raw data and summarized on the "Quality Summary by Part" tab, but is EXCLUDED from the pelvic-block rollup, TOTAL and SH→ATM sections so pelvic yield stays comparable across a single product family.</t>
        </is>
      </c>
    </row>
    <row r="96" ht="60.0" customHeight="true">
      <c r="A96" s="19" t="inlineStr">
        <is>
          <t xml:space="preserve">21. Visit 20 (07/20 Martins 666541) count discrepancy</t>
        </is>
      </c>
      <c r="B96" s="20" t="inlineStr">
        <is>
          <t xml:space="preserve">The source tally read 65 inspected / 63 pass / 1 fail, which does not foot (65 − 63 = 2), and only one defect (deformed bladder) was written in. Recorded here as 65 / 63 / 2 to preserve the two counted columns and the workbook’s fail = inspected − pass convention. If the true fail is 1, correct the pass to 64 (or inspected to 64) and the second reject’s reason. Confirm with the tech.</t>
        </is>
      </c>
    </row>
    <row r="97" ht="60.0" customHeight="true">
      <c r="A97" s="19" t="inlineStr">
        <is>
          <t xml:space="preserve">22. Workbook redesign</t>
        </is>
      </c>
      <c r="B97" s="20" t="inlineStr">
        <is>
          <t xml:space="preserve">Single tissue-agnostic inspection log (all tissue types in one chronological table) with tissue-type subtotals and a grand total covering every tissue type; metrics broken out by Tissue Type, Part and Slaughterhouse on the Quality Dashboard. The ATM Tableau tab and the legacy ATM-side analysis tabs (Receipt Summary, Master Data, Defect Pivots, Supplier Comparison, Defect Trends) were removed; ATM receipt data will be re-added in a batch-less format.</t>
        </is>
      </c>
    </row>
    <row r="98" ht="60.0" customHeight="true">
      <c r="A98" s="19" t="inlineStr">
        <is>
          <t xml:space="preserve">23. August batch (07/16–08/19) &amp; de-duplication</t>
        </is>
      </c>
      <c r="B98" s="20" t="inlineStr">
        <is>
          <t xml:space="preserve">Added 15 new part-inspections across Martins, Parks and Nahunta. Re-sent sheets for 07/20, 07/27, 07/29 (thoracic) and 07/30 were matched to existing rows, not double-counted. Flags: Martins 08/03–08/05 lot recorded 5502512228 (source read '550251228', one digit dropped); Parks 07/16 harvest date taken from the filename/kill date (sheet Date field read 06/13 — typo); Parks 08/10 dated per filename (sheet Date field read 08/14).</t>
        </is>
      </c>
    </row>
    <row r="99" ht="46.0" customHeight="true">
      <c r="A99" s="19" t="inlineStr">
        <is>
          <t xml:space="preserve">24. Parks spec transition 666518 → 666541</t>
        </is>
      </c>
      <c r="B99" s="20" t="inlineStr">
        <is>
          <t xml:space="preserve">Parks pelvic blocks are now received under PN 666541 (from 08/10); earlier Parks visits used 668518 → 666518. Both are Pelvic tissue; the by-part view now shows 666541 at Martins, Parks and Nahunta.</t>
        </is>
      </c>
    </row>
    <row r="100" ht="60.0" customHeight="true">
      <c r="A100" s="19" t="inlineStr">
        <is>
          <t xml:space="preserve">25. Nahunta thoracic (666521) trend &amp; pelvic line</t>
        </is>
      </c>
      <c r="B100" s="20" t="inlineStr">
        <is>
          <t xml:space="preserve">First-pass yield fell 32% (7/29) → 0% (8/5) → 15% (8/12) → 21% (8/19); right-lung perimeter and increasingly heart lacerations dominate (harvesting-side; escalated with Ricardo). The 8/12 pelvic 666541 line reads 13/1/12 with no per-defect breakdown (pelvics deprioritized — Jordan harvests other components first); treat as provisional, confirm.</t>
        </is>
      </c>
    </row>
  </sheetData>
  <mergeCells count="32">
    <mergeCell ref="A1:M1"/>
    <mergeCell ref="A2:M2"/>
    <mergeCell ref="A4:M4"/>
    <mergeCell ref="A66:M66"/>
    <mergeCell ref="A72:M72"/>
    <mergeCell ref="A73:M73"/>
    <mergeCell ref="A75:M75"/>
    <mergeCell ref="B76:M76"/>
    <mergeCell ref="B77:M77"/>
    <mergeCell ref="B78:M78"/>
    <mergeCell ref="B79:M79"/>
    <mergeCell ref="B80:M80"/>
    <mergeCell ref="B81:M81"/>
    <mergeCell ref="B82:M82"/>
    <mergeCell ref="B83:M83"/>
    <mergeCell ref="B84:M84"/>
    <mergeCell ref="B85:M85"/>
    <mergeCell ref="B86:M86"/>
    <mergeCell ref="B87:M87"/>
    <mergeCell ref="B88:M88"/>
    <mergeCell ref="B89:M89"/>
    <mergeCell ref="B90:M90"/>
    <mergeCell ref="B91:M91"/>
    <mergeCell ref="B92:M92"/>
    <mergeCell ref="B93:M93"/>
    <mergeCell ref="B94:M94"/>
    <mergeCell ref="B95:M95"/>
    <mergeCell ref="B96:M96"/>
    <mergeCell ref="B97:M97"/>
    <mergeCell ref="B98:M98"/>
    <mergeCell ref="B99:M99"/>
    <mergeCell ref="B100:M100"/>
  </mergeCells>
  <conditionalFormatting sqref="L6:L64">
    <cfRule type="colorScale" priority="1">
      <colorScale>
        <cfvo type="num" val="0.6"/>
        <cfvo type="num" val="0.85"/>
        <cfvo type="num" val="1"/>
        <color rgb="FFF8696B"/>
        <color rgb="FFFFEB84"/>
        <color rgb="FF63BE7B"/>
      </colorScale>
    </cfRule>
  </conditionalFormatting>
  <pageMargins left="0.5" right="0.5" top="0.6" bottom="0.6"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9" activeCellId="0" sqref="A19"/>
    </sheetView>
  </sheetViews>
  <sheetFormatPr defaultColWidth="8.6640625" defaultRowHeight="14.25" zeroHeight="false" outlineLevelRow="0" outlineLevelCol="0"/>
  <cols>
    <col collapsed="false" customWidth="true" hidden="false" outlineLevel="0" max="1" min="1" style="22" width="38"/>
    <col collapsed="false" customWidth="true" hidden="false" outlineLevel="0" max="2" min="2" style="22" width="4"/>
    <col collapsed="false" customWidth="true" hidden="false" outlineLevel="0" max="3" min="3" style="22" width="60"/>
    <col collapsed="false" customWidth="true" hidden="false" outlineLevel="0" max="4" min="4" style="22" width="4"/>
    <col collapsed="false" customWidth="true" hidden="false" outlineLevel="0" max="5" min="5" style="22" width="50"/>
    <col collapsed="false" customWidth="false" hidden="false" outlineLevel="0" max="16384" min="6" style="22" width="8.67"/>
  </cols>
  <sheetData>
    <row r="1" customFormat="false" ht="19.5" hidden="false" customHeight="true" outlineLevel="0" collapsed="false">
      <c r="A1" s="1" t="s">
        <v>245</v>
      </c>
      <c r="B1" s="1"/>
      <c r="C1" s="1"/>
      <c r="D1" s="1"/>
      <c r="E1" s="1"/>
      <c r="F1" s="1"/>
    </row>
    <row r="2" customFormat="false" ht="34.5" hidden="false" customHeight="true" outlineLevel="0" collapsed="false">
      <c r="A2" s="26" t="s">
        <v>246</v>
      </c>
      <c r="B2" s="26"/>
      <c r="C2" s="26"/>
      <c r="D2" s="26"/>
      <c r="E2" s="26"/>
      <c r="F2" s="26"/>
    </row>
    <row r="4" customFormat="false" ht="24" hidden="false" customHeight="true" outlineLevel="0" collapsed="false">
      <c r="A4" s="3" t="s">
        <v>247</v>
      </c>
      <c r="B4" s="3"/>
      <c r="C4" s="3"/>
      <c r="D4" s="3"/>
      <c r="E4" s="3"/>
    </row>
    <row r="5" customFormat="false" ht="15" hidden="false" customHeight="true" outlineLevel="0" collapsed="false">
      <c r="A5" s="17" t="s">
        <v>248</v>
      </c>
      <c r="C5" s="17" t="s">
        <v>249</v>
      </c>
      <c r="E5" s="17" t="s">
        <v>250</v>
      </c>
    </row>
    <row r="6" customFormat="false" ht="18" hidden="false" customHeight="true" outlineLevel="0" collapsed="false">
      <c r="C6" s="27" t="s">
        <v>24</v>
      </c>
      <c r="E6" s="28" t="s">
        <v>251</v>
      </c>
    </row>
    <row r="7" customFormat="false" ht="18" hidden="false" customHeight="true" outlineLevel="0" collapsed="false">
      <c r="C7" s="27"/>
      <c r="E7" s="28"/>
    </row>
    <row r="8" customFormat="false" ht="18" hidden="false" customHeight="true" outlineLevel="0" collapsed="false">
      <c r="C8" s="27"/>
      <c r="E8" s="28"/>
    </row>
    <row r="9" customFormat="false" ht="18" hidden="false" customHeight="true" outlineLevel="0" collapsed="false">
      <c r="C9" s="27"/>
      <c r="E9" s="28"/>
    </row>
    <row r="10" customFormat="false" ht="18" hidden="false" customHeight="true" outlineLevel="0" collapsed="false">
      <c r="C10" s="27"/>
      <c r="E10" s="28"/>
    </row>
    <row r="11" customFormat="false" ht="18" hidden="false" customHeight="true" outlineLevel="0" collapsed="false">
      <c r="C11" s="27"/>
      <c r="E11" s="28"/>
    </row>
    <row r="12" customFormat="false" ht="18" hidden="false" customHeight="true" outlineLevel="0" collapsed="false">
      <c r="C12" s="27"/>
      <c r="E12" s="28"/>
    </row>
    <row r="13" customFormat="false" ht="18" hidden="false" customHeight="true" outlineLevel="0" collapsed="false">
      <c r="C13" s="27"/>
      <c r="E13" s="28"/>
    </row>
    <row r="14" customFormat="false" ht="18" hidden="false" customHeight="true" outlineLevel="0" collapsed="false">
      <c r="C14" s="27"/>
      <c r="E14" s="28"/>
    </row>
    <row r="15" customFormat="false" ht="18" hidden="false" customHeight="true" outlineLevel="0" collapsed="false">
      <c r="C15" s="27"/>
      <c r="E15" s="28"/>
    </row>
    <row r="16" customFormat="false" ht="18" hidden="false" customHeight="true" outlineLevel="0" collapsed="false">
      <c r="C16" s="27"/>
      <c r="E16" s="28"/>
    </row>
    <row r="17" customFormat="false" ht="18" hidden="false" customHeight="true" outlineLevel="0" collapsed="false">
      <c r="C17" s="27"/>
      <c r="E17" s="28"/>
    </row>
    <row r="18" customFormat="false" ht="18" hidden="false" customHeight="true" outlineLevel="0" collapsed="false">
      <c r="C18" s="27"/>
      <c r="E18" s="28"/>
    </row>
    <row r="19" customFormat="false" ht="18" hidden="false" customHeight="true" outlineLevel="0" collapsed="false">
      <c r="C19" s="27"/>
      <c r="E19" s="28"/>
    </row>
    <row r="20" customFormat="false" ht="18" hidden="false" customHeight="true" outlineLevel="0" collapsed="false">
      <c r="C20" s="27"/>
      <c r="E20" s="28"/>
    </row>
    <row r="21" customFormat="false" ht="18" hidden="false" customHeight="true" outlineLevel="0" collapsed="false">
      <c r="C21" s="27"/>
      <c r="E21" s="28"/>
    </row>
    <row r="22" customFormat="false" ht="18" hidden="false" customHeight="true" outlineLevel="0" collapsed="false">
      <c r="C22" s="27"/>
      <c r="E22" s="28"/>
    </row>
    <row r="23" customFormat="false" ht="18" hidden="false" customHeight="true" outlineLevel="0" collapsed="false">
      <c r="C23" s="27"/>
      <c r="E23" s="28"/>
    </row>
    <row r="26" customFormat="false" ht="24" hidden="false" customHeight="true" outlineLevel="0" collapsed="false">
      <c r="A26" s="3" t="s">
        <v>252</v>
      </c>
      <c r="B26" s="3"/>
      <c r="C26" s="3"/>
      <c r="D26" s="3"/>
      <c r="E26" s="3"/>
    </row>
    <row r="27" customFormat="false" ht="15" hidden="false" customHeight="true" outlineLevel="0" collapsed="false">
      <c r="A27" s="17" t="s">
        <v>248</v>
      </c>
      <c r="C27" s="17" t="s">
        <v>249</v>
      </c>
      <c r="E27" s="17" t="s">
        <v>250</v>
      </c>
    </row>
    <row r="28" customFormat="false" ht="18" hidden="false" customHeight="true" outlineLevel="0" collapsed="false">
      <c r="C28" s="27" t="s">
        <v>253</v>
      </c>
      <c r="E28" s="28" t="s">
        <v>254</v>
      </c>
    </row>
    <row r="29" customFormat="false" ht="18" hidden="false" customHeight="true" outlineLevel="0" collapsed="false">
      <c r="C29" s="27"/>
      <c r="E29" s="28"/>
    </row>
    <row r="30" customFormat="false" ht="18" hidden="false" customHeight="true" outlineLevel="0" collapsed="false">
      <c r="C30" s="27"/>
      <c r="E30" s="28"/>
    </row>
    <row r="31" customFormat="false" ht="18" hidden="false" customHeight="true" outlineLevel="0" collapsed="false">
      <c r="C31" s="27"/>
      <c r="E31" s="28"/>
    </row>
    <row r="32" customFormat="false" ht="18" hidden="false" customHeight="true" outlineLevel="0" collapsed="false">
      <c r="C32" s="27"/>
      <c r="E32" s="28"/>
    </row>
    <row r="33" customFormat="false" ht="18" hidden="false" customHeight="true" outlineLevel="0" collapsed="false">
      <c r="C33" s="27"/>
      <c r="E33" s="28"/>
    </row>
    <row r="34" customFormat="false" ht="18" hidden="false" customHeight="true" outlineLevel="0" collapsed="false">
      <c r="C34" s="27"/>
      <c r="E34" s="28"/>
    </row>
    <row r="35" customFormat="false" ht="18" hidden="false" customHeight="true" outlineLevel="0" collapsed="false">
      <c r="C35" s="27"/>
      <c r="E35" s="28"/>
    </row>
    <row r="36" customFormat="false" ht="18" hidden="false" customHeight="true" outlineLevel="0" collapsed="false">
      <c r="C36" s="27"/>
      <c r="E36" s="28"/>
    </row>
    <row r="37" customFormat="false" ht="18" hidden="false" customHeight="true" outlineLevel="0" collapsed="false">
      <c r="C37" s="27"/>
      <c r="E37" s="28"/>
    </row>
    <row r="38" customFormat="false" ht="18" hidden="false" customHeight="true" outlineLevel="0" collapsed="false">
      <c r="C38" s="27"/>
      <c r="E38" s="28"/>
    </row>
    <row r="39" customFormat="false" ht="18" hidden="false" customHeight="true" outlineLevel="0" collapsed="false">
      <c r="C39" s="27"/>
      <c r="E39" s="28"/>
    </row>
    <row r="40" customFormat="false" ht="18" hidden="false" customHeight="true" outlineLevel="0" collapsed="false">
      <c r="C40" s="27"/>
      <c r="E40" s="28"/>
    </row>
    <row r="41" customFormat="false" ht="18" hidden="false" customHeight="true" outlineLevel="0" collapsed="false">
      <c r="C41" s="27"/>
      <c r="E41" s="28"/>
    </row>
    <row r="42" customFormat="false" ht="18" hidden="false" customHeight="true" outlineLevel="0" collapsed="false">
      <c r="C42" s="27"/>
      <c r="E42" s="28"/>
    </row>
    <row r="43" customFormat="false" ht="18" hidden="false" customHeight="true" outlineLevel="0" collapsed="false">
      <c r="C43" s="27"/>
      <c r="E43" s="28"/>
    </row>
    <row r="44" customFormat="false" ht="18" hidden="false" customHeight="true" outlineLevel="0" collapsed="false">
      <c r="C44" s="27"/>
      <c r="E44" s="28"/>
    </row>
    <row r="45" customFormat="false" ht="18" hidden="false" customHeight="true" outlineLevel="0" collapsed="false">
      <c r="C45" s="27"/>
      <c r="E45" s="28"/>
    </row>
    <row r="48" customFormat="false" ht="24" hidden="false" customHeight="true" outlineLevel="0" collapsed="false">
      <c r="A48" s="3" t="s">
        <v>255</v>
      </c>
      <c r="B48" s="3"/>
      <c r="C48" s="3"/>
      <c r="D48" s="3"/>
      <c r="E48" s="3"/>
    </row>
    <row r="49" customFormat="false" ht="15" hidden="false" customHeight="true" outlineLevel="0" collapsed="false">
      <c r="A49" s="17" t="s">
        <v>248</v>
      </c>
      <c r="C49" s="17" t="s">
        <v>249</v>
      </c>
      <c r="E49" s="17" t="s">
        <v>250</v>
      </c>
    </row>
    <row r="50" customFormat="false" ht="18" hidden="false" customHeight="true" outlineLevel="0" collapsed="false">
      <c r="C50" s="27" t="s">
        <v>256</v>
      </c>
      <c r="E50" s="28" t="s">
        <v>257</v>
      </c>
    </row>
    <row r="51" customFormat="false" ht="18" hidden="false" customHeight="true" outlineLevel="0" collapsed="false">
      <c r="C51" s="27"/>
      <c r="E51" s="28"/>
    </row>
    <row r="52" customFormat="false" ht="18" hidden="false" customHeight="true" outlineLevel="0" collapsed="false">
      <c r="C52" s="27"/>
      <c r="E52" s="28"/>
    </row>
    <row r="53" customFormat="false" ht="18" hidden="false" customHeight="true" outlineLevel="0" collapsed="false">
      <c r="C53" s="27"/>
      <c r="E53" s="28"/>
    </row>
    <row r="54" customFormat="false" ht="18" hidden="false" customHeight="true" outlineLevel="0" collapsed="false">
      <c r="C54" s="27"/>
      <c r="E54" s="28"/>
    </row>
    <row r="55" customFormat="false" ht="18" hidden="false" customHeight="true" outlineLevel="0" collapsed="false">
      <c r="C55" s="27"/>
      <c r="E55" s="28"/>
    </row>
    <row r="56" customFormat="false" ht="18" hidden="false" customHeight="true" outlineLevel="0" collapsed="false">
      <c r="C56" s="27"/>
      <c r="E56" s="28"/>
    </row>
    <row r="57" customFormat="false" ht="18" hidden="false" customHeight="true" outlineLevel="0" collapsed="false">
      <c r="C57" s="27"/>
      <c r="E57" s="28"/>
    </row>
    <row r="58" customFormat="false" ht="18" hidden="false" customHeight="true" outlineLevel="0" collapsed="false">
      <c r="C58" s="27"/>
      <c r="E58" s="28"/>
    </row>
    <row r="59" customFormat="false" ht="18" hidden="false" customHeight="true" outlineLevel="0" collapsed="false">
      <c r="C59" s="27"/>
      <c r="E59" s="28"/>
    </row>
    <row r="60" customFormat="false" ht="18" hidden="false" customHeight="true" outlineLevel="0" collapsed="false">
      <c r="C60" s="27"/>
      <c r="E60" s="28"/>
    </row>
    <row r="61" customFormat="false" ht="18" hidden="false" customHeight="true" outlineLevel="0" collapsed="false">
      <c r="C61" s="27"/>
      <c r="E61" s="28"/>
    </row>
    <row r="62" customFormat="false" ht="18" hidden="false" customHeight="true" outlineLevel="0" collapsed="false">
      <c r="C62" s="27"/>
      <c r="E62" s="28"/>
    </row>
    <row r="63" customFormat="false" ht="18" hidden="false" customHeight="true" outlineLevel="0" collapsed="false">
      <c r="C63" s="27"/>
      <c r="E63" s="28"/>
    </row>
    <row r="64" customFormat="false" ht="18" hidden="false" customHeight="true" outlineLevel="0" collapsed="false">
      <c r="C64" s="27"/>
      <c r="E64" s="28"/>
    </row>
    <row r="65" customFormat="false" ht="18" hidden="false" customHeight="true" outlineLevel="0" collapsed="false">
      <c r="C65" s="27"/>
      <c r="E65" s="28"/>
    </row>
    <row r="66" customFormat="false" ht="18" hidden="false" customHeight="true" outlineLevel="0" collapsed="false">
      <c r="C66" s="27"/>
      <c r="E66" s="28"/>
    </row>
    <row r="67" customFormat="false" ht="18" hidden="false" customHeight="true" outlineLevel="0" collapsed="false">
      <c r="C67" s="27"/>
      <c r="E67" s="28"/>
    </row>
    <row r="70" customFormat="false" ht="24" hidden="false" customHeight="true" outlineLevel="0" collapsed="false">
      <c r="A70" s="3" t="s">
        <v>258</v>
      </c>
      <c r="B70" s="3"/>
      <c r="C70" s="3"/>
      <c r="D70" s="3"/>
      <c r="E70" s="3"/>
    </row>
    <row r="71" customFormat="false" ht="15" hidden="false" customHeight="true" outlineLevel="0" collapsed="false">
      <c r="A71" s="17" t="s">
        <v>248</v>
      </c>
      <c r="C71" s="17" t="s">
        <v>249</v>
      </c>
      <c r="E71" s="17" t="s">
        <v>250</v>
      </c>
    </row>
    <row r="72" customFormat="false" ht="18" hidden="false" customHeight="true" outlineLevel="0" collapsed="false">
      <c r="C72" s="27" t="s">
        <v>18</v>
      </c>
      <c r="E72" s="28" t="s">
        <v>259</v>
      </c>
    </row>
    <row r="73" customFormat="false" ht="18" hidden="false" customHeight="true" outlineLevel="0" collapsed="false">
      <c r="C73" s="27"/>
      <c r="E73" s="28"/>
    </row>
    <row r="74" customFormat="false" ht="18" hidden="false" customHeight="true" outlineLevel="0" collapsed="false">
      <c r="C74" s="27"/>
      <c r="E74" s="28"/>
    </row>
    <row r="75" customFormat="false" ht="18" hidden="false" customHeight="true" outlineLevel="0" collapsed="false">
      <c r="C75" s="27"/>
      <c r="E75" s="28"/>
    </row>
    <row r="76" customFormat="false" ht="18" hidden="false" customHeight="true" outlineLevel="0" collapsed="false">
      <c r="C76" s="27"/>
      <c r="E76" s="28"/>
    </row>
    <row r="77" customFormat="false" ht="18" hidden="false" customHeight="true" outlineLevel="0" collapsed="false">
      <c r="C77" s="27"/>
      <c r="E77" s="28"/>
    </row>
    <row r="78" customFormat="false" ht="18" hidden="false" customHeight="true" outlineLevel="0" collapsed="false">
      <c r="C78" s="27"/>
      <c r="E78" s="28"/>
    </row>
    <row r="79" customFormat="false" ht="18" hidden="false" customHeight="true" outlineLevel="0" collapsed="false">
      <c r="C79" s="27"/>
      <c r="E79" s="28"/>
    </row>
    <row r="80" customFormat="false" ht="18" hidden="false" customHeight="true" outlineLevel="0" collapsed="false">
      <c r="C80" s="27"/>
      <c r="E80" s="28"/>
    </row>
    <row r="81" customFormat="false" ht="18" hidden="false" customHeight="true" outlineLevel="0" collapsed="false">
      <c r="C81" s="27"/>
      <c r="E81" s="28"/>
    </row>
    <row r="82" customFormat="false" ht="18" hidden="false" customHeight="true" outlineLevel="0" collapsed="false">
      <c r="C82" s="27"/>
      <c r="E82" s="28"/>
    </row>
    <row r="83" customFormat="false" ht="18" hidden="false" customHeight="true" outlineLevel="0" collapsed="false">
      <c r="C83" s="27"/>
      <c r="E83" s="28"/>
    </row>
    <row r="84" customFormat="false" ht="18" hidden="false" customHeight="true" outlineLevel="0" collapsed="false">
      <c r="C84" s="27"/>
      <c r="E84" s="28"/>
    </row>
    <row r="85" customFormat="false" ht="18" hidden="false" customHeight="true" outlineLevel="0" collapsed="false">
      <c r="C85" s="27"/>
      <c r="E85" s="28"/>
    </row>
    <row r="86" customFormat="false" ht="18" hidden="false" customHeight="true" outlineLevel="0" collapsed="false">
      <c r="C86" s="27"/>
      <c r="E86" s="28"/>
    </row>
    <row r="87" customFormat="false" ht="18" hidden="false" customHeight="true" outlineLevel="0" collapsed="false">
      <c r="C87" s="27"/>
      <c r="E87" s="28"/>
    </row>
    <row r="88" customFormat="false" ht="18" hidden="false" customHeight="true" outlineLevel="0" collapsed="false">
      <c r="C88" s="27"/>
      <c r="E88" s="28"/>
    </row>
    <row r="89" customFormat="false" ht="18" hidden="false" customHeight="true" outlineLevel="0" collapsed="false">
      <c r="C89" s="27"/>
      <c r="E89" s="28"/>
    </row>
    <row r="92" customFormat="false" ht="24" hidden="false" customHeight="true" outlineLevel="0" collapsed="false">
      <c r="A92" s="3" t="s">
        <v>260</v>
      </c>
      <c r="B92" s="3"/>
      <c r="C92" s="3"/>
      <c r="D92" s="3"/>
      <c r="E92" s="3"/>
    </row>
    <row r="93" customFormat="false" ht="15" hidden="false" customHeight="true" outlineLevel="0" collapsed="false">
      <c r="A93" s="17" t="s">
        <v>248</v>
      </c>
      <c r="C93" s="17" t="s">
        <v>249</v>
      </c>
      <c r="E93" s="17" t="s">
        <v>250</v>
      </c>
    </row>
    <row r="94" customFormat="false" ht="18" hidden="false" customHeight="true" outlineLevel="0" collapsed="false">
      <c r="C94" s="27" t="s">
        <v>18</v>
      </c>
      <c r="E94" s="28" t="s">
        <v>261</v>
      </c>
    </row>
    <row r="95" customFormat="false" ht="18" hidden="false" customHeight="true" outlineLevel="0" collapsed="false">
      <c r="C95" s="27"/>
      <c r="E95" s="28"/>
    </row>
    <row r="96" customFormat="false" ht="18" hidden="false" customHeight="true" outlineLevel="0" collapsed="false">
      <c r="C96" s="27"/>
      <c r="E96" s="28"/>
    </row>
    <row r="97" customFormat="false" ht="18" hidden="false" customHeight="true" outlineLevel="0" collapsed="false">
      <c r="C97" s="27"/>
      <c r="E97" s="28"/>
    </row>
    <row r="98" customFormat="false" ht="18" hidden="false" customHeight="true" outlineLevel="0" collapsed="false">
      <c r="C98" s="27"/>
      <c r="E98" s="28"/>
    </row>
    <row r="99" customFormat="false" ht="18" hidden="false" customHeight="true" outlineLevel="0" collapsed="false">
      <c r="C99" s="27"/>
      <c r="E99" s="28"/>
    </row>
    <row r="100" customFormat="false" ht="18" hidden="false" customHeight="true" outlineLevel="0" collapsed="false">
      <c r="C100" s="27"/>
      <c r="E100" s="28"/>
    </row>
    <row r="101" customFormat="false" ht="18" hidden="false" customHeight="true" outlineLevel="0" collapsed="false">
      <c r="C101" s="27"/>
      <c r="E101" s="28"/>
    </row>
    <row r="102" customFormat="false" ht="18" hidden="false" customHeight="true" outlineLevel="0" collapsed="false">
      <c r="C102" s="27"/>
      <c r="E102" s="28"/>
    </row>
    <row r="103" customFormat="false" ht="18" hidden="false" customHeight="true" outlineLevel="0" collapsed="false">
      <c r="C103" s="27"/>
      <c r="E103" s="28"/>
    </row>
    <row r="104" customFormat="false" ht="18" hidden="false" customHeight="true" outlineLevel="0" collapsed="false">
      <c r="C104" s="27"/>
      <c r="E104" s="28"/>
    </row>
    <row r="105" customFormat="false" ht="18" hidden="false" customHeight="true" outlineLevel="0" collapsed="false">
      <c r="C105" s="27"/>
      <c r="E105" s="28"/>
    </row>
    <row r="106" customFormat="false" ht="18" hidden="false" customHeight="true" outlineLevel="0" collapsed="false">
      <c r="C106" s="27"/>
      <c r="E106" s="28"/>
    </row>
    <row r="107" customFormat="false" ht="18" hidden="false" customHeight="true" outlineLevel="0" collapsed="false">
      <c r="C107" s="27"/>
      <c r="E107" s="28"/>
    </row>
    <row r="108" customFormat="false" ht="18" hidden="false" customHeight="true" outlineLevel="0" collapsed="false">
      <c r="C108" s="27"/>
      <c r="E108" s="28"/>
    </row>
    <row r="109" customFormat="false" ht="18" hidden="false" customHeight="true" outlineLevel="0" collapsed="false">
      <c r="C109" s="27"/>
      <c r="E109" s="28"/>
    </row>
    <row r="110" customFormat="false" ht="18" hidden="false" customHeight="true" outlineLevel="0" collapsed="false">
      <c r="C110" s="27"/>
      <c r="E110" s="28"/>
    </row>
    <row r="111" customFormat="false" ht="18" hidden="false" customHeight="true" outlineLevel="0" collapsed="false">
      <c r="C111" s="27"/>
      <c r="E111" s="28"/>
    </row>
    <row r="114" customFormat="false" ht="24" hidden="false" customHeight="true" outlineLevel="0" collapsed="false">
      <c r="A114" s="3" t="s">
        <v>262</v>
      </c>
      <c r="B114" s="3"/>
      <c r="C114" s="3"/>
      <c r="D114" s="3"/>
      <c r="E114" s="3"/>
    </row>
    <row r="115" customFormat="false" ht="15" hidden="false" customHeight="true" outlineLevel="0" collapsed="false">
      <c r="A115" s="17" t="s">
        <v>248</v>
      </c>
      <c r="C115" s="17" t="s">
        <v>249</v>
      </c>
      <c r="E115" s="17" t="s">
        <v>250</v>
      </c>
    </row>
    <row r="116" customFormat="false" ht="18" hidden="false" customHeight="true" outlineLevel="0" collapsed="false">
      <c r="C116" s="27" t="s">
        <v>18</v>
      </c>
      <c r="E116" s="28" t="s">
        <v>263</v>
      </c>
    </row>
    <row r="117" customFormat="false" ht="18" hidden="false" customHeight="true" outlineLevel="0" collapsed="false">
      <c r="C117" s="27"/>
      <c r="E117" s="28"/>
    </row>
    <row r="118" customFormat="false" ht="18" hidden="false" customHeight="true" outlineLevel="0" collapsed="false">
      <c r="C118" s="27"/>
      <c r="E118" s="28"/>
    </row>
    <row r="119" customFormat="false" ht="18" hidden="false" customHeight="true" outlineLevel="0" collapsed="false">
      <c r="C119" s="27"/>
      <c r="E119" s="28"/>
    </row>
    <row r="120" customFormat="false" ht="18" hidden="false" customHeight="true" outlineLevel="0" collapsed="false">
      <c r="C120" s="27"/>
      <c r="E120" s="28"/>
    </row>
    <row r="121" customFormat="false" ht="18" hidden="false" customHeight="true" outlineLevel="0" collapsed="false">
      <c r="C121" s="27"/>
      <c r="E121" s="28"/>
    </row>
    <row r="122" customFormat="false" ht="18" hidden="false" customHeight="true" outlineLevel="0" collapsed="false">
      <c r="C122" s="27"/>
      <c r="E122" s="28"/>
    </row>
    <row r="123" customFormat="false" ht="18" hidden="false" customHeight="true" outlineLevel="0" collapsed="false">
      <c r="C123" s="27"/>
      <c r="E123" s="28"/>
    </row>
    <row r="124" customFormat="false" ht="18" hidden="false" customHeight="true" outlineLevel="0" collapsed="false">
      <c r="C124" s="27"/>
      <c r="E124" s="28"/>
    </row>
    <row r="125" customFormat="false" ht="18" hidden="false" customHeight="true" outlineLevel="0" collapsed="false">
      <c r="C125" s="27"/>
      <c r="E125" s="28"/>
    </row>
    <row r="126" customFormat="false" ht="18" hidden="false" customHeight="true" outlineLevel="0" collapsed="false">
      <c r="C126" s="27"/>
      <c r="E126" s="28"/>
    </row>
    <row r="127" customFormat="false" ht="18" hidden="false" customHeight="true" outlineLevel="0" collapsed="false">
      <c r="C127" s="27"/>
      <c r="E127" s="28"/>
    </row>
    <row r="128" customFormat="false" ht="18" hidden="false" customHeight="true" outlineLevel="0" collapsed="false">
      <c r="C128" s="27"/>
      <c r="E128" s="28"/>
    </row>
    <row r="129" customFormat="false" ht="18" hidden="false" customHeight="true" outlineLevel="0" collapsed="false">
      <c r="C129" s="27"/>
      <c r="E129" s="28"/>
    </row>
    <row r="130" customFormat="false" ht="18" hidden="false" customHeight="true" outlineLevel="0" collapsed="false">
      <c r="C130" s="27"/>
      <c r="E130" s="28"/>
    </row>
    <row r="131" customFormat="false" ht="18" hidden="false" customHeight="true" outlineLevel="0" collapsed="false">
      <c r="C131" s="27"/>
      <c r="E131" s="28"/>
    </row>
    <row r="132" customFormat="false" ht="18" hidden="false" customHeight="true" outlineLevel="0" collapsed="false">
      <c r="C132" s="27"/>
      <c r="E132" s="28"/>
    </row>
    <row r="133" customFormat="false" ht="18" hidden="false" customHeight="true" outlineLevel="0" collapsed="false">
      <c r="C133" s="27"/>
      <c r="E133" s="28"/>
    </row>
  </sheetData>
  <mergeCells count="20">
    <mergeCell ref="A1:F1"/>
    <mergeCell ref="A2:F2"/>
    <mergeCell ref="A4:E4"/>
    <mergeCell ref="C6:C23"/>
    <mergeCell ref="E6:E23"/>
    <mergeCell ref="A26:E26"/>
    <mergeCell ref="C28:C45"/>
    <mergeCell ref="E28:E45"/>
    <mergeCell ref="A48:E48"/>
    <mergeCell ref="C50:C67"/>
    <mergeCell ref="E50:E67"/>
    <mergeCell ref="A70:E70"/>
    <mergeCell ref="C72:C89"/>
    <mergeCell ref="E72:E89"/>
    <mergeCell ref="A92:E92"/>
    <mergeCell ref="C94:C111"/>
    <mergeCell ref="E94:E111"/>
    <mergeCell ref="A114:E114"/>
    <mergeCell ref="C116:C133"/>
    <mergeCell ref="E116:E13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5"/>
  <sheetViews>
    <sheetView showFormulas="false" showGridLines="true" showRowColHeaders="true" showZeros="true" rightToLeft="false" tabSelected="false" showOutlineSymbols="true" defaultGridColor="true" view="normal" topLeftCell="A12" colorId="64" zoomScale="100" zoomScaleNormal="100" zoomScalePageLayoutView="100" workbookViewId="0">
      <selection pane="topLeft" activeCell="A19" activeCellId="0" sqref="A19"/>
    </sheetView>
  </sheetViews>
  <sheetFormatPr defaultColWidth="8.6640625" defaultRowHeight="14.25" zeroHeight="false" outlineLevelRow="0" outlineLevelCol="0"/>
  <cols>
    <col collapsed="false" customWidth="true" hidden="false" outlineLevel="0" max="1" min="1" style="22" width="22"/>
    <col collapsed="false" customWidth="true" hidden="false" outlineLevel="0" max="2" min="2" style="22" width="95"/>
    <col collapsed="false" customWidth="false" hidden="false" outlineLevel="0" max="16384" min="3" style="22" width="8.67"/>
  </cols>
  <sheetData>
    <row r="1" customFormat="false" ht="19.5" hidden="false" customHeight="true" outlineLevel="0" collapsed="false">
      <c r="A1" s="1" t="s">
        <v>264</v>
      </c>
      <c r="B1" s="1"/>
      <c r="C1" s="1"/>
      <c r="D1" s="1"/>
      <c r="E1" s="1"/>
      <c r="F1" s="1"/>
    </row>
    <row r="2" customFormat="false" ht="30" hidden="false" customHeight="true" outlineLevel="0" collapsed="false">
      <c r="A2" s="29"/>
      <c r="B2" s="29"/>
    </row>
    <row r="3" customFormat="false" ht="30" hidden="false" customHeight="true" outlineLevel="0" collapsed="false">
      <c r="A3" s="29" t="s">
        <v>265</v>
      </c>
      <c r="B3" s="29" t="s">
        <v>266</v>
      </c>
    </row>
    <row r="4" customFormat="false" ht="30" hidden="false" customHeight="true" outlineLevel="0" collapsed="false">
      <c r="A4" s="29" t="s">
        <v>267</v>
      </c>
      <c r="B4" s="29" t="s">
        <v>268</v>
      </c>
    </row>
    <row r="5" customFormat="false" ht="30" hidden="false" customHeight="true" outlineLevel="0" collapsed="false">
      <c r="A5" s="29"/>
      <c r="B5" s="29" t="s">
        <v>269</v>
      </c>
    </row>
    <row r="6" customFormat="false" ht="30" hidden="false" customHeight="true" outlineLevel="0" collapsed="false">
      <c r="A6" s="29"/>
      <c r="B6" s="29" t="s">
        <v>270</v>
      </c>
    </row>
    <row r="7" customFormat="false" ht="30" hidden="false" customHeight="true" outlineLevel="0" collapsed="false">
      <c r="A7" s="29" t="s">
        <v>271</v>
      </c>
      <c r="B7" s="29" t="s">
        <v>272</v>
      </c>
    </row>
    <row r="8" customFormat="false" ht="30" hidden="false" customHeight="true" outlineLevel="0" collapsed="false">
      <c r="A8" s="29" t="s">
        <v>273</v>
      </c>
      <c r="B8" s="29" t="s">
        <v>274</v>
      </c>
    </row>
    <row r="9" customFormat="false" ht="30" hidden="false" customHeight="true" outlineLevel="0" collapsed="false">
      <c r="A9" s="30"/>
      <c r="B9" s="30"/>
    </row>
    <row r="10" customFormat="false" ht="30" hidden="false" customHeight="true" outlineLevel="0" collapsed="false">
      <c r="A10" s="30" t="s">
        <v>275</v>
      </c>
      <c r="B10" s="30"/>
    </row>
    <row r="11" customFormat="false" ht="30" hidden="false" customHeight="true" outlineLevel="0" collapsed="false">
      <c r="A11" s="29" t="s">
        <v>276</v>
      </c>
      <c r="B11" s="29" t="s">
        <v>277</v>
      </c>
    </row>
    <row r="12" customFormat="false" ht="30" hidden="false" customHeight="true" outlineLevel="0" collapsed="false">
      <c r="A12" s="29" t="s">
        <v>278</v>
      </c>
      <c r="B12" s="29" t="s">
        <v>279</v>
      </c>
    </row>
    <row r="13" customFormat="false" ht="30" hidden="false" customHeight="true" outlineLevel="0" collapsed="false">
      <c r="A13" s="29" t="s">
        <v>280</v>
      </c>
      <c r="B13" s="29" t="s">
        <v>281</v>
      </c>
    </row>
    <row r="14" customFormat="false" ht="30" hidden="false" customHeight="true" outlineLevel="0" collapsed="false">
      <c r="A14" s="29" t="s">
        <v>282</v>
      </c>
      <c r="B14" s="29" t="s">
        <v>283</v>
      </c>
    </row>
    <row r="15" customFormat="false" ht="30" hidden="false" customHeight="true" outlineLevel="0" collapsed="false">
      <c r="A15" s="29" t="s">
        <v>284</v>
      </c>
      <c r="B15" s="29" t="s">
        <v>285</v>
      </c>
    </row>
    <row r="16" customFormat="false" ht="30" hidden="false" customHeight="true" outlineLevel="0" collapsed="false">
      <c r="A16" s="29" t="s">
        <v>286</v>
      </c>
      <c r="B16" s="29" t="s">
        <v>287</v>
      </c>
    </row>
    <row r="17" customFormat="false" ht="30" hidden="false" customHeight="true" outlineLevel="0" collapsed="false">
      <c r="A17" s="29" t="s">
        <v>288</v>
      </c>
      <c r="B17" s="29" t="s">
        <v>289</v>
      </c>
    </row>
    <row r="18" customFormat="false" ht="30" hidden="false" customHeight="true" outlineLevel="0" collapsed="false">
      <c r="A18" s="29" t="s">
        <v>290</v>
      </c>
      <c r="B18" s="29" t="s">
        <v>291</v>
      </c>
    </row>
    <row r="19" customFormat="false" ht="30" hidden="false" customHeight="true" outlineLevel="0" collapsed="false">
      <c r="A19" s="29"/>
      <c r="B19" s="29"/>
    </row>
    <row r="20" customFormat="false" ht="30" hidden="false" customHeight="true" outlineLevel="0" collapsed="false">
      <c r="A20" s="30" t="s">
        <v>292</v>
      </c>
      <c r="B20" s="30"/>
    </row>
    <row r="21" customFormat="false" ht="30" hidden="false" customHeight="true" outlineLevel="0" collapsed="false">
      <c r="A21" s="29" t="s">
        <v>293</v>
      </c>
      <c r="B21" s="29" t="s">
        <v>294</v>
      </c>
    </row>
    <row r="22" customFormat="false" ht="30" hidden="false" customHeight="true" outlineLevel="0" collapsed="false">
      <c r="A22" s="29" t="s">
        <v>295</v>
      </c>
      <c r="B22" s="29" t="s">
        <v>296</v>
      </c>
    </row>
    <row r="23" customFormat="false" ht="30" hidden="false" customHeight="true" outlineLevel="0" collapsed="false">
      <c r="A23" s="29" t="s">
        <v>297</v>
      </c>
      <c r="B23" s="29" t="s">
        <v>298</v>
      </c>
    </row>
    <row r="24" customFormat="false" ht="30" hidden="false" customHeight="true" outlineLevel="0" collapsed="false">
      <c r="A24" s="29" t="s">
        <v>299</v>
      </c>
      <c r="B24" s="29" t="s">
        <v>300</v>
      </c>
    </row>
    <row r="25" customFormat="false" ht="30" hidden="false" customHeight="true" outlineLevel="0" collapsed="false">
      <c r="A25" s="29" t="s">
        <v>301</v>
      </c>
      <c r="B25" s="29" t="s">
        <v>302</v>
      </c>
    </row>
  </sheetData>
  <mergeCells count="1">
    <mergeCell ref="A1:F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dimension ref="A1:A37"/>
  <sheetViews>
    <sheetView workbookViewId="0">
      <selection activeCell="A1" sqref="A1"/>
    </sheetView>
  </sheetViews>
  <sheetFormatPr defaultRowHeight="15"/>
  <cols>
    <col min="1" max="1" width="98" customWidth="1"/>
  </cols>
  <sheetData>
    <row r="1">
      <c r="A1" s="1" t="inlineStr">
        <is>
          <t xml:space="preserve">SmartAssessment — Pelvic Block Quality (Claude analysis)</t>
        </is>
      </c>
    </row>
    <row r="2">
      <c r="A2" s="2" t="inlineStr">
        <is>
          <t xml:space="preserve">Author: Claude · Compiled 2026-06-26 · Scope: Slaughterhouse IQC visits 1–14 + ATM receipt data. These are working analyst notes and interpretation — verify with Quality before any external/supplier use.</t>
        </is>
      </c>
    </row>
    <row r="3">
      <c r="A3" s="0"/>
    </row>
    <row r="4">
      <c r="A4" s="3" t="inlineStr">
        <is>
          <t xml:space="preserve">1. OBJECTIVE (as understood)</t>
        </is>
      </c>
    </row>
    <row r="5">
      <c r="A5" s="20" t="inlineStr">
        <is>
          <t xml:space="preserve">Root-cause pelvic-block defects to their point of origin UPSTREAM — before the harvesting tech consolidates the pelvic block, and ideally back to slaughter/evisceration (handling of the main tissue block and GI). Goal: raise HARVESTING FIRST-PASS YIELD = successful pelvic blocks consolidated ÷ main tissue blocks the harvesting tech receives. Active at BOTH suppliers: Parks (already engaged) and Martins (sampling defective pelvics and bringing them to ATM for evaluation/root-cause). This is a yield-improvement / root-cause program, not a supplier down-select.</t>
        </is>
      </c>
    </row>
    <row r="6">
      <c r="A6" s="0"/>
    </row>
    <row r="7">
      <c r="A7" s="3" t="inlineStr">
        <is>
          <t xml:space="preserve">2. THE QUALITY PIPELINE — WHERE YIELD IS LOST</t>
        </is>
      </c>
    </row>
    <row r="8">
      <c r="A8" s="19" t="inlineStr">
        <is>
          <t xml:space="preserve">Stage model</t>
        </is>
      </c>
    </row>
    <row r="9">
      <c r="A9" s="20" t="inlineStr">
        <is>
          <t xml:space="preserve">Stage 0  Upstream: slaughter + evisceration; handling of the main tissue block / GI.
Stage 1  Harvesting: SH tech consolidates the pelvic block  ← first major yield loss, today largely UNMEASURED.
Stage 2  SH-floor IQC: our ATM inspector, PRE-freeze — this is the current '# Inspected / Pass / Fail'.
Stage 3  Freeze.
Stage 4  ATM receipt: POST-freeze — the gate tied to performance goals.</t>
        </is>
      </c>
    </row>
    <row r="10">
      <c r="A10" s="19" t="inlineStr">
        <is>
          <t xml:space="preserve">Key gap</t>
        </is>
      </c>
    </row>
    <row r="11">
      <c r="A11" s="20" t="inlineStr">
        <is>
          <t xml:space="preserve">The tally sheets only count blocks that REACH our SH inspector. Blocks lost during harvesting (miscuts before presentation) are NOT in the pass/fail counts. See Parks Visit 11 (06/16): '~100 pigs slaughtered, the majority of blocks failed BEFORE reaching IQC due to miscuts during block removal.' That upstream loss IS the harvesting first-pass yield this program targets — and it is currently invisible. RECOMMEND adding two fields to the tally template: (a) main blocks received by harvesting tech, (b) blocks rejected at harvesting before IQC. Then harvesting FPY can be computed instead of inferred from a note.</t>
        </is>
      </c>
    </row>
    <row r="12">
      <c r="A12" s="0"/>
    </row>
    <row r="13">
      <c r="A13" s="3" t="inlineStr">
        <is>
          <t xml:space="preserve">3. PARKS 05/11 CRITICAL-MESENTERY EVENT — ROOT-CAUSE SUCCESS STORY</t>
        </is>
      </c>
    </row>
    <row r="14">
      <c r="A14" s="20" t="inlineStr">
        <is>
          <t xml:space="preserve">ATM receipt 05/11 (PN 666518): 220 received, 195 scrapped (88.6% rejection), of which 187 were critical mesentery holes/lacerations. This ONE event is 187 of Parks's 218 total critical-mesentery defects across the entire record — it dominates the Parks picture.</t>
        </is>
      </c>
    </row>
    <row r="15">
      <c r="A15" s="20" t="inlineStr">
        <is>
          <t xml:space="preserve">Confirmed REAL (per Quality). Root cause: a harvesting cut that was dividing the mesentery from the block, plus bowel-area handling issues the slaughterhouse was unaware of. Corrected via training + monitoring; monthly verification calls ongoing.</t>
        </is>
      </c>
    </row>
    <row r="16">
      <c r="A16" s="20" t="inlineStr">
        <is>
          <t xml:space="preserve">Post-intervention SH-floor visits (05/28 → 06/25) show NO recurrence of catastrophic rejection — yields 69–100%, steady ~84–88% recently. Residual scrap is now dominated by 'short blocks' and 'critical-area lacerations.' Read: the program fixed the catastrophic failure mode; a residual mesentery-length / critical-zone signal remains and is the next root-cause target at Parks.</t>
        </is>
      </c>
    </row>
    <row r="17">
      <c r="A17" s="0"/>
    </row>
    <row r="18">
      <c r="A18" s="3" t="inlineStr">
        <is>
          <t xml:space="preserve">4. WHERE DEFECTS ORIGINATE (origin tagging for root-cause)</t>
        </is>
      </c>
    </row>
    <row r="19">
      <c r="A19" s="20" t="inlineStr">
        <is>
          <t xml:space="preserve">• Upstream / harvesting (the target of this program): critical mesentery hole/laceration; the mesentery-dividing cut; mesentery length too short (≤7" / 'short block'); bowel, bladder and urethra lacerations from miscuts; blood clots.
• Freeze/thaw-attributable (per Quality — appear POST-thaw at ATM, not at the SH floor): small lacerations. These should NOT be charged to the harvesting tech's FPY; they explain part of the SH→ATM gap.
• Spec / measurement drift (already in the IQC notes): bladder-length lower spec changed &lt;3"→&lt;2"; 'mesentery ≤7"' first measured 03/30.</t>
        </is>
      </c>
    </row>
    <row r="20">
      <c r="A20" s="19" t="inlineStr">
        <is>
          <t xml:space="preserve">Recommendation</t>
        </is>
      </c>
    </row>
    <row r="21">
      <c r="A21" s="20" t="inlineStr">
        <is>
          <t xml:space="preserve">When ATM root-cause data arrives, tag each scrapped unit as harvesting-origin vs freeze/thaw-origin vs spec-drift, so the harvesting-FPY metric is not polluted by freeze/thaw damage.</t>
        </is>
      </c>
    </row>
    <row r="22">
      <c r="A22" s="0"/>
    </row>
    <row r="23">
      <c r="A23" s="3" t="inlineStr">
        <is>
          <t xml:space="preserve">5. SH-FLOOR vs ATM YIELD (the stage gap)</t>
        </is>
      </c>
    </row>
    <row r="24">
      <c r="A24" s="20" t="inlineStr">
        <is>
          <t xml:space="preserve">SH-floor pass (pre-freeze): Martins 94.4% (640/678), Parks 84.0% (79/94).
ATM receipt (post-freeze, rolling): Martins ~85.4% accepted (2119/2481), Parks ~39.8% (167/420) — Parks dominated by the 05/11 event.
The SH→ATM gap is partly REAL freeze/thaw damage (small lacerations) and partly that ATM is a stricter/later gate.</t>
        </is>
      </c>
    </row>
    <row r="25">
      <c r="A25" s="19" t="inlineStr">
        <is>
          <t xml:space="preserve">Caveat</t>
        </is>
      </c>
    </row>
    <row r="26">
      <c r="A26" s="20" t="inlineStr">
        <is>
          <t xml:space="preserve">Only 3 lots currently have BOTH SH and ATM data (5502378434, 5502391862, 5502404928). The cleanest freeze/thaw proxy is the SH-pass → ATM-accept delta on MATCHED lots; we need more matched lots — especially post-intervention Parks — before trusting the gap quantitatively.</t>
        </is>
      </c>
    </row>
    <row r="27">
      <c r="A27" s="0"/>
    </row>
    <row r="28">
      <c r="A28" s="3" t="inlineStr">
        <is>
          <t xml:space="preserve">6. 666541 vs 666506 — SPEC CORRECTION</t>
        </is>
      </c>
    </row>
    <row r="29">
      <c r="A29" s="20" t="inlineStr">
        <is>
          <t xml:space="preserve">Per Quality (06/26): 666506 = pelvic block with the MORE stringent spec; 666541 = the same part, LESS strict, and tied to ATM performance goals — so protecting 666541's ATM yield is the priority metric.</t>
        </is>
      </c>
    </row>
    <row r="30">
      <c r="A30" s="19" t="inlineStr">
        <is>
          <t xml:space="preserve">⚠ Supersedes earlier assumption</t>
        </is>
      </c>
    </row>
    <row r="31">
      <c r="A31" s="20" t="inlineStr">
        <is>
          <t xml:space="preserve">This REVERSES the workbook's earlier framing (Slaughterhouse IQC note 1 / README) that treated 666506 as a 'downgrade/recovery' grade. Naming tension to reconcile: the tally sheets label 666541 'intact' and 666506 'non intact,' and some scrap notes say defective units were 'moved to non-intact' — wording that reads like a downgrade, which is hard to square with 666506 being the TIGHTER spec. Worth a one-line confirmation so labels and spec hierarchy agree. (I have NOT edited the old notes — flagging only.)</t>
        </is>
      </c>
    </row>
    <row r="32">
      <c r="A32" s="0"/>
    </row>
    <row r="33">
      <c r="A33" s="3" t="inlineStr">
        <is>
          <t xml:space="preserve">7. DATA-QUALITY CAVEATS AFFECTING THIS ASSESSMENT</t>
        </is>
      </c>
    </row>
    <row r="34">
      <c r="A34" s="20" t="inlineStr">
        <is>
          <t xml:space="preserve">• Parks SH sample is small (94 units, 5 visits) — supplier comparisons are directional, not statistical.
• ATM Parks data currently ends 05/11, which PRE-DATES the SH-floor inspections (start 05/28) — so there is no clean post-intervention stage-to-stage comparison for Parks yet.
• Lot-number carry-overs (Visits 5, 9, 12) mean some 'lots' repeat across weeks — see IQC notes 9 &amp; 14.
• Several incoming tally dates are volatile =NOW() captures; hand-entered harvest dates were used as authoritative.
• ATM data will soon lose batch numbers (Tableau) — a separate batch-less sheet is planned.</t>
        </is>
      </c>
    </row>
    <row r="35">
      <c r="A35" s="0"/>
    </row>
    <row r="36">
      <c r="A36" s="3" t="inlineStr">
        <is>
          <t xml:space="preserve">8. RECOMMENDED NEXT STEPS</t>
        </is>
      </c>
    </row>
    <row r="37">
      <c r="A37" s="20" t="inlineStr">
        <is>
          <t xml:space="preserve">1. Add harvesting-FPY capture to the tally template (main blocks received; blocks rejected pre-IQC) so upstream loss is measured, not inferred.
2. Tag ATM scrap by stage-of-origin (harvesting vs freeze/thaw vs spec-drift); keep freeze/thaw small-lacerations out of the harvesting-FPY denominator.
3. Build a matched-lot SH→ATM tracker as more lots gain both stages — prioritize post-intervention Parks lots to verify the 05/11 fix holds through freeze/thaw.
4. Reconcile the 666506 / 'non-intact' naming vs the tighter-spec definition; once confirmed, update IQC note 1 and the README.
5. Continue monthly supplier calls; trend the residual Parks 'short block' / critical-zone signal and the Martins sampled-defect root-causes.
6. When Tableau ATM data lands, link defect categories to stage-of-origin in the new batch-less sheet.</t>
        </is>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dimension ref="A1:I31"/>
  <sheetViews>
    <sheetView workbookViewId="0">
      <selection activeCell="A1" sqref="A1"/>
    </sheetView>
  </sheetViews>
  <sheetFormatPr defaultRowHeight="15"/>
  <cols>
    <col min="1" max="1" width="12" customWidth="1"/>
    <col min="2" max="2" width="26" customWidth="1"/>
    <col min="3" max="3" width="22" customWidth="1"/>
    <col min="4" max="6" width="11" customWidth="1"/>
    <col min="7" max="7" width="15" customWidth="1"/>
    <col min="8" max="8" width="11" customWidth="1"/>
    <col min="9" max="9" width="13" customWidth="1"/>
  </cols>
  <sheetData>
    <row r="1" ht="22" customHeight="true">
      <c r="A1" s="1" t="inlineStr">
        <is>
          <t xml:space="preserve">Quality Dashboard — by Tissue Type, Part &amp; Slaughterhouse</t>
        </is>
      </c>
    </row>
    <row r="2" ht="44" customHeight="true">
      <c r="A2" s="2" t="inlineStr">
        <is>
          <t xml:space="preserve">First-pass yield across all SH-floor incoming inspections (pre-freeze), Apr–Aug 2026. Live from the Inspection Log on the Slaughterhouse IQC tab. FPY = Pass / Inspected; Scrap % = Fail / Inspected.</t>
        </is>
      </c>
    </row>
    <row r="3"/>
    <row r="4" ht="18" customHeight="true">
      <c r="A4" s="3" t="inlineStr">
        <is>
          <t xml:space="preserve">BY TISSUE TYPE</t>
        </is>
      </c>
    </row>
    <row r="5">
      <c r="A5" s="11" t="inlineStr">
        <is>
          <t xml:space="preserve">Tissue Type</t>
        </is>
      </c>
      <c r="B5" s="11" t="inlineStr">
        <is>
          <t xml:space="preserve"># Inspected</t>
        </is>
      </c>
      <c r="C5" s="11" t="inlineStr">
        <is>
          <t xml:space="preserve"># Pass</t>
        </is>
      </c>
      <c r="D5" s="11" t="inlineStr">
        <is>
          <t xml:space="preserve"># Fail</t>
        </is>
      </c>
      <c r="E5" s="11" t="inlineStr">
        <is>
          <t xml:space="preserve">First-Pass Yield</t>
        </is>
      </c>
      <c r="F5" s="11" t="inlineStr">
        <is>
          <t xml:space="preserve">Scrap %</t>
        </is>
      </c>
    </row>
    <row r="6">
      <c r="A6" s="5" t="inlineStr">
        <is>
          <t xml:space="preserve">Pelvic</t>
        </is>
      </c>
      <c r="B6" s="6" t="n">
        <f aca="false">SUMIF('Slaughterhouse IQC'!$E$6:$E$64,"Pelvic",'Slaughterhouse IQC'!$I$6:$I$64)</f>
      </c>
      <c r="C6" s="6" t="n">
        <f aca="false">SUMIF('Slaughterhouse IQC'!$E$6:$E$64,"Pelvic",'Slaughterhouse IQC'!$J$6:$J$64)</f>
      </c>
      <c r="D6" s="6" t="n">
        <f aca="false">SUMIF('Slaughterhouse IQC'!$E$6:$E$64,"Pelvic",'Slaughterhouse IQC'!$K$6:$K$64)</f>
      </c>
      <c r="E6" s="15" t="n">
        <f aca="false">IFERROR(C6/B6,0)</f>
      </c>
      <c r="F6" s="15" t="n">
        <f aca="false">IFERROR(D6/B6,0)</f>
      </c>
    </row>
    <row r="7">
      <c r="A7" s="5" t="inlineStr">
        <is>
          <t xml:space="preserve">Thoracic</t>
        </is>
      </c>
      <c r="B7" s="6" t="n">
        <f aca="false">SUMIF('Slaughterhouse IQC'!$E$6:$E$64,"Thoracic",'Slaughterhouse IQC'!$I$6:$I$64)</f>
      </c>
      <c r="C7" s="6" t="n">
        <f aca="false">SUMIF('Slaughterhouse IQC'!$E$6:$E$64,"Thoracic",'Slaughterhouse IQC'!$J$6:$J$64)</f>
      </c>
      <c r="D7" s="6" t="n">
        <f aca="false">SUMIF('Slaughterhouse IQC'!$E$6:$E$64,"Thoracic",'Slaughterhouse IQC'!$K$6:$K$64)</f>
      </c>
      <c r="E7" s="15" t="n">
        <f aca="false">IFERROR(C7/B7,0)</f>
      </c>
      <c r="F7" s="15" t="n">
        <f aca="false">IFERROR(D7/B7,0)</f>
      </c>
    </row>
    <row r="8">
      <c r="A8" s="12" t="inlineStr">
        <is>
          <t xml:space="preserve">GRAND TOTAL</t>
        </is>
      </c>
      <c r="B8" s="6" t="n">
        <f aca="false">SUM(B6:B7)</f>
      </c>
      <c r="C8" s="6" t="n">
        <f aca="false">SUM(C6:C7)</f>
      </c>
      <c r="D8" s="6" t="n">
        <f aca="false">SUM(D6:D7)</f>
      </c>
      <c r="E8" s="15" t="n">
        <f aca="false">IFERROR(C8/B8,0)</f>
      </c>
      <c r="F8" s="15" t="n">
        <f aca="false">IFERROR(D8/B8,0)</f>
      </c>
    </row>
    <row r="9"/>
    <row r="10" ht="18" customHeight="true">
      <c r="A10" s="3" t="inlineStr">
        <is>
          <t xml:space="preserve">BY PART</t>
        </is>
      </c>
    </row>
    <row r="11">
      <c r="A11" s="11" t="inlineStr">
        <is>
          <t xml:space="preserve">Part #</t>
        </is>
      </c>
      <c r="B11" s="11" t="inlineStr">
        <is>
          <t xml:space="preserve">Description</t>
        </is>
      </c>
      <c r="C11" s="11" t="inlineStr">
        <is>
          <t xml:space="preserve">Slaughterhouse</t>
        </is>
      </c>
      <c r="D11" s="11" t="inlineStr">
        <is>
          <t xml:space="preserve"># Inspected</t>
        </is>
      </c>
      <c r="E11" s="11" t="inlineStr">
        <is>
          <t xml:space="preserve"># Pass</t>
        </is>
      </c>
      <c r="F11" s="11" t="inlineStr">
        <is>
          <t xml:space="preserve"># Fail</t>
        </is>
      </c>
      <c r="G11" s="11" t="inlineStr">
        <is>
          <t xml:space="preserve">First-Pass Yield</t>
        </is>
      </c>
      <c r="H11" s="11" t="inlineStr">
        <is>
          <t xml:space="preserve">Scrap %</t>
        </is>
      </c>
      <c r="I11" s="11" t="inlineStr">
        <is>
          <t xml:space="preserve">Date span</t>
        </is>
      </c>
    </row>
    <row r="12">
      <c r="A12" s="5" t="inlineStr">
        <is>
          <t xml:space="preserve">666541</t>
        </is>
      </c>
      <c r="B12" s="5" t="inlineStr">
        <is>
          <t xml:space="preserve">Pelvic block, intact</t>
        </is>
      </c>
      <c r="C12" s="5" t="inlineStr">
        <is>
          <t xml:space="preserve">Martins / Parks / Nahunta</t>
        </is>
      </c>
      <c r="D12" s="6" t="n">
        <f aca="false">SUMIF('Slaughterhouse IQC'!$F$6:$F$64,"666541",'Slaughterhouse IQC'!$I$6:$I$64)</f>
      </c>
      <c r="E12" s="6" t="n">
        <f aca="false">SUMIF('Slaughterhouse IQC'!$F$6:$F$64,"666541",'Slaughterhouse IQC'!$J$6:$J$64)</f>
      </c>
      <c r="F12" s="6" t="n">
        <f aca="false">SUMIF('Slaughterhouse IQC'!$F$6:$F$64,"666541",'Slaughterhouse IQC'!$K$6:$K$64)</f>
      </c>
      <c r="G12" s="15" t="n">
        <f aca="false">IFERROR(E12/D12,0)</f>
      </c>
      <c r="H12" s="15" t="n">
        <f aca="false">IFERROR(F12/D12,0)</f>
      </c>
      <c r="I12" s="5" t="inlineStr">
        <is>
          <t xml:space="preserve">4/13 – 8/17</t>
        </is>
      </c>
    </row>
    <row r="13">
      <c r="A13" s="5" t="inlineStr">
        <is>
          <t xml:space="preserve">666506</t>
        </is>
      </c>
      <c r="B13" s="5" t="inlineStr">
        <is>
          <t xml:space="preserve">Pelvic block, non-intact</t>
        </is>
      </c>
      <c r="C13" s="5" t="inlineStr">
        <is>
          <t xml:space="preserve">Martins</t>
        </is>
      </c>
      <c r="D13" s="6" t="n">
        <f aca="false">SUMIF('Slaughterhouse IQC'!$F$6:$F$64,"666506",'Slaughterhouse IQC'!$I$6:$I$64)</f>
      </c>
      <c r="E13" s="6" t="n">
        <f aca="false">SUMIF('Slaughterhouse IQC'!$F$6:$F$64,"666506",'Slaughterhouse IQC'!$J$6:$J$64)</f>
      </c>
      <c r="F13" s="6" t="n">
        <f aca="false">SUMIF('Slaughterhouse IQC'!$F$6:$F$64,"666506",'Slaughterhouse IQC'!$K$6:$K$64)</f>
      </c>
      <c r="G13" s="15" t="n">
        <f aca="false">IFERROR(E13/D13,0)</f>
      </c>
      <c r="H13" s="15" t="n">
        <f aca="false">IFERROR(F13/D13,0)</f>
      </c>
      <c r="I13" s="5" t="inlineStr">
        <is>
          <t xml:space="preserve">4/13 – 8/17</t>
        </is>
      </c>
    </row>
    <row r="14">
      <c r="A14" s="5" t="inlineStr">
        <is>
          <t xml:space="preserve">666518</t>
        </is>
      </c>
      <c r="B14" s="5" t="inlineStr">
        <is>
          <t xml:space="preserve">Pelvic block, intact (SM)</t>
        </is>
      </c>
      <c r="C14" s="5" t="inlineStr">
        <is>
          <t xml:space="preserve">Parks</t>
        </is>
      </c>
      <c r="D14" s="6" t="n">
        <f aca="false">SUMIF('Slaughterhouse IQC'!$F$6:$F$64,"666518",'Slaughterhouse IQC'!$I$6:$I$64)</f>
      </c>
      <c r="E14" s="6" t="n">
        <f aca="false">SUMIF('Slaughterhouse IQC'!$F$6:$F$64,"666518",'Slaughterhouse IQC'!$J$6:$J$64)</f>
      </c>
      <c r="F14" s="6" t="n">
        <f aca="false">SUMIF('Slaughterhouse IQC'!$F$6:$F$64,"666518",'Slaughterhouse IQC'!$K$6:$K$64)</f>
      </c>
      <c r="G14" s="15" t="n">
        <f aca="false">IFERROR(E14/D14,0)</f>
      </c>
      <c r="H14" s="15" t="n">
        <f aca="false">IFERROR(F14/D14,0)</f>
      </c>
      <c r="I14" s="5" t="inlineStr">
        <is>
          <t xml:space="preserve">5/28 – 7/30</t>
        </is>
      </c>
    </row>
    <row r="15">
      <c r="A15" s="5" t="inlineStr">
        <is>
          <t xml:space="preserve">666521</t>
        </is>
      </c>
      <c r="B15" s="5" t="inlineStr">
        <is>
          <t xml:space="preserve">Thoracic (lung / heart)</t>
        </is>
      </c>
      <c r="C15" s="5" t="inlineStr">
        <is>
          <t xml:space="preserve">Nahunta</t>
        </is>
      </c>
      <c r="D15" s="6" t="n">
        <f aca="false">SUMIF('Slaughterhouse IQC'!$F$6:$F$64,"666521",'Slaughterhouse IQC'!$I$6:$I$64)</f>
      </c>
      <c r="E15" s="6" t="n">
        <f aca="false">SUMIF('Slaughterhouse IQC'!$F$6:$F$64,"666521",'Slaughterhouse IQC'!$J$6:$J$64)</f>
      </c>
      <c r="F15" s="6" t="n">
        <f aca="false">SUMIF('Slaughterhouse IQC'!$F$6:$F$64,"666521",'Slaughterhouse IQC'!$K$6:$K$64)</f>
      </c>
      <c r="G15" s="15" t="n">
        <f aca="false">IFERROR(E15/D15,0)</f>
      </c>
      <c r="H15" s="15" t="n">
        <f aca="false">IFERROR(F15/D15,0)</f>
      </c>
      <c r="I15" s="5" t="inlineStr">
        <is>
          <t xml:space="preserve">7/29 – 8/19</t>
        </is>
      </c>
    </row>
    <row r="16"/>
    <row r="17" ht="18" customHeight="true">
      <c r="A17" s="3" t="inlineStr">
        <is>
          <t xml:space="preserve">BY SLAUGHTERHOUSE</t>
        </is>
      </c>
    </row>
    <row r="18">
      <c r="A18" s="11" t="inlineStr">
        <is>
          <t xml:space="preserve">Slaughterhouse</t>
        </is>
      </c>
      <c r="B18" s="11" t="inlineStr">
        <is>
          <t xml:space="preserve">Tissue / parts</t>
        </is>
      </c>
      <c r="C18" s="11" t="inlineStr">
        <is>
          <t xml:space="preserve"># Inspected</t>
        </is>
      </c>
      <c r="D18" s="11" t="inlineStr">
        <is>
          <t xml:space="preserve"># Pass</t>
        </is>
      </c>
      <c r="E18" s="11" t="inlineStr">
        <is>
          <t xml:space="preserve"># Fail</t>
        </is>
      </c>
      <c r="F18" s="11" t="inlineStr">
        <is>
          <t xml:space="preserve">First-Pass Yield</t>
        </is>
      </c>
      <c r="G18" s="11" t="inlineStr">
        <is>
          <t xml:space="preserve">Scrap %</t>
        </is>
      </c>
    </row>
    <row r="19">
      <c r="A19" s="5" t="inlineStr">
        <is>
          <t xml:space="preserve">Martins</t>
        </is>
      </c>
      <c r="B19" s="5" t="inlineStr">
        <is>
          <t xml:space="preserve">Pelvic 541 / 506</t>
        </is>
      </c>
      <c r="C19" s="6" t="n">
        <f aca="false">SUMIF('Slaughterhouse IQC'!$B$6:$B$64,"Martins",'Slaughterhouse IQC'!$I$6:$I$64)</f>
      </c>
      <c r="D19" s="6" t="n">
        <f aca="false">SUMIF('Slaughterhouse IQC'!$B$6:$B$64,"Martins",'Slaughterhouse IQC'!$J$6:$J$64)</f>
      </c>
      <c r="E19" s="6" t="n">
        <f aca="false">SUMIF('Slaughterhouse IQC'!$B$6:$B$64,"Martins",'Slaughterhouse IQC'!$K$6:$K$64)</f>
      </c>
      <c r="F19" s="15" t="n">
        <f aca="false">IFERROR(D19/C19,0)</f>
      </c>
      <c r="G19" s="15" t="n">
        <f aca="false">IFERROR(E19/C19,0)</f>
      </c>
    </row>
    <row r="20">
      <c r="A20" s="5" t="inlineStr">
        <is>
          <t xml:space="preserve">Parks Family Meats</t>
        </is>
      </c>
      <c r="B20" s="5" t="inlineStr">
        <is>
          <t xml:space="preserve">Pelvic 518 → 541</t>
        </is>
      </c>
      <c r="C20" s="6" t="n">
        <f aca="false">SUMIF('Slaughterhouse IQC'!$B$6:$B$64,"Parks Family Meats",'Slaughterhouse IQC'!$I$6:$I$64)</f>
      </c>
      <c r="D20" s="6" t="n">
        <f aca="false">SUMIF('Slaughterhouse IQC'!$B$6:$B$64,"Parks Family Meats",'Slaughterhouse IQC'!$J$6:$J$64)</f>
      </c>
      <c r="E20" s="6" t="n">
        <f aca="false">SUMIF('Slaughterhouse IQC'!$B$6:$B$64,"Parks Family Meats",'Slaughterhouse IQC'!$K$6:$K$64)</f>
      </c>
      <c r="F20" s="15" t="n">
        <f aca="false">IFERROR(D20/C20,0)</f>
      </c>
      <c r="G20" s="15" t="n">
        <f aca="false">IFERROR(E20/C20,0)</f>
      </c>
    </row>
    <row r="21">
      <c r="A21" s="5" t="inlineStr">
        <is>
          <t xml:space="preserve">Nahunta</t>
        </is>
      </c>
      <c r="B21" s="5" t="inlineStr">
        <is>
          <t xml:space="preserve">Thoracic 521 + pelvic 541</t>
        </is>
      </c>
      <c r="C21" s="6" t="n">
        <f aca="false">SUMIF('Slaughterhouse IQC'!$B$6:$B$64,"Nahunta",'Slaughterhouse IQC'!$I$6:$I$64)</f>
      </c>
      <c r="D21" s="6" t="n">
        <f aca="false">SUMIF('Slaughterhouse IQC'!$B$6:$B$64,"Nahunta",'Slaughterhouse IQC'!$J$6:$J$64)</f>
      </c>
      <c r="E21" s="6" t="n">
        <f aca="false">SUMIF('Slaughterhouse IQC'!$B$6:$B$64,"Nahunta",'Slaughterhouse IQC'!$K$6:$K$64)</f>
      </c>
      <c r="F21" s="15" t="n">
        <f aca="false">IFERROR(D21/C21,0)</f>
      </c>
      <c r="G21" s="15" t="n">
        <f aca="false">IFERROR(E21/C21,0)</f>
      </c>
    </row>
    <row r="22"/>
    <row r="23" ht="18" customHeight="true">
      <c r="A23" s="3" t="inlineStr">
        <is>
          <t xml:space="preserve">TISSUE / PART READ</t>
        </is>
      </c>
    </row>
    <row r="24" ht="16" customHeight="true">
      <c r="A24" s="19" t="inlineStr">
        <is>
          <t xml:space="preserve">666541 — Pelvic, intact · ~94% FPY (Martins / Parks / Nahunta)</t>
        </is>
      </c>
    </row>
    <row r="25" ht="44" customHeight="true">
      <c r="A25" s="20" t="inlineStr">
        <is>
          <t xml:space="preserve">Performance-goal part. Steady ~95% at Martins; Parks now runs 666541 too (from 08/10). A provisional Nahunta 8/12 pelvic line (13/1/12) drags the average — see note 25. Rejects: urethra/bladder &amp; membrane damage, short blocks.</t>
        </is>
      </c>
    </row>
    <row r="26" ht="16" customHeight="true">
      <c r="A26" s="19" t="inlineStr">
        <is>
          <t xml:space="preserve">666506 — Pelvic, non-intact · ~96% FPY (Martins)</t>
        </is>
      </c>
    </row>
    <row r="27" ht="44" customHeight="true">
      <c r="A27" s="20" t="inlineStr">
        <is>
          <t xml:space="preserve">Tighter spec, best yield of the group. Rejects: membrane/urethra damage, a couple early blood clots.</t>
        </is>
      </c>
    </row>
    <row r="28" ht="16" customHeight="true">
      <c r="A28" s="19" t="inlineStr">
        <is>
          <t xml:space="preserve">666518 — Pelvic, intact SM · ~84% FPY (Parks)</t>
        </is>
      </c>
    </row>
    <row r="29" ht="44" customHeight="true">
      <c r="A29" s="20" t="inlineStr">
        <is>
          <t xml:space="preserve">Batch-less Parks pelvic; Parks transitioned to 666541 by mid-August. Through 07/30 ~84%, driven by short blocks and mesentery/ureter damage. See the Parks deep-dive deck.</t>
        </is>
      </c>
    </row>
    <row r="30" ht="16" customHeight="true">
      <c r="A30" s="19" t="inlineStr">
        <is>
          <t xml:space="preserve">666521 — Thoracic · ~18% FPY (Nahunta)  — WORSENING</t>
        </is>
      </c>
    </row>
    <row r="31" ht="44" customHeight="true">
      <c r="A31" s="20" t="inlineStr">
        <is>
          <t xml:space="preserve">Thoracic at Nahunta, declining: 32% (7/29) → 0% (8/5) → 15% (8/12) → 21% (8/19). Right-lung perimeter and now heart lacerations, harvesting-side. Escalated with Ricardo; heart lacerations (inspector-side) now the main gap.</t>
        </is>
      </c>
    </row>
  </sheetData>
  <mergeCells count="14">
    <mergeCell ref="A1:I1"/>
    <mergeCell ref="A2:I2"/>
    <mergeCell ref="A4:I4"/>
    <mergeCell ref="A10:I10"/>
    <mergeCell ref="A17:I17"/>
    <mergeCell ref="A23:I23"/>
    <mergeCell ref="A24:I24"/>
    <mergeCell ref="A25:I25"/>
    <mergeCell ref="A26:I26"/>
    <mergeCell ref="A27:I27"/>
    <mergeCell ref="A28:I28"/>
    <mergeCell ref="A29:I29"/>
    <mergeCell ref="A30:I30"/>
    <mergeCell ref="A31:I31"/>
  </mergeCells>
  <conditionalFormatting sqref="E6:E8 F19:F21 G12:G15">
    <cfRule type="colorScale" priority="1">
      <colorScale>
        <cfvo type="num" val="0.3"/>
        <cfvo type="num" val="0.8"/>
        <cfvo type="num" val="1"/>
        <color rgb="FFF8696B"/>
        <color rgb="FFFFEB84"/>
        <color rgb="FF63BE7B"/>
      </colorScale>
    </cfRule>
  </conditionalFormatting>
  <pageMargins left="0.5" right="0.5" top="0.6" bottom="0.6" header="0.3" footer="0.3"/>
</worksheet>
</file>

<file path=xl/worksheets/sheet15.xml><?xml version="1.0" encoding="utf-8"?>
<worksheet xmlns="http://schemas.openxmlformats.org/spreadsheetml/2006/main" xmlns:r="http://schemas.openxmlformats.org/officeDocument/2006/relationships">
  <dimension ref="A1:G99"/>
  <sheetViews>
    <sheetView workbookViewId="0">
      <selection activeCell="A1" sqref="A1"/>
    </sheetView>
  </sheetViews>
  <sheetFormatPr defaultRowHeight="15"/>
  <cols>
    <col min="1" max="1" width="34" customWidth="1"/>
    <col min="2" max="6" width="10" customWidth="1"/>
    <col min="7" max="7" width="11" customWidth="1"/>
  </cols>
  <sheetData>
    <row r="1" ht="22" customHeight="true">
      <c r="A1" s="1" t="inlineStr">
        <is>
          <t xml:space="preserve">Monthly Breakdown — Inspections by Tissue × Slaughterhouse</t>
        </is>
      </c>
    </row>
    <row r="2" ht="58" customHeight="true">
      <c r="A2" s="2" t="inlineStr">
        <is>
          <t xml:space="preserve">Month-by-month view of every tissue-type / slaughterhouse / part combination: volumes, first-pass yield, and the issues found (scrap reasons normalized into standard defect categories). Apr–Aug 2026. Volume rows are live formulas over the Inspection Log; defect counts are analyst-categorized from the scrap notes (see notes at bottom).</t>
        </is>
      </c>
    </row>
    <row r="3"/>
    <row r="4" ht="18" customHeight="true">
      <c r="A4" s="3" t="inlineStr">
        <is>
          <t xml:space="preserve">OVERVIEW — FIRST-PASS YIELD BY MONTH</t>
        </is>
      </c>
    </row>
    <row r="5">
      <c r="A5" s="11" t="inlineStr">
        <is>
          <t xml:space="preserve">Tissue @ SH · Part</t>
        </is>
      </c>
      <c r="B5" s="11" t="inlineStr">
        <is>
          <t xml:space="preserve">April</t>
        </is>
      </c>
      <c r="C5" s="11" t="inlineStr">
        <is>
          <t xml:space="preserve">May</t>
        </is>
      </c>
      <c r="D5" s="11" t="inlineStr">
        <is>
          <t xml:space="preserve">June</t>
        </is>
      </c>
      <c r="E5" s="11" t="inlineStr">
        <is>
          <t xml:space="preserve">July</t>
        </is>
      </c>
      <c r="F5" s="11" t="inlineStr">
        <is>
          <t xml:space="preserve">August</t>
        </is>
      </c>
      <c r="G5" s="11" t="inlineStr">
        <is>
          <t xml:space="preserve">Total</t>
        </is>
      </c>
    </row>
    <row r="6">
      <c r="A6" s="5" t="inlineStr">
        <is>
          <t xml:space="preserve">Pelvic @ Martins · 666541</t>
        </is>
      </c>
      <c r="B6" s="15" t="n">
        <f aca="false">IF(SUMPRODUCT((LEFT('Slaughterhouse IQC'!$A$6:$A$64,7)="2026-04")*('Slaughterhouse IQC'!$B$6:$B$64="Martins")*('Slaughterhouse IQC'!$F$6:$F$64="666541")*'Slaughterhouse IQC'!$I$6:$I$64)=0,"",SUMPRODUCT((LEFT('Slaughterhouse IQC'!$A$6:$A$64,7)="2026-04")*('Slaughterhouse IQC'!$B$6:$B$64="Martins")*('Slaughterhouse IQC'!$F$6:$F$64="666541")*'Slaughterhouse IQC'!$J$6:$J$64)/SUMPRODUCT((LEFT('Slaughterhouse IQC'!$A$6:$A$64,7)="2026-04")*('Slaughterhouse IQC'!$B$6:$B$64="Martins")*('Slaughterhouse IQC'!$F$6:$F$64="666541")*'Slaughterhouse IQC'!$I$6:$I$64))</f>
      </c>
      <c r="C6" s="15" t="n">
        <f aca="false">IF(SUMPRODUCT((LEFT('Slaughterhouse IQC'!$A$6:$A$64,7)="2026-05")*('Slaughterhouse IQC'!$B$6:$B$64="Martins")*('Slaughterhouse IQC'!$F$6:$F$64="666541")*'Slaughterhouse IQC'!$I$6:$I$64)=0,"",SUMPRODUCT((LEFT('Slaughterhouse IQC'!$A$6:$A$64,7)="2026-05")*('Slaughterhouse IQC'!$B$6:$B$64="Martins")*('Slaughterhouse IQC'!$F$6:$F$64="666541")*'Slaughterhouse IQC'!$J$6:$J$64)/SUMPRODUCT((LEFT('Slaughterhouse IQC'!$A$6:$A$64,7)="2026-05")*('Slaughterhouse IQC'!$B$6:$B$64="Martins")*('Slaughterhouse IQC'!$F$6:$F$64="666541")*'Slaughterhouse IQC'!$I$6:$I$64))</f>
      </c>
      <c r="D6" s="15" t="n">
        <f aca="false">IF(SUMPRODUCT((LEFT('Slaughterhouse IQC'!$A$6:$A$64,7)="2026-06")*('Slaughterhouse IQC'!$B$6:$B$64="Martins")*('Slaughterhouse IQC'!$F$6:$F$64="666541")*'Slaughterhouse IQC'!$I$6:$I$64)=0,"",SUMPRODUCT((LEFT('Slaughterhouse IQC'!$A$6:$A$64,7)="2026-06")*('Slaughterhouse IQC'!$B$6:$B$64="Martins")*('Slaughterhouse IQC'!$F$6:$F$64="666541")*'Slaughterhouse IQC'!$J$6:$J$64)/SUMPRODUCT((LEFT('Slaughterhouse IQC'!$A$6:$A$64,7)="2026-06")*('Slaughterhouse IQC'!$B$6:$B$64="Martins")*('Slaughterhouse IQC'!$F$6:$F$64="666541")*'Slaughterhouse IQC'!$I$6:$I$64))</f>
      </c>
      <c r="E6" s="15" t="n">
        <f aca="false">IF(SUMPRODUCT((LEFT('Slaughterhouse IQC'!$A$6:$A$64,7)="2026-07")*('Slaughterhouse IQC'!$B$6:$B$64="Martins")*('Slaughterhouse IQC'!$F$6:$F$64="666541")*'Slaughterhouse IQC'!$I$6:$I$64)=0,"",SUMPRODUCT((LEFT('Slaughterhouse IQC'!$A$6:$A$64,7)="2026-07")*('Slaughterhouse IQC'!$B$6:$B$64="Martins")*('Slaughterhouse IQC'!$F$6:$F$64="666541")*'Slaughterhouse IQC'!$J$6:$J$64)/SUMPRODUCT((LEFT('Slaughterhouse IQC'!$A$6:$A$64,7)="2026-07")*('Slaughterhouse IQC'!$B$6:$B$64="Martins")*('Slaughterhouse IQC'!$F$6:$F$64="666541")*'Slaughterhouse IQC'!$I$6:$I$64))</f>
      </c>
      <c r="F6" s="15" t="n">
        <f aca="false">IF(SUMPRODUCT((LEFT('Slaughterhouse IQC'!$A$6:$A$64,7)="2026-08")*('Slaughterhouse IQC'!$B$6:$B$64="Martins")*('Slaughterhouse IQC'!$F$6:$F$64="666541")*'Slaughterhouse IQC'!$I$6:$I$64)=0,"",SUMPRODUCT((LEFT('Slaughterhouse IQC'!$A$6:$A$64,7)="2026-08")*('Slaughterhouse IQC'!$B$6:$B$64="Martins")*('Slaughterhouse IQC'!$F$6:$F$64="666541")*'Slaughterhouse IQC'!$J$6:$J$64)/SUMPRODUCT((LEFT('Slaughterhouse IQC'!$A$6:$A$64,7)="2026-08")*('Slaughterhouse IQC'!$B$6:$B$64="Martins")*('Slaughterhouse IQC'!$F$6:$F$64="666541")*'Slaughterhouse IQC'!$I$6:$I$64))</f>
      </c>
      <c r="G6" s="15" t="n">
        <f aca="false">IF(SUMPRODUCT(('Slaughterhouse IQC'!$B$6:$B$64="Martins")*('Slaughterhouse IQC'!$F$6:$F$64="666541")*'Slaughterhouse IQC'!$I$6:$I$64)=0,"",SUMPRODUCT(('Slaughterhouse IQC'!$B$6:$B$64="Martins")*('Slaughterhouse IQC'!$F$6:$F$64="666541")*'Slaughterhouse IQC'!$J$6:$J$64)/SUMPRODUCT(('Slaughterhouse IQC'!$B$6:$B$64="Martins")*('Slaughterhouse IQC'!$F$6:$F$64="666541")*'Slaughterhouse IQC'!$I$6:$I$64))</f>
      </c>
    </row>
    <row r="7">
      <c r="A7" s="5" t="inlineStr">
        <is>
          <t xml:space="preserve">Pelvic @ Martins · 666506</t>
        </is>
      </c>
      <c r="B7" s="15" t="n">
        <f aca="false">IF(SUMPRODUCT((LEFT('Slaughterhouse IQC'!$A$6:$A$64,7)="2026-04")*('Slaughterhouse IQC'!$B$6:$B$64="Martins")*('Slaughterhouse IQC'!$F$6:$F$64="666506")*'Slaughterhouse IQC'!$I$6:$I$64)=0,"",SUMPRODUCT((LEFT('Slaughterhouse IQC'!$A$6:$A$64,7)="2026-04")*('Slaughterhouse IQC'!$B$6:$B$64="Martins")*('Slaughterhouse IQC'!$F$6:$F$64="666506")*'Slaughterhouse IQC'!$J$6:$J$64)/SUMPRODUCT((LEFT('Slaughterhouse IQC'!$A$6:$A$64,7)="2026-04")*('Slaughterhouse IQC'!$B$6:$B$64="Martins")*('Slaughterhouse IQC'!$F$6:$F$64="666506")*'Slaughterhouse IQC'!$I$6:$I$64))</f>
      </c>
      <c r="C7" s="15" t="n">
        <f aca="false">IF(SUMPRODUCT((LEFT('Slaughterhouse IQC'!$A$6:$A$64,7)="2026-05")*('Slaughterhouse IQC'!$B$6:$B$64="Martins")*('Slaughterhouse IQC'!$F$6:$F$64="666506")*'Slaughterhouse IQC'!$I$6:$I$64)=0,"",SUMPRODUCT((LEFT('Slaughterhouse IQC'!$A$6:$A$64,7)="2026-05")*('Slaughterhouse IQC'!$B$6:$B$64="Martins")*('Slaughterhouse IQC'!$F$6:$F$64="666506")*'Slaughterhouse IQC'!$J$6:$J$64)/SUMPRODUCT((LEFT('Slaughterhouse IQC'!$A$6:$A$64,7)="2026-05")*('Slaughterhouse IQC'!$B$6:$B$64="Martins")*('Slaughterhouse IQC'!$F$6:$F$64="666506")*'Slaughterhouse IQC'!$I$6:$I$64))</f>
      </c>
      <c r="D7" s="15" t="n">
        <f aca="false">IF(SUMPRODUCT((LEFT('Slaughterhouse IQC'!$A$6:$A$64,7)="2026-06")*('Slaughterhouse IQC'!$B$6:$B$64="Martins")*('Slaughterhouse IQC'!$F$6:$F$64="666506")*'Slaughterhouse IQC'!$I$6:$I$64)=0,"",SUMPRODUCT((LEFT('Slaughterhouse IQC'!$A$6:$A$64,7)="2026-06")*('Slaughterhouse IQC'!$B$6:$B$64="Martins")*('Slaughterhouse IQC'!$F$6:$F$64="666506")*'Slaughterhouse IQC'!$J$6:$J$64)/SUMPRODUCT((LEFT('Slaughterhouse IQC'!$A$6:$A$64,7)="2026-06")*('Slaughterhouse IQC'!$B$6:$B$64="Martins")*('Slaughterhouse IQC'!$F$6:$F$64="666506")*'Slaughterhouse IQC'!$I$6:$I$64))</f>
      </c>
      <c r="E7" s="15" t="n">
        <f aca="false">IF(SUMPRODUCT((LEFT('Slaughterhouse IQC'!$A$6:$A$64,7)="2026-07")*('Slaughterhouse IQC'!$B$6:$B$64="Martins")*('Slaughterhouse IQC'!$F$6:$F$64="666506")*'Slaughterhouse IQC'!$I$6:$I$64)=0,"",SUMPRODUCT((LEFT('Slaughterhouse IQC'!$A$6:$A$64,7)="2026-07")*('Slaughterhouse IQC'!$B$6:$B$64="Martins")*('Slaughterhouse IQC'!$F$6:$F$64="666506")*'Slaughterhouse IQC'!$J$6:$J$64)/SUMPRODUCT((LEFT('Slaughterhouse IQC'!$A$6:$A$64,7)="2026-07")*('Slaughterhouse IQC'!$B$6:$B$64="Martins")*('Slaughterhouse IQC'!$F$6:$F$64="666506")*'Slaughterhouse IQC'!$I$6:$I$64))</f>
      </c>
      <c r="F7" s="15" t="n">
        <f aca="false">IF(SUMPRODUCT((LEFT('Slaughterhouse IQC'!$A$6:$A$64,7)="2026-08")*('Slaughterhouse IQC'!$B$6:$B$64="Martins")*('Slaughterhouse IQC'!$F$6:$F$64="666506")*'Slaughterhouse IQC'!$I$6:$I$64)=0,"",SUMPRODUCT((LEFT('Slaughterhouse IQC'!$A$6:$A$64,7)="2026-08")*('Slaughterhouse IQC'!$B$6:$B$64="Martins")*('Slaughterhouse IQC'!$F$6:$F$64="666506")*'Slaughterhouse IQC'!$J$6:$J$64)/SUMPRODUCT((LEFT('Slaughterhouse IQC'!$A$6:$A$64,7)="2026-08")*('Slaughterhouse IQC'!$B$6:$B$64="Martins")*('Slaughterhouse IQC'!$F$6:$F$64="666506")*'Slaughterhouse IQC'!$I$6:$I$64))</f>
      </c>
      <c r="G7" s="15" t="n">
        <f aca="false">IF(SUMPRODUCT(('Slaughterhouse IQC'!$B$6:$B$64="Martins")*('Slaughterhouse IQC'!$F$6:$F$64="666506")*'Slaughterhouse IQC'!$I$6:$I$64)=0,"",SUMPRODUCT(('Slaughterhouse IQC'!$B$6:$B$64="Martins")*('Slaughterhouse IQC'!$F$6:$F$64="666506")*'Slaughterhouse IQC'!$J$6:$J$64)/SUMPRODUCT(('Slaughterhouse IQC'!$B$6:$B$64="Martins")*('Slaughterhouse IQC'!$F$6:$F$64="666506")*'Slaughterhouse IQC'!$I$6:$I$64))</f>
      </c>
    </row>
    <row r="8">
      <c r="A8" s="5" t="inlineStr">
        <is>
          <t xml:space="preserve">Pelvic @ Parks · 666518</t>
        </is>
      </c>
      <c r="B8" s="15" t="n">
        <f aca="false">IF(SUMPRODUCT((LEFT('Slaughterhouse IQC'!$A$6:$A$64,7)="2026-04")*('Slaughterhouse IQC'!$B$6:$B$64="Parks Family Meats")*('Slaughterhouse IQC'!$F$6:$F$64="666518")*'Slaughterhouse IQC'!$I$6:$I$64)=0,"",SUMPRODUCT((LEFT('Slaughterhouse IQC'!$A$6:$A$64,7)="2026-04")*('Slaughterhouse IQC'!$B$6:$B$64="Parks Family Meats")*('Slaughterhouse IQC'!$F$6:$F$64="666518")*'Slaughterhouse IQC'!$J$6:$J$64)/SUMPRODUCT((LEFT('Slaughterhouse IQC'!$A$6:$A$64,7)="2026-04")*('Slaughterhouse IQC'!$B$6:$B$64="Parks Family Meats")*('Slaughterhouse IQC'!$F$6:$F$64="666518")*'Slaughterhouse IQC'!$I$6:$I$64))</f>
      </c>
      <c r="C8" s="15" t="n">
        <f aca="false">IF(SUMPRODUCT((LEFT('Slaughterhouse IQC'!$A$6:$A$64,7)="2026-05")*('Slaughterhouse IQC'!$B$6:$B$64="Parks Family Meats")*('Slaughterhouse IQC'!$F$6:$F$64="666518")*'Slaughterhouse IQC'!$I$6:$I$64)=0,"",SUMPRODUCT((LEFT('Slaughterhouse IQC'!$A$6:$A$64,7)="2026-05")*('Slaughterhouse IQC'!$B$6:$B$64="Parks Family Meats")*('Slaughterhouse IQC'!$F$6:$F$64="666518")*'Slaughterhouse IQC'!$J$6:$J$64)/SUMPRODUCT((LEFT('Slaughterhouse IQC'!$A$6:$A$64,7)="2026-05")*('Slaughterhouse IQC'!$B$6:$B$64="Parks Family Meats")*('Slaughterhouse IQC'!$F$6:$F$64="666518")*'Slaughterhouse IQC'!$I$6:$I$64))</f>
      </c>
      <c r="D8" s="15" t="n">
        <f aca="false">IF(SUMPRODUCT((LEFT('Slaughterhouse IQC'!$A$6:$A$64,7)="2026-06")*('Slaughterhouse IQC'!$B$6:$B$64="Parks Family Meats")*('Slaughterhouse IQC'!$F$6:$F$64="666518")*'Slaughterhouse IQC'!$I$6:$I$64)=0,"",SUMPRODUCT((LEFT('Slaughterhouse IQC'!$A$6:$A$64,7)="2026-06")*('Slaughterhouse IQC'!$B$6:$B$64="Parks Family Meats")*('Slaughterhouse IQC'!$F$6:$F$64="666518")*'Slaughterhouse IQC'!$J$6:$J$64)/SUMPRODUCT((LEFT('Slaughterhouse IQC'!$A$6:$A$64,7)="2026-06")*('Slaughterhouse IQC'!$B$6:$B$64="Parks Family Meats")*('Slaughterhouse IQC'!$F$6:$F$64="666518")*'Slaughterhouse IQC'!$I$6:$I$64))</f>
      </c>
      <c r="E8" s="15" t="n">
        <f aca="false">IF(SUMPRODUCT((LEFT('Slaughterhouse IQC'!$A$6:$A$64,7)="2026-07")*('Slaughterhouse IQC'!$B$6:$B$64="Parks Family Meats")*('Slaughterhouse IQC'!$F$6:$F$64="666518")*'Slaughterhouse IQC'!$I$6:$I$64)=0,"",SUMPRODUCT((LEFT('Slaughterhouse IQC'!$A$6:$A$64,7)="2026-07")*('Slaughterhouse IQC'!$B$6:$B$64="Parks Family Meats")*('Slaughterhouse IQC'!$F$6:$F$64="666518")*'Slaughterhouse IQC'!$J$6:$J$64)/SUMPRODUCT((LEFT('Slaughterhouse IQC'!$A$6:$A$64,7)="2026-07")*('Slaughterhouse IQC'!$B$6:$B$64="Parks Family Meats")*('Slaughterhouse IQC'!$F$6:$F$64="666518")*'Slaughterhouse IQC'!$I$6:$I$64))</f>
      </c>
      <c r="F8" s="15" t="n">
        <f aca="false">IF(SUMPRODUCT((LEFT('Slaughterhouse IQC'!$A$6:$A$64,7)="2026-08")*('Slaughterhouse IQC'!$B$6:$B$64="Parks Family Meats")*('Slaughterhouse IQC'!$F$6:$F$64="666518")*'Slaughterhouse IQC'!$I$6:$I$64)=0,"",SUMPRODUCT((LEFT('Slaughterhouse IQC'!$A$6:$A$64,7)="2026-08")*('Slaughterhouse IQC'!$B$6:$B$64="Parks Family Meats")*('Slaughterhouse IQC'!$F$6:$F$64="666518")*'Slaughterhouse IQC'!$J$6:$J$64)/SUMPRODUCT((LEFT('Slaughterhouse IQC'!$A$6:$A$64,7)="2026-08")*('Slaughterhouse IQC'!$B$6:$B$64="Parks Family Meats")*('Slaughterhouse IQC'!$F$6:$F$64="666518")*'Slaughterhouse IQC'!$I$6:$I$64))</f>
      </c>
      <c r="G8" s="15" t="n">
        <f aca="false">IF(SUMPRODUCT(('Slaughterhouse IQC'!$B$6:$B$64="Parks Family Meats")*('Slaughterhouse IQC'!$F$6:$F$64="666518")*'Slaughterhouse IQC'!$I$6:$I$64)=0,"",SUMPRODUCT(('Slaughterhouse IQC'!$B$6:$B$64="Parks Family Meats")*('Slaughterhouse IQC'!$F$6:$F$64="666518")*'Slaughterhouse IQC'!$J$6:$J$64)/SUMPRODUCT(('Slaughterhouse IQC'!$B$6:$B$64="Parks Family Meats")*('Slaughterhouse IQC'!$F$6:$F$64="666518")*'Slaughterhouse IQC'!$I$6:$I$64))</f>
      </c>
    </row>
    <row r="9">
      <c r="A9" s="5" t="inlineStr">
        <is>
          <t xml:space="preserve">Pelvic @ Parks · 666541</t>
        </is>
      </c>
      <c r="B9" s="15" t="n">
        <f aca="false">IF(SUMPRODUCT((LEFT('Slaughterhouse IQC'!$A$6:$A$64,7)="2026-04")*('Slaughterhouse IQC'!$B$6:$B$64="Parks Family Meats")*('Slaughterhouse IQC'!$F$6:$F$64="666541")*'Slaughterhouse IQC'!$I$6:$I$64)=0,"",SUMPRODUCT((LEFT('Slaughterhouse IQC'!$A$6:$A$64,7)="2026-04")*('Slaughterhouse IQC'!$B$6:$B$64="Parks Family Meats")*('Slaughterhouse IQC'!$F$6:$F$64="666541")*'Slaughterhouse IQC'!$J$6:$J$64)/SUMPRODUCT((LEFT('Slaughterhouse IQC'!$A$6:$A$64,7)="2026-04")*('Slaughterhouse IQC'!$B$6:$B$64="Parks Family Meats")*('Slaughterhouse IQC'!$F$6:$F$64="666541")*'Slaughterhouse IQC'!$I$6:$I$64))</f>
      </c>
      <c r="C9" s="15" t="n">
        <f aca="false">IF(SUMPRODUCT((LEFT('Slaughterhouse IQC'!$A$6:$A$64,7)="2026-05")*('Slaughterhouse IQC'!$B$6:$B$64="Parks Family Meats")*('Slaughterhouse IQC'!$F$6:$F$64="666541")*'Slaughterhouse IQC'!$I$6:$I$64)=0,"",SUMPRODUCT((LEFT('Slaughterhouse IQC'!$A$6:$A$64,7)="2026-05")*('Slaughterhouse IQC'!$B$6:$B$64="Parks Family Meats")*('Slaughterhouse IQC'!$F$6:$F$64="666541")*'Slaughterhouse IQC'!$J$6:$J$64)/SUMPRODUCT((LEFT('Slaughterhouse IQC'!$A$6:$A$64,7)="2026-05")*('Slaughterhouse IQC'!$B$6:$B$64="Parks Family Meats")*('Slaughterhouse IQC'!$F$6:$F$64="666541")*'Slaughterhouse IQC'!$I$6:$I$64))</f>
      </c>
      <c r="D9" s="15" t="n">
        <f aca="false">IF(SUMPRODUCT((LEFT('Slaughterhouse IQC'!$A$6:$A$64,7)="2026-06")*('Slaughterhouse IQC'!$B$6:$B$64="Parks Family Meats")*('Slaughterhouse IQC'!$F$6:$F$64="666541")*'Slaughterhouse IQC'!$I$6:$I$64)=0,"",SUMPRODUCT((LEFT('Slaughterhouse IQC'!$A$6:$A$64,7)="2026-06")*('Slaughterhouse IQC'!$B$6:$B$64="Parks Family Meats")*('Slaughterhouse IQC'!$F$6:$F$64="666541")*'Slaughterhouse IQC'!$J$6:$J$64)/SUMPRODUCT((LEFT('Slaughterhouse IQC'!$A$6:$A$64,7)="2026-06")*('Slaughterhouse IQC'!$B$6:$B$64="Parks Family Meats")*('Slaughterhouse IQC'!$F$6:$F$64="666541")*'Slaughterhouse IQC'!$I$6:$I$64))</f>
      </c>
      <c r="E9" s="15" t="n">
        <f aca="false">IF(SUMPRODUCT((LEFT('Slaughterhouse IQC'!$A$6:$A$64,7)="2026-07")*('Slaughterhouse IQC'!$B$6:$B$64="Parks Family Meats")*('Slaughterhouse IQC'!$F$6:$F$64="666541")*'Slaughterhouse IQC'!$I$6:$I$64)=0,"",SUMPRODUCT((LEFT('Slaughterhouse IQC'!$A$6:$A$64,7)="2026-07")*('Slaughterhouse IQC'!$B$6:$B$64="Parks Family Meats")*('Slaughterhouse IQC'!$F$6:$F$64="666541")*'Slaughterhouse IQC'!$J$6:$J$64)/SUMPRODUCT((LEFT('Slaughterhouse IQC'!$A$6:$A$64,7)="2026-07")*('Slaughterhouse IQC'!$B$6:$B$64="Parks Family Meats")*('Slaughterhouse IQC'!$F$6:$F$64="666541")*'Slaughterhouse IQC'!$I$6:$I$64))</f>
      </c>
      <c r="F9" s="15" t="n">
        <f aca="false">IF(SUMPRODUCT((LEFT('Slaughterhouse IQC'!$A$6:$A$64,7)="2026-08")*('Slaughterhouse IQC'!$B$6:$B$64="Parks Family Meats")*('Slaughterhouse IQC'!$F$6:$F$64="666541")*'Slaughterhouse IQC'!$I$6:$I$64)=0,"",SUMPRODUCT((LEFT('Slaughterhouse IQC'!$A$6:$A$64,7)="2026-08")*('Slaughterhouse IQC'!$B$6:$B$64="Parks Family Meats")*('Slaughterhouse IQC'!$F$6:$F$64="666541")*'Slaughterhouse IQC'!$J$6:$J$64)/SUMPRODUCT((LEFT('Slaughterhouse IQC'!$A$6:$A$64,7)="2026-08")*('Slaughterhouse IQC'!$B$6:$B$64="Parks Family Meats")*('Slaughterhouse IQC'!$F$6:$F$64="666541")*'Slaughterhouse IQC'!$I$6:$I$64))</f>
      </c>
      <c r="G9" s="15" t="n">
        <f aca="false">IF(SUMPRODUCT(('Slaughterhouse IQC'!$B$6:$B$64="Parks Family Meats")*('Slaughterhouse IQC'!$F$6:$F$64="666541")*'Slaughterhouse IQC'!$I$6:$I$64)=0,"",SUMPRODUCT(('Slaughterhouse IQC'!$B$6:$B$64="Parks Family Meats")*('Slaughterhouse IQC'!$F$6:$F$64="666541")*'Slaughterhouse IQC'!$J$6:$J$64)/SUMPRODUCT(('Slaughterhouse IQC'!$B$6:$B$64="Parks Family Meats")*('Slaughterhouse IQC'!$F$6:$F$64="666541")*'Slaughterhouse IQC'!$I$6:$I$64))</f>
      </c>
    </row>
    <row r="10">
      <c r="A10" s="5" t="inlineStr">
        <is>
          <t xml:space="preserve">Pelvic @ Nahunta · 666541</t>
        </is>
      </c>
      <c r="B10" s="15" t="n">
        <f aca="false">IF(SUMPRODUCT((LEFT('Slaughterhouse IQC'!$A$6:$A$64,7)="2026-04")*('Slaughterhouse IQC'!$B$6:$B$64="Nahunta")*('Slaughterhouse IQC'!$F$6:$F$64="666541")*'Slaughterhouse IQC'!$I$6:$I$64)=0,"",SUMPRODUCT((LEFT('Slaughterhouse IQC'!$A$6:$A$64,7)="2026-04")*('Slaughterhouse IQC'!$B$6:$B$64="Nahunta")*('Slaughterhouse IQC'!$F$6:$F$64="666541")*'Slaughterhouse IQC'!$J$6:$J$64)/SUMPRODUCT((LEFT('Slaughterhouse IQC'!$A$6:$A$64,7)="2026-04")*('Slaughterhouse IQC'!$B$6:$B$64="Nahunta")*('Slaughterhouse IQC'!$F$6:$F$64="666541")*'Slaughterhouse IQC'!$I$6:$I$64))</f>
      </c>
      <c r="C10" s="15" t="n">
        <f aca="false">IF(SUMPRODUCT((LEFT('Slaughterhouse IQC'!$A$6:$A$64,7)="2026-05")*('Slaughterhouse IQC'!$B$6:$B$64="Nahunta")*('Slaughterhouse IQC'!$F$6:$F$64="666541")*'Slaughterhouse IQC'!$I$6:$I$64)=0,"",SUMPRODUCT((LEFT('Slaughterhouse IQC'!$A$6:$A$64,7)="2026-05")*('Slaughterhouse IQC'!$B$6:$B$64="Nahunta")*('Slaughterhouse IQC'!$F$6:$F$64="666541")*'Slaughterhouse IQC'!$J$6:$J$64)/SUMPRODUCT((LEFT('Slaughterhouse IQC'!$A$6:$A$64,7)="2026-05")*('Slaughterhouse IQC'!$B$6:$B$64="Nahunta")*('Slaughterhouse IQC'!$F$6:$F$64="666541")*'Slaughterhouse IQC'!$I$6:$I$64))</f>
      </c>
      <c r="D10" s="15" t="n">
        <f aca="false">IF(SUMPRODUCT((LEFT('Slaughterhouse IQC'!$A$6:$A$64,7)="2026-06")*('Slaughterhouse IQC'!$B$6:$B$64="Nahunta")*('Slaughterhouse IQC'!$F$6:$F$64="666541")*'Slaughterhouse IQC'!$I$6:$I$64)=0,"",SUMPRODUCT((LEFT('Slaughterhouse IQC'!$A$6:$A$64,7)="2026-06")*('Slaughterhouse IQC'!$B$6:$B$64="Nahunta")*('Slaughterhouse IQC'!$F$6:$F$64="666541")*'Slaughterhouse IQC'!$J$6:$J$64)/SUMPRODUCT((LEFT('Slaughterhouse IQC'!$A$6:$A$64,7)="2026-06")*('Slaughterhouse IQC'!$B$6:$B$64="Nahunta")*('Slaughterhouse IQC'!$F$6:$F$64="666541")*'Slaughterhouse IQC'!$I$6:$I$64))</f>
      </c>
      <c r="E10" s="15" t="n">
        <f aca="false">IF(SUMPRODUCT((LEFT('Slaughterhouse IQC'!$A$6:$A$64,7)="2026-07")*('Slaughterhouse IQC'!$B$6:$B$64="Nahunta")*('Slaughterhouse IQC'!$F$6:$F$64="666541")*'Slaughterhouse IQC'!$I$6:$I$64)=0,"",SUMPRODUCT((LEFT('Slaughterhouse IQC'!$A$6:$A$64,7)="2026-07")*('Slaughterhouse IQC'!$B$6:$B$64="Nahunta")*('Slaughterhouse IQC'!$F$6:$F$64="666541")*'Slaughterhouse IQC'!$J$6:$J$64)/SUMPRODUCT((LEFT('Slaughterhouse IQC'!$A$6:$A$64,7)="2026-07")*('Slaughterhouse IQC'!$B$6:$B$64="Nahunta")*('Slaughterhouse IQC'!$F$6:$F$64="666541")*'Slaughterhouse IQC'!$I$6:$I$64))</f>
      </c>
      <c r="F10" s="15" t="n">
        <f aca="false">IF(SUMPRODUCT((LEFT('Slaughterhouse IQC'!$A$6:$A$64,7)="2026-08")*('Slaughterhouse IQC'!$B$6:$B$64="Nahunta")*('Slaughterhouse IQC'!$F$6:$F$64="666541")*'Slaughterhouse IQC'!$I$6:$I$64)=0,"",SUMPRODUCT((LEFT('Slaughterhouse IQC'!$A$6:$A$64,7)="2026-08")*('Slaughterhouse IQC'!$B$6:$B$64="Nahunta")*('Slaughterhouse IQC'!$F$6:$F$64="666541")*'Slaughterhouse IQC'!$J$6:$J$64)/SUMPRODUCT((LEFT('Slaughterhouse IQC'!$A$6:$A$64,7)="2026-08")*('Slaughterhouse IQC'!$B$6:$B$64="Nahunta")*('Slaughterhouse IQC'!$F$6:$F$64="666541")*'Slaughterhouse IQC'!$I$6:$I$64))</f>
      </c>
      <c r="G10" s="15" t="n">
        <f aca="false">IF(SUMPRODUCT(('Slaughterhouse IQC'!$B$6:$B$64="Nahunta")*('Slaughterhouse IQC'!$F$6:$F$64="666541")*'Slaughterhouse IQC'!$I$6:$I$64)=0,"",SUMPRODUCT(('Slaughterhouse IQC'!$B$6:$B$64="Nahunta")*('Slaughterhouse IQC'!$F$6:$F$64="666541")*'Slaughterhouse IQC'!$J$6:$J$64)/SUMPRODUCT(('Slaughterhouse IQC'!$B$6:$B$64="Nahunta")*('Slaughterhouse IQC'!$F$6:$F$64="666541")*'Slaughterhouse IQC'!$I$6:$I$64))</f>
      </c>
    </row>
    <row r="11">
      <c r="A11" s="5" t="inlineStr">
        <is>
          <t xml:space="preserve">Thoracic @ Nahunta · 666521</t>
        </is>
      </c>
      <c r="B11" s="15" t="n">
        <f aca="false">IF(SUMPRODUCT((LEFT('Slaughterhouse IQC'!$A$6:$A$64,7)="2026-04")*('Slaughterhouse IQC'!$B$6:$B$64="Nahunta")*('Slaughterhouse IQC'!$F$6:$F$64="666521")*'Slaughterhouse IQC'!$I$6:$I$64)=0,"",SUMPRODUCT((LEFT('Slaughterhouse IQC'!$A$6:$A$64,7)="2026-04")*('Slaughterhouse IQC'!$B$6:$B$64="Nahunta")*('Slaughterhouse IQC'!$F$6:$F$64="666521")*'Slaughterhouse IQC'!$J$6:$J$64)/SUMPRODUCT((LEFT('Slaughterhouse IQC'!$A$6:$A$64,7)="2026-04")*('Slaughterhouse IQC'!$B$6:$B$64="Nahunta")*('Slaughterhouse IQC'!$F$6:$F$64="666521")*'Slaughterhouse IQC'!$I$6:$I$64))</f>
      </c>
      <c r="C11" s="15" t="n">
        <f aca="false">IF(SUMPRODUCT((LEFT('Slaughterhouse IQC'!$A$6:$A$64,7)="2026-05")*('Slaughterhouse IQC'!$B$6:$B$64="Nahunta")*('Slaughterhouse IQC'!$F$6:$F$64="666521")*'Slaughterhouse IQC'!$I$6:$I$64)=0,"",SUMPRODUCT((LEFT('Slaughterhouse IQC'!$A$6:$A$64,7)="2026-05")*('Slaughterhouse IQC'!$B$6:$B$64="Nahunta")*('Slaughterhouse IQC'!$F$6:$F$64="666521")*'Slaughterhouse IQC'!$J$6:$J$64)/SUMPRODUCT((LEFT('Slaughterhouse IQC'!$A$6:$A$64,7)="2026-05")*('Slaughterhouse IQC'!$B$6:$B$64="Nahunta")*('Slaughterhouse IQC'!$F$6:$F$64="666521")*'Slaughterhouse IQC'!$I$6:$I$64))</f>
      </c>
      <c r="D11" s="15" t="n">
        <f aca="false">IF(SUMPRODUCT((LEFT('Slaughterhouse IQC'!$A$6:$A$64,7)="2026-06")*('Slaughterhouse IQC'!$B$6:$B$64="Nahunta")*('Slaughterhouse IQC'!$F$6:$F$64="666521")*'Slaughterhouse IQC'!$I$6:$I$64)=0,"",SUMPRODUCT((LEFT('Slaughterhouse IQC'!$A$6:$A$64,7)="2026-06")*('Slaughterhouse IQC'!$B$6:$B$64="Nahunta")*('Slaughterhouse IQC'!$F$6:$F$64="666521")*'Slaughterhouse IQC'!$J$6:$J$64)/SUMPRODUCT((LEFT('Slaughterhouse IQC'!$A$6:$A$64,7)="2026-06")*('Slaughterhouse IQC'!$B$6:$B$64="Nahunta")*('Slaughterhouse IQC'!$F$6:$F$64="666521")*'Slaughterhouse IQC'!$I$6:$I$64))</f>
      </c>
      <c r="E11" s="15" t="n">
        <f aca="false">IF(SUMPRODUCT((LEFT('Slaughterhouse IQC'!$A$6:$A$64,7)="2026-07")*('Slaughterhouse IQC'!$B$6:$B$64="Nahunta")*('Slaughterhouse IQC'!$F$6:$F$64="666521")*'Slaughterhouse IQC'!$I$6:$I$64)=0,"",SUMPRODUCT((LEFT('Slaughterhouse IQC'!$A$6:$A$64,7)="2026-07")*('Slaughterhouse IQC'!$B$6:$B$64="Nahunta")*('Slaughterhouse IQC'!$F$6:$F$64="666521")*'Slaughterhouse IQC'!$J$6:$J$64)/SUMPRODUCT((LEFT('Slaughterhouse IQC'!$A$6:$A$64,7)="2026-07")*('Slaughterhouse IQC'!$B$6:$B$64="Nahunta")*('Slaughterhouse IQC'!$F$6:$F$64="666521")*'Slaughterhouse IQC'!$I$6:$I$64))</f>
      </c>
      <c r="F11" s="15" t="n">
        <f aca="false">IF(SUMPRODUCT((LEFT('Slaughterhouse IQC'!$A$6:$A$64,7)="2026-08")*('Slaughterhouse IQC'!$B$6:$B$64="Nahunta")*('Slaughterhouse IQC'!$F$6:$F$64="666521")*'Slaughterhouse IQC'!$I$6:$I$64)=0,"",SUMPRODUCT((LEFT('Slaughterhouse IQC'!$A$6:$A$64,7)="2026-08")*('Slaughterhouse IQC'!$B$6:$B$64="Nahunta")*('Slaughterhouse IQC'!$F$6:$F$64="666521")*'Slaughterhouse IQC'!$J$6:$J$64)/SUMPRODUCT((LEFT('Slaughterhouse IQC'!$A$6:$A$64,7)="2026-08")*('Slaughterhouse IQC'!$B$6:$B$64="Nahunta")*('Slaughterhouse IQC'!$F$6:$F$64="666521")*'Slaughterhouse IQC'!$I$6:$I$64))</f>
      </c>
      <c r="G11" s="15" t="n">
        <f aca="false">IF(SUMPRODUCT(('Slaughterhouse IQC'!$B$6:$B$64="Nahunta")*('Slaughterhouse IQC'!$F$6:$F$64="666521")*'Slaughterhouse IQC'!$I$6:$I$64)=0,"",SUMPRODUCT(('Slaughterhouse IQC'!$B$6:$B$64="Nahunta")*('Slaughterhouse IQC'!$F$6:$F$64="666521")*'Slaughterhouse IQC'!$J$6:$J$64)/SUMPRODUCT(('Slaughterhouse IQC'!$B$6:$B$64="Nahunta")*('Slaughterhouse IQC'!$F$6:$F$64="666521")*'Slaughterhouse IQC'!$I$6:$I$64))</f>
      </c>
    </row>
    <row r="12"/>
    <row r="13" ht="18" customHeight="true">
      <c r="A13" s="3" t="inlineStr">
        <is>
          <t xml:space="preserve">OVERVIEW — ISSUES FOUND (# FAILED) BY MONTH</t>
        </is>
      </c>
    </row>
    <row r="14">
      <c r="A14" s="11" t="inlineStr">
        <is>
          <t xml:space="preserve">Tissue @ SH · Part</t>
        </is>
      </c>
      <c r="B14" s="11" t="inlineStr">
        <is>
          <t xml:space="preserve">April</t>
        </is>
      </c>
      <c r="C14" s="11" t="inlineStr">
        <is>
          <t xml:space="preserve">May</t>
        </is>
      </c>
      <c r="D14" s="11" t="inlineStr">
        <is>
          <t xml:space="preserve">June</t>
        </is>
      </c>
      <c r="E14" s="11" t="inlineStr">
        <is>
          <t xml:space="preserve">July</t>
        </is>
      </c>
      <c r="F14" s="11" t="inlineStr">
        <is>
          <t xml:space="preserve">August</t>
        </is>
      </c>
      <c r="G14" s="11" t="inlineStr">
        <is>
          <t xml:space="preserve">Total</t>
        </is>
      </c>
    </row>
    <row r="15">
      <c r="A15" s="5" t="inlineStr">
        <is>
          <t xml:space="preserve">Pelvic @ Martins · 666541</t>
        </is>
      </c>
      <c r="B15" s="6" t="n">
        <f aca="false">IF(SUMPRODUCT((LEFT('Slaughterhouse IQC'!$A$6:$A$64,7)="2026-04")*('Slaughterhouse IQC'!$B$6:$B$64="Martins")*('Slaughterhouse IQC'!$F$6:$F$64="666541")*'Slaughterhouse IQC'!$I$6:$I$64)=0,"",SUMPRODUCT((LEFT('Slaughterhouse IQC'!$A$6:$A$64,7)="2026-04")*('Slaughterhouse IQC'!$B$6:$B$64="Martins")*('Slaughterhouse IQC'!$F$6:$F$64="666541")*'Slaughterhouse IQC'!$K$6:$K$64))</f>
      </c>
      <c r="C15" s="6" t="n">
        <f aca="false">IF(SUMPRODUCT((LEFT('Slaughterhouse IQC'!$A$6:$A$64,7)="2026-05")*('Slaughterhouse IQC'!$B$6:$B$64="Martins")*('Slaughterhouse IQC'!$F$6:$F$64="666541")*'Slaughterhouse IQC'!$I$6:$I$64)=0,"",SUMPRODUCT((LEFT('Slaughterhouse IQC'!$A$6:$A$64,7)="2026-05")*('Slaughterhouse IQC'!$B$6:$B$64="Martins")*('Slaughterhouse IQC'!$F$6:$F$64="666541")*'Slaughterhouse IQC'!$K$6:$K$64))</f>
      </c>
      <c r="D15" s="6" t="n">
        <f aca="false">IF(SUMPRODUCT((LEFT('Slaughterhouse IQC'!$A$6:$A$64,7)="2026-06")*('Slaughterhouse IQC'!$B$6:$B$64="Martins")*('Slaughterhouse IQC'!$F$6:$F$64="666541")*'Slaughterhouse IQC'!$I$6:$I$64)=0,"",SUMPRODUCT((LEFT('Slaughterhouse IQC'!$A$6:$A$64,7)="2026-06")*('Slaughterhouse IQC'!$B$6:$B$64="Martins")*('Slaughterhouse IQC'!$F$6:$F$64="666541")*'Slaughterhouse IQC'!$K$6:$K$64))</f>
      </c>
      <c r="E15" s="6" t="n">
        <f aca="false">IF(SUMPRODUCT((LEFT('Slaughterhouse IQC'!$A$6:$A$64,7)="2026-07")*('Slaughterhouse IQC'!$B$6:$B$64="Martins")*('Slaughterhouse IQC'!$F$6:$F$64="666541")*'Slaughterhouse IQC'!$I$6:$I$64)=0,"",SUMPRODUCT((LEFT('Slaughterhouse IQC'!$A$6:$A$64,7)="2026-07")*('Slaughterhouse IQC'!$B$6:$B$64="Martins")*('Slaughterhouse IQC'!$F$6:$F$64="666541")*'Slaughterhouse IQC'!$K$6:$K$64))</f>
      </c>
      <c r="F15" s="6" t="n">
        <f aca="false">IF(SUMPRODUCT((LEFT('Slaughterhouse IQC'!$A$6:$A$64,7)="2026-08")*('Slaughterhouse IQC'!$B$6:$B$64="Martins")*('Slaughterhouse IQC'!$F$6:$F$64="666541")*'Slaughterhouse IQC'!$I$6:$I$64)=0,"",SUMPRODUCT((LEFT('Slaughterhouse IQC'!$A$6:$A$64,7)="2026-08")*('Slaughterhouse IQC'!$B$6:$B$64="Martins")*('Slaughterhouse IQC'!$F$6:$F$64="666541")*'Slaughterhouse IQC'!$K$6:$K$64))</f>
      </c>
      <c r="G15" s="6" t="n">
        <f aca="false">SUMPRODUCT(('Slaughterhouse IQC'!$B$6:$B$64="Martins")*('Slaughterhouse IQC'!$F$6:$F$64="666541")*'Slaughterhouse IQC'!$K$6:$K$64)</f>
      </c>
    </row>
    <row r="16">
      <c r="A16" s="5" t="inlineStr">
        <is>
          <t xml:space="preserve">Pelvic @ Martins · 666506</t>
        </is>
      </c>
      <c r="B16" s="6" t="n">
        <f aca="false">IF(SUMPRODUCT((LEFT('Slaughterhouse IQC'!$A$6:$A$64,7)="2026-04")*('Slaughterhouse IQC'!$B$6:$B$64="Martins")*('Slaughterhouse IQC'!$F$6:$F$64="666506")*'Slaughterhouse IQC'!$I$6:$I$64)=0,"",SUMPRODUCT((LEFT('Slaughterhouse IQC'!$A$6:$A$64,7)="2026-04")*('Slaughterhouse IQC'!$B$6:$B$64="Martins")*('Slaughterhouse IQC'!$F$6:$F$64="666506")*'Slaughterhouse IQC'!$K$6:$K$64))</f>
      </c>
      <c r="C16" s="6" t="n">
        <f aca="false">IF(SUMPRODUCT((LEFT('Slaughterhouse IQC'!$A$6:$A$64,7)="2026-05")*('Slaughterhouse IQC'!$B$6:$B$64="Martins")*('Slaughterhouse IQC'!$F$6:$F$64="666506")*'Slaughterhouse IQC'!$I$6:$I$64)=0,"",SUMPRODUCT((LEFT('Slaughterhouse IQC'!$A$6:$A$64,7)="2026-05")*('Slaughterhouse IQC'!$B$6:$B$64="Martins")*('Slaughterhouse IQC'!$F$6:$F$64="666506")*'Slaughterhouse IQC'!$K$6:$K$64))</f>
      </c>
      <c r="D16" s="6" t="n">
        <f aca="false">IF(SUMPRODUCT((LEFT('Slaughterhouse IQC'!$A$6:$A$64,7)="2026-06")*('Slaughterhouse IQC'!$B$6:$B$64="Martins")*('Slaughterhouse IQC'!$F$6:$F$64="666506")*'Slaughterhouse IQC'!$I$6:$I$64)=0,"",SUMPRODUCT((LEFT('Slaughterhouse IQC'!$A$6:$A$64,7)="2026-06")*('Slaughterhouse IQC'!$B$6:$B$64="Martins")*('Slaughterhouse IQC'!$F$6:$F$64="666506")*'Slaughterhouse IQC'!$K$6:$K$64))</f>
      </c>
      <c r="E16" s="6" t="n">
        <f aca="false">IF(SUMPRODUCT((LEFT('Slaughterhouse IQC'!$A$6:$A$64,7)="2026-07")*('Slaughterhouse IQC'!$B$6:$B$64="Martins")*('Slaughterhouse IQC'!$F$6:$F$64="666506")*'Slaughterhouse IQC'!$I$6:$I$64)=0,"",SUMPRODUCT((LEFT('Slaughterhouse IQC'!$A$6:$A$64,7)="2026-07")*('Slaughterhouse IQC'!$B$6:$B$64="Martins")*('Slaughterhouse IQC'!$F$6:$F$64="666506")*'Slaughterhouse IQC'!$K$6:$K$64))</f>
      </c>
      <c r="F16" s="6" t="n">
        <f aca="false">IF(SUMPRODUCT((LEFT('Slaughterhouse IQC'!$A$6:$A$64,7)="2026-08")*('Slaughterhouse IQC'!$B$6:$B$64="Martins")*('Slaughterhouse IQC'!$F$6:$F$64="666506")*'Slaughterhouse IQC'!$I$6:$I$64)=0,"",SUMPRODUCT((LEFT('Slaughterhouse IQC'!$A$6:$A$64,7)="2026-08")*('Slaughterhouse IQC'!$B$6:$B$64="Martins")*('Slaughterhouse IQC'!$F$6:$F$64="666506")*'Slaughterhouse IQC'!$K$6:$K$64))</f>
      </c>
      <c r="G16" s="6" t="n">
        <f aca="false">SUMPRODUCT(('Slaughterhouse IQC'!$B$6:$B$64="Martins")*('Slaughterhouse IQC'!$F$6:$F$64="666506")*'Slaughterhouse IQC'!$K$6:$K$64)</f>
      </c>
    </row>
    <row r="17">
      <c r="A17" s="5" t="inlineStr">
        <is>
          <t xml:space="preserve">Pelvic @ Parks · 666518</t>
        </is>
      </c>
      <c r="B17" s="6" t="n">
        <f aca="false">IF(SUMPRODUCT((LEFT('Slaughterhouse IQC'!$A$6:$A$64,7)="2026-04")*('Slaughterhouse IQC'!$B$6:$B$64="Parks Family Meats")*('Slaughterhouse IQC'!$F$6:$F$64="666518")*'Slaughterhouse IQC'!$I$6:$I$64)=0,"",SUMPRODUCT((LEFT('Slaughterhouse IQC'!$A$6:$A$64,7)="2026-04")*('Slaughterhouse IQC'!$B$6:$B$64="Parks Family Meats")*('Slaughterhouse IQC'!$F$6:$F$64="666518")*'Slaughterhouse IQC'!$K$6:$K$64))</f>
      </c>
      <c r="C17" s="6" t="n">
        <f aca="false">IF(SUMPRODUCT((LEFT('Slaughterhouse IQC'!$A$6:$A$64,7)="2026-05")*('Slaughterhouse IQC'!$B$6:$B$64="Parks Family Meats")*('Slaughterhouse IQC'!$F$6:$F$64="666518")*'Slaughterhouse IQC'!$I$6:$I$64)=0,"",SUMPRODUCT((LEFT('Slaughterhouse IQC'!$A$6:$A$64,7)="2026-05")*('Slaughterhouse IQC'!$B$6:$B$64="Parks Family Meats")*('Slaughterhouse IQC'!$F$6:$F$64="666518")*'Slaughterhouse IQC'!$K$6:$K$64))</f>
      </c>
      <c r="D17" s="6" t="n">
        <f aca="false">IF(SUMPRODUCT((LEFT('Slaughterhouse IQC'!$A$6:$A$64,7)="2026-06")*('Slaughterhouse IQC'!$B$6:$B$64="Parks Family Meats")*('Slaughterhouse IQC'!$F$6:$F$64="666518")*'Slaughterhouse IQC'!$I$6:$I$64)=0,"",SUMPRODUCT((LEFT('Slaughterhouse IQC'!$A$6:$A$64,7)="2026-06")*('Slaughterhouse IQC'!$B$6:$B$64="Parks Family Meats")*('Slaughterhouse IQC'!$F$6:$F$64="666518")*'Slaughterhouse IQC'!$K$6:$K$64))</f>
      </c>
      <c r="E17" s="6" t="n">
        <f aca="false">IF(SUMPRODUCT((LEFT('Slaughterhouse IQC'!$A$6:$A$64,7)="2026-07")*('Slaughterhouse IQC'!$B$6:$B$64="Parks Family Meats")*('Slaughterhouse IQC'!$F$6:$F$64="666518")*'Slaughterhouse IQC'!$I$6:$I$64)=0,"",SUMPRODUCT((LEFT('Slaughterhouse IQC'!$A$6:$A$64,7)="2026-07")*('Slaughterhouse IQC'!$B$6:$B$64="Parks Family Meats")*('Slaughterhouse IQC'!$F$6:$F$64="666518")*'Slaughterhouse IQC'!$K$6:$K$64))</f>
      </c>
      <c r="F17" s="6" t="n">
        <f aca="false">IF(SUMPRODUCT((LEFT('Slaughterhouse IQC'!$A$6:$A$64,7)="2026-08")*('Slaughterhouse IQC'!$B$6:$B$64="Parks Family Meats")*('Slaughterhouse IQC'!$F$6:$F$64="666518")*'Slaughterhouse IQC'!$I$6:$I$64)=0,"",SUMPRODUCT((LEFT('Slaughterhouse IQC'!$A$6:$A$64,7)="2026-08")*('Slaughterhouse IQC'!$B$6:$B$64="Parks Family Meats")*('Slaughterhouse IQC'!$F$6:$F$64="666518")*'Slaughterhouse IQC'!$K$6:$K$64))</f>
      </c>
      <c r="G17" s="6" t="n">
        <f aca="false">SUMPRODUCT(('Slaughterhouse IQC'!$B$6:$B$64="Parks Family Meats")*('Slaughterhouse IQC'!$F$6:$F$64="666518")*'Slaughterhouse IQC'!$K$6:$K$64)</f>
      </c>
    </row>
    <row r="18">
      <c r="A18" s="5" t="inlineStr">
        <is>
          <t xml:space="preserve">Pelvic @ Parks · 666541</t>
        </is>
      </c>
      <c r="B18" s="6" t="n">
        <f aca="false">IF(SUMPRODUCT((LEFT('Slaughterhouse IQC'!$A$6:$A$64,7)="2026-04")*('Slaughterhouse IQC'!$B$6:$B$64="Parks Family Meats")*('Slaughterhouse IQC'!$F$6:$F$64="666541")*'Slaughterhouse IQC'!$I$6:$I$64)=0,"",SUMPRODUCT((LEFT('Slaughterhouse IQC'!$A$6:$A$64,7)="2026-04")*('Slaughterhouse IQC'!$B$6:$B$64="Parks Family Meats")*('Slaughterhouse IQC'!$F$6:$F$64="666541")*'Slaughterhouse IQC'!$K$6:$K$64))</f>
      </c>
      <c r="C18" s="6" t="n">
        <f aca="false">IF(SUMPRODUCT((LEFT('Slaughterhouse IQC'!$A$6:$A$64,7)="2026-05")*('Slaughterhouse IQC'!$B$6:$B$64="Parks Family Meats")*('Slaughterhouse IQC'!$F$6:$F$64="666541")*'Slaughterhouse IQC'!$I$6:$I$64)=0,"",SUMPRODUCT((LEFT('Slaughterhouse IQC'!$A$6:$A$64,7)="2026-05")*('Slaughterhouse IQC'!$B$6:$B$64="Parks Family Meats")*('Slaughterhouse IQC'!$F$6:$F$64="666541")*'Slaughterhouse IQC'!$K$6:$K$64))</f>
      </c>
      <c r="D18" s="6" t="n">
        <f aca="false">IF(SUMPRODUCT((LEFT('Slaughterhouse IQC'!$A$6:$A$64,7)="2026-06")*('Slaughterhouse IQC'!$B$6:$B$64="Parks Family Meats")*('Slaughterhouse IQC'!$F$6:$F$64="666541")*'Slaughterhouse IQC'!$I$6:$I$64)=0,"",SUMPRODUCT((LEFT('Slaughterhouse IQC'!$A$6:$A$64,7)="2026-06")*('Slaughterhouse IQC'!$B$6:$B$64="Parks Family Meats")*('Slaughterhouse IQC'!$F$6:$F$64="666541")*'Slaughterhouse IQC'!$K$6:$K$64))</f>
      </c>
      <c r="E18" s="6" t="n">
        <f aca="false">IF(SUMPRODUCT((LEFT('Slaughterhouse IQC'!$A$6:$A$64,7)="2026-07")*('Slaughterhouse IQC'!$B$6:$B$64="Parks Family Meats")*('Slaughterhouse IQC'!$F$6:$F$64="666541")*'Slaughterhouse IQC'!$I$6:$I$64)=0,"",SUMPRODUCT((LEFT('Slaughterhouse IQC'!$A$6:$A$64,7)="2026-07")*('Slaughterhouse IQC'!$B$6:$B$64="Parks Family Meats")*('Slaughterhouse IQC'!$F$6:$F$64="666541")*'Slaughterhouse IQC'!$K$6:$K$64))</f>
      </c>
      <c r="F18" s="6" t="n">
        <f aca="false">IF(SUMPRODUCT((LEFT('Slaughterhouse IQC'!$A$6:$A$64,7)="2026-08")*('Slaughterhouse IQC'!$B$6:$B$64="Parks Family Meats")*('Slaughterhouse IQC'!$F$6:$F$64="666541")*'Slaughterhouse IQC'!$I$6:$I$64)=0,"",SUMPRODUCT((LEFT('Slaughterhouse IQC'!$A$6:$A$64,7)="2026-08")*('Slaughterhouse IQC'!$B$6:$B$64="Parks Family Meats")*('Slaughterhouse IQC'!$F$6:$F$64="666541")*'Slaughterhouse IQC'!$K$6:$K$64))</f>
      </c>
      <c r="G18" s="6" t="n">
        <f aca="false">SUMPRODUCT(('Slaughterhouse IQC'!$B$6:$B$64="Parks Family Meats")*('Slaughterhouse IQC'!$F$6:$F$64="666541")*'Slaughterhouse IQC'!$K$6:$K$64)</f>
      </c>
    </row>
    <row r="19">
      <c r="A19" s="5" t="inlineStr">
        <is>
          <t xml:space="preserve">Pelvic @ Nahunta · 666541</t>
        </is>
      </c>
      <c r="B19" s="6" t="n">
        <f aca="false">IF(SUMPRODUCT((LEFT('Slaughterhouse IQC'!$A$6:$A$64,7)="2026-04")*('Slaughterhouse IQC'!$B$6:$B$64="Nahunta")*('Slaughterhouse IQC'!$F$6:$F$64="666541")*'Slaughterhouse IQC'!$I$6:$I$64)=0,"",SUMPRODUCT((LEFT('Slaughterhouse IQC'!$A$6:$A$64,7)="2026-04")*('Slaughterhouse IQC'!$B$6:$B$64="Nahunta")*('Slaughterhouse IQC'!$F$6:$F$64="666541")*'Slaughterhouse IQC'!$K$6:$K$64))</f>
      </c>
      <c r="C19" s="6" t="n">
        <f aca="false">IF(SUMPRODUCT((LEFT('Slaughterhouse IQC'!$A$6:$A$64,7)="2026-05")*('Slaughterhouse IQC'!$B$6:$B$64="Nahunta")*('Slaughterhouse IQC'!$F$6:$F$64="666541")*'Slaughterhouse IQC'!$I$6:$I$64)=0,"",SUMPRODUCT((LEFT('Slaughterhouse IQC'!$A$6:$A$64,7)="2026-05")*('Slaughterhouse IQC'!$B$6:$B$64="Nahunta")*('Slaughterhouse IQC'!$F$6:$F$64="666541")*'Slaughterhouse IQC'!$K$6:$K$64))</f>
      </c>
      <c r="D19" s="6" t="n">
        <f aca="false">IF(SUMPRODUCT((LEFT('Slaughterhouse IQC'!$A$6:$A$64,7)="2026-06")*('Slaughterhouse IQC'!$B$6:$B$64="Nahunta")*('Slaughterhouse IQC'!$F$6:$F$64="666541")*'Slaughterhouse IQC'!$I$6:$I$64)=0,"",SUMPRODUCT((LEFT('Slaughterhouse IQC'!$A$6:$A$64,7)="2026-06")*('Slaughterhouse IQC'!$B$6:$B$64="Nahunta")*('Slaughterhouse IQC'!$F$6:$F$64="666541")*'Slaughterhouse IQC'!$K$6:$K$64))</f>
      </c>
      <c r="E19" s="6" t="n">
        <f aca="false">IF(SUMPRODUCT((LEFT('Slaughterhouse IQC'!$A$6:$A$64,7)="2026-07")*('Slaughterhouse IQC'!$B$6:$B$64="Nahunta")*('Slaughterhouse IQC'!$F$6:$F$64="666541")*'Slaughterhouse IQC'!$I$6:$I$64)=0,"",SUMPRODUCT((LEFT('Slaughterhouse IQC'!$A$6:$A$64,7)="2026-07")*('Slaughterhouse IQC'!$B$6:$B$64="Nahunta")*('Slaughterhouse IQC'!$F$6:$F$64="666541")*'Slaughterhouse IQC'!$K$6:$K$64))</f>
      </c>
      <c r="F19" s="6" t="n">
        <f aca="false">IF(SUMPRODUCT((LEFT('Slaughterhouse IQC'!$A$6:$A$64,7)="2026-08")*('Slaughterhouse IQC'!$B$6:$B$64="Nahunta")*('Slaughterhouse IQC'!$F$6:$F$64="666541")*'Slaughterhouse IQC'!$I$6:$I$64)=0,"",SUMPRODUCT((LEFT('Slaughterhouse IQC'!$A$6:$A$64,7)="2026-08")*('Slaughterhouse IQC'!$B$6:$B$64="Nahunta")*('Slaughterhouse IQC'!$F$6:$F$64="666541")*'Slaughterhouse IQC'!$K$6:$K$64))</f>
      </c>
      <c r="G19" s="6" t="n">
        <f aca="false">SUMPRODUCT(('Slaughterhouse IQC'!$B$6:$B$64="Nahunta")*('Slaughterhouse IQC'!$F$6:$F$64="666541")*'Slaughterhouse IQC'!$K$6:$K$64)</f>
      </c>
    </row>
    <row r="20">
      <c r="A20" s="5" t="inlineStr">
        <is>
          <t xml:space="preserve">Thoracic @ Nahunta · 666521</t>
        </is>
      </c>
      <c r="B20" s="6" t="n">
        <f aca="false">IF(SUMPRODUCT((LEFT('Slaughterhouse IQC'!$A$6:$A$64,7)="2026-04")*('Slaughterhouse IQC'!$B$6:$B$64="Nahunta")*('Slaughterhouse IQC'!$F$6:$F$64="666521")*'Slaughterhouse IQC'!$I$6:$I$64)=0,"",SUMPRODUCT((LEFT('Slaughterhouse IQC'!$A$6:$A$64,7)="2026-04")*('Slaughterhouse IQC'!$B$6:$B$64="Nahunta")*('Slaughterhouse IQC'!$F$6:$F$64="666521")*'Slaughterhouse IQC'!$K$6:$K$64))</f>
      </c>
      <c r="C20" s="6" t="n">
        <f aca="false">IF(SUMPRODUCT((LEFT('Slaughterhouse IQC'!$A$6:$A$64,7)="2026-05")*('Slaughterhouse IQC'!$B$6:$B$64="Nahunta")*('Slaughterhouse IQC'!$F$6:$F$64="666521")*'Slaughterhouse IQC'!$I$6:$I$64)=0,"",SUMPRODUCT((LEFT('Slaughterhouse IQC'!$A$6:$A$64,7)="2026-05")*('Slaughterhouse IQC'!$B$6:$B$64="Nahunta")*('Slaughterhouse IQC'!$F$6:$F$64="666521")*'Slaughterhouse IQC'!$K$6:$K$64))</f>
      </c>
      <c r="D20" s="6" t="n">
        <f aca="false">IF(SUMPRODUCT((LEFT('Slaughterhouse IQC'!$A$6:$A$64,7)="2026-06")*('Slaughterhouse IQC'!$B$6:$B$64="Nahunta")*('Slaughterhouse IQC'!$F$6:$F$64="666521")*'Slaughterhouse IQC'!$I$6:$I$64)=0,"",SUMPRODUCT((LEFT('Slaughterhouse IQC'!$A$6:$A$64,7)="2026-06")*('Slaughterhouse IQC'!$B$6:$B$64="Nahunta")*('Slaughterhouse IQC'!$F$6:$F$64="666521")*'Slaughterhouse IQC'!$K$6:$K$64))</f>
      </c>
      <c r="E20" s="6" t="n">
        <f aca="false">IF(SUMPRODUCT((LEFT('Slaughterhouse IQC'!$A$6:$A$64,7)="2026-07")*('Slaughterhouse IQC'!$B$6:$B$64="Nahunta")*('Slaughterhouse IQC'!$F$6:$F$64="666521")*'Slaughterhouse IQC'!$I$6:$I$64)=0,"",SUMPRODUCT((LEFT('Slaughterhouse IQC'!$A$6:$A$64,7)="2026-07")*('Slaughterhouse IQC'!$B$6:$B$64="Nahunta")*('Slaughterhouse IQC'!$F$6:$F$64="666521")*'Slaughterhouse IQC'!$K$6:$K$64))</f>
      </c>
      <c r="F20" s="6" t="n">
        <f aca="false">IF(SUMPRODUCT((LEFT('Slaughterhouse IQC'!$A$6:$A$64,7)="2026-08")*('Slaughterhouse IQC'!$B$6:$B$64="Nahunta")*('Slaughterhouse IQC'!$F$6:$F$64="666521")*'Slaughterhouse IQC'!$I$6:$I$64)=0,"",SUMPRODUCT((LEFT('Slaughterhouse IQC'!$A$6:$A$64,7)="2026-08")*('Slaughterhouse IQC'!$B$6:$B$64="Nahunta")*('Slaughterhouse IQC'!$F$6:$F$64="666521")*'Slaughterhouse IQC'!$K$6:$K$64))</f>
      </c>
      <c r="G20" s="6" t="n">
        <f aca="false">SUMPRODUCT(('Slaughterhouse IQC'!$B$6:$B$64="Nahunta")*('Slaughterhouse IQC'!$F$6:$F$64="666521")*'Slaughterhouse IQC'!$K$6:$K$64)</f>
      </c>
    </row>
    <row r="21"/>
    <row r="22" ht="18" customHeight="true">
      <c r="A22" s="3" t="inlineStr">
        <is>
          <t xml:space="preserve">PELVIC @ MARTINS — 666541 (intact)</t>
        </is>
      </c>
    </row>
    <row r="23">
      <c r="A23" s="11" t="inlineStr">
        <is>
          <t xml:space="preserve">Metric</t>
        </is>
      </c>
      <c r="B23" s="11" t="inlineStr">
        <is>
          <t xml:space="preserve">April</t>
        </is>
      </c>
      <c r="C23" s="11" t="inlineStr">
        <is>
          <t xml:space="preserve">May</t>
        </is>
      </c>
      <c r="D23" s="11" t="inlineStr">
        <is>
          <t xml:space="preserve">June</t>
        </is>
      </c>
      <c r="E23" s="11" t="inlineStr">
        <is>
          <t xml:space="preserve">July</t>
        </is>
      </c>
      <c r="F23" s="11" t="inlineStr">
        <is>
          <t xml:space="preserve">August</t>
        </is>
      </c>
      <c r="G23" s="11" t="inlineStr">
        <is>
          <t xml:space="preserve">Total</t>
        </is>
      </c>
    </row>
    <row r="24">
      <c r="A24" s="5" t="inlineStr">
        <is>
          <t xml:space="preserve"># Inspected</t>
        </is>
      </c>
      <c r="B24" s="6" t="n">
        <f aca="false">IF(SUMPRODUCT((LEFT('Slaughterhouse IQC'!$A$6:$A$64,7)="2026-04")*('Slaughterhouse IQC'!$B$6:$B$64="Martins")*('Slaughterhouse IQC'!$F$6:$F$64="666541")*'Slaughterhouse IQC'!$I$6:$I$64)=0,"",SUMPRODUCT((LEFT('Slaughterhouse IQC'!$A$6:$A$64,7)="2026-04")*('Slaughterhouse IQC'!$B$6:$B$64="Martins")*('Slaughterhouse IQC'!$F$6:$F$64="666541")*'Slaughterhouse IQC'!$I$6:$I$64))</f>
      </c>
      <c r="C24" s="6" t="n">
        <f aca="false">IF(SUMPRODUCT((LEFT('Slaughterhouse IQC'!$A$6:$A$64,7)="2026-05")*('Slaughterhouse IQC'!$B$6:$B$64="Martins")*('Slaughterhouse IQC'!$F$6:$F$64="666541")*'Slaughterhouse IQC'!$I$6:$I$64)=0,"",SUMPRODUCT((LEFT('Slaughterhouse IQC'!$A$6:$A$64,7)="2026-05")*('Slaughterhouse IQC'!$B$6:$B$64="Martins")*('Slaughterhouse IQC'!$F$6:$F$64="666541")*'Slaughterhouse IQC'!$I$6:$I$64))</f>
      </c>
      <c r="D24" s="6" t="n">
        <f aca="false">IF(SUMPRODUCT((LEFT('Slaughterhouse IQC'!$A$6:$A$64,7)="2026-06")*('Slaughterhouse IQC'!$B$6:$B$64="Martins")*('Slaughterhouse IQC'!$F$6:$F$64="666541")*'Slaughterhouse IQC'!$I$6:$I$64)=0,"",SUMPRODUCT((LEFT('Slaughterhouse IQC'!$A$6:$A$64,7)="2026-06")*('Slaughterhouse IQC'!$B$6:$B$64="Martins")*('Slaughterhouse IQC'!$F$6:$F$64="666541")*'Slaughterhouse IQC'!$I$6:$I$64))</f>
      </c>
      <c r="E24" s="6" t="n">
        <f aca="false">IF(SUMPRODUCT((LEFT('Slaughterhouse IQC'!$A$6:$A$64,7)="2026-07")*('Slaughterhouse IQC'!$B$6:$B$64="Martins")*('Slaughterhouse IQC'!$F$6:$F$64="666541")*'Slaughterhouse IQC'!$I$6:$I$64)=0,"",SUMPRODUCT((LEFT('Slaughterhouse IQC'!$A$6:$A$64,7)="2026-07")*('Slaughterhouse IQC'!$B$6:$B$64="Martins")*('Slaughterhouse IQC'!$F$6:$F$64="666541")*'Slaughterhouse IQC'!$I$6:$I$64))</f>
      </c>
      <c r="F24" s="6" t="n">
        <f aca="false">IF(SUMPRODUCT((LEFT('Slaughterhouse IQC'!$A$6:$A$64,7)="2026-08")*('Slaughterhouse IQC'!$B$6:$B$64="Martins")*('Slaughterhouse IQC'!$F$6:$F$64="666541")*'Slaughterhouse IQC'!$I$6:$I$64)=0,"",SUMPRODUCT((LEFT('Slaughterhouse IQC'!$A$6:$A$64,7)="2026-08")*('Slaughterhouse IQC'!$B$6:$B$64="Martins")*('Slaughterhouse IQC'!$F$6:$F$64="666541")*'Slaughterhouse IQC'!$I$6:$I$64))</f>
      </c>
      <c r="G24" s="6" t="n">
        <f aca="false">SUM(B24:F24)</f>
      </c>
    </row>
    <row r="25">
      <c r="A25" s="5" t="inlineStr">
        <is>
          <t xml:space="preserve"># Pass</t>
        </is>
      </c>
      <c r="B25" s="6" t="n">
        <f aca="false">IF(SUMPRODUCT((LEFT('Slaughterhouse IQC'!$A$6:$A$64,7)="2026-04")*('Slaughterhouse IQC'!$B$6:$B$64="Martins")*('Slaughterhouse IQC'!$F$6:$F$64="666541")*'Slaughterhouse IQC'!$I$6:$I$64)=0,"",SUMPRODUCT((LEFT('Slaughterhouse IQC'!$A$6:$A$64,7)="2026-04")*('Slaughterhouse IQC'!$B$6:$B$64="Martins")*('Slaughterhouse IQC'!$F$6:$F$64="666541")*'Slaughterhouse IQC'!$J$6:$J$64))</f>
      </c>
      <c r="C25" s="6" t="n">
        <f aca="false">IF(SUMPRODUCT((LEFT('Slaughterhouse IQC'!$A$6:$A$64,7)="2026-05")*('Slaughterhouse IQC'!$B$6:$B$64="Martins")*('Slaughterhouse IQC'!$F$6:$F$64="666541")*'Slaughterhouse IQC'!$I$6:$I$64)=0,"",SUMPRODUCT((LEFT('Slaughterhouse IQC'!$A$6:$A$64,7)="2026-05")*('Slaughterhouse IQC'!$B$6:$B$64="Martins")*('Slaughterhouse IQC'!$F$6:$F$64="666541")*'Slaughterhouse IQC'!$J$6:$J$64))</f>
      </c>
      <c r="D25" s="6" t="n">
        <f aca="false">IF(SUMPRODUCT((LEFT('Slaughterhouse IQC'!$A$6:$A$64,7)="2026-06")*('Slaughterhouse IQC'!$B$6:$B$64="Martins")*('Slaughterhouse IQC'!$F$6:$F$64="666541")*'Slaughterhouse IQC'!$I$6:$I$64)=0,"",SUMPRODUCT((LEFT('Slaughterhouse IQC'!$A$6:$A$64,7)="2026-06")*('Slaughterhouse IQC'!$B$6:$B$64="Martins")*('Slaughterhouse IQC'!$F$6:$F$64="666541")*'Slaughterhouse IQC'!$J$6:$J$64))</f>
      </c>
      <c r="E25" s="6" t="n">
        <f aca="false">IF(SUMPRODUCT((LEFT('Slaughterhouse IQC'!$A$6:$A$64,7)="2026-07")*('Slaughterhouse IQC'!$B$6:$B$64="Martins")*('Slaughterhouse IQC'!$F$6:$F$64="666541")*'Slaughterhouse IQC'!$I$6:$I$64)=0,"",SUMPRODUCT((LEFT('Slaughterhouse IQC'!$A$6:$A$64,7)="2026-07")*('Slaughterhouse IQC'!$B$6:$B$64="Martins")*('Slaughterhouse IQC'!$F$6:$F$64="666541")*'Slaughterhouse IQC'!$J$6:$J$64))</f>
      </c>
      <c r="F25" s="6" t="n">
        <f aca="false">IF(SUMPRODUCT((LEFT('Slaughterhouse IQC'!$A$6:$A$64,7)="2026-08")*('Slaughterhouse IQC'!$B$6:$B$64="Martins")*('Slaughterhouse IQC'!$F$6:$F$64="666541")*'Slaughterhouse IQC'!$I$6:$I$64)=0,"",SUMPRODUCT((LEFT('Slaughterhouse IQC'!$A$6:$A$64,7)="2026-08")*('Slaughterhouse IQC'!$B$6:$B$64="Martins")*('Slaughterhouse IQC'!$F$6:$F$64="666541")*'Slaughterhouse IQC'!$J$6:$J$64))</f>
      </c>
      <c r="G25" s="6" t="n">
        <f aca="false">SUM(B25:F25)</f>
      </c>
    </row>
    <row r="26">
      <c r="A26" s="5" t="inlineStr">
        <is>
          <t xml:space="preserve"># Fail</t>
        </is>
      </c>
      <c r="B26" s="6" t="n">
        <f aca="false">IF(SUMPRODUCT((LEFT('Slaughterhouse IQC'!$A$6:$A$64,7)="2026-04")*('Slaughterhouse IQC'!$B$6:$B$64="Martins")*('Slaughterhouse IQC'!$F$6:$F$64="666541")*'Slaughterhouse IQC'!$I$6:$I$64)=0,"",SUMPRODUCT((LEFT('Slaughterhouse IQC'!$A$6:$A$64,7)="2026-04")*('Slaughterhouse IQC'!$B$6:$B$64="Martins")*('Slaughterhouse IQC'!$F$6:$F$64="666541")*'Slaughterhouse IQC'!$K$6:$K$64))</f>
      </c>
      <c r="C26" s="6" t="n">
        <f aca="false">IF(SUMPRODUCT((LEFT('Slaughterhouse IQC'!$A$6:$A$64,7)="2026-05")*('Slaughterhouse IQC'!$B$6:$B$64="Martins")*('Slaughterhouse IQC'!$F$6:$F$64="666541")*'Slaughterhouse IQC'!$I$6:$I$64)=0,"",SUMPRODUCT((LEFT('Slaughterhouse IQC'!$A$6:$A$64,7)="2026-05")*('Slaughterhouse IQC'!$B$6:$B$64="Martins")*('Slaughterhouse IQC'!$F$6:$F$64="666541")*'Slaughterhouse IQC'!$K$6:$K$64))</f>
      </c>
      <c r="D26" s="6" t="n">
        <f aca="false">IF(SUMPRODUCT((LEFT('Slaughterhouse IQC'!$A$6:$A$64,7)="2026-06")*('Slaughterhouse IQC'!$B$6:$B$64="Martins")*('Slaughterhouse IQC'!$F$6:$F$64="666541")*'Slaughterhouse IQC'!$I$6:$I$64)=0,"",SUMPRODUCT((LEFT('Slaughterhouse IQC'!$A$6:$A$64,7)="2026-06")*('Slaughterhouse IQC'!$B$6:$B$64="Martins")*('Slaughterhouse IQC'!$F$6:$F$64="666541")*'Slaughterhouse IQC'!$K$6:$K$64))</f>
      </c>
      <c r="E26" s="6" t="n">
        <f aca="false">IF(SUMPRODUCT((LEFT('Slaughterhouse IQC'!$A$6:$A$64,7)="2026-07")*('Slaughterhouse IQC'!$B$6:$B$64="Martins")*('Slaughterhouse IQC'!$F$6:$F$64="666541")*'Slaughterhouse IQC'!$I$6:$I$64)=0,"",SUMPRODUCT((LEFT('Slaughterhouse IQC'!$A$6:$A$64,7)="2026-07")*('Slaughterhouse IQC'!$B$6:$B$64="Martins")*('Slaughterhouse IQC'!$F$6:$F$64="666541")*'Slaughterhouse IQC'!$K$6:$K$64))</f>
      </c>
      <c r="F26" s="6" t="n">
        <f aca="false">IF(SUMPRODUCT((LEFT('Slaughterhouse IQC'!$A$6:$A$64,7)="2026-08")*('Slaughterhouse IQC'!$B$6:$B$64="Martins")*('Slaughterhouse IQC'!$F$6:$F$64="666541")*'Slaughterhouse IQC'!$I$6:$I$64)=0,"",SUMPRODUCT((LEFT('Slaughterhouse IQC'!$A$6:$A$64,7)="2026-08")*('Slaughterhouse IQC'!$B$6:$B$64="Martins")*('Slaughterhouse IQC'!$F$6:$F$64="666541")*'Slaughterhouse IQC'!$K$6:$K$64))</f>
      </c>
      <c r="G26" s="6" t="n">
        <f aca="false">SUM(B26:F26)</f>
      </c>
    </row>
    <row r="27">
      <c r="A27" s="12" t="inlineStr">
        <is>
          <t xml:space="preserve">First-Pass Yield</t>
        </is>
      </c>
      <c r="B27" s="15" t="n">
        <f aca="false">IF(B24="","",IF(B24=0,"",B25/B24))</f>
      </c>
      <c r="C27" s="15" t="n">
        <f aca="false">IF(C24="","",IF(C24=0,"",C25/C24))</f>
      </c>
      <c r="D27" s="15" t="n">
        <f aca="false">IF(D24="","",IF(D24=0,"",D25/D24))</f>
      </c>
      <c r="E27" s="15" t="n">
        <f aca="false">IF(E24="","",IF(E24=0,"",E25/E24))</f>
      </c>
      <c r="F27" s="15" t="n">
        <f aca="false">IF(F24="","",IF(F24=0,"",F25/F24))</f>
      </c>
      <c r="G27" s="15" t="n">
        <f aca="false">IF(G24=0,"",G25/G24)</f>
      </c>
    </row>
    <row r="28" ht="15" customHeight="true">
      <c r="A28" s="19" t="inlineStr">
        <is>
          <t xml:space="preserve">Issues found (defect category counts)</t>
        </is>
      </c>
    </row>
    <row r="29">
      <c r="A29" s="16" t="inlineStr">
        <is>
          <t xml:space="preserve">   Urethra / bladder damage</t>
        </is>
      </c>
      <c r="B29" s="6" t="n">
        <v>2</v>
      </c>
      <c r="C29" s="6" t="n">
        <v>9</v>
      </c>
      <c r="D29" s="6" t="n">
        <v>4</v>
      </c>
      <c r="E29" s="6" t="n">
        <v>3</v>
      </c>
      <c r="F29" s="6" t="n">
        <v>2</v>
      </c>
      <c r="G29" s="6" t="n">
        <v>20</v>
      </c>
    </row>
    <row r="30">
      <c r="A30" s="16" t="inlineStr">
        <is>
          <t xml:space="preserve">   Membrane damage</t>
        </is>
      </c>
      <c r="C30" s="6" t="n">
        <v>2</v>
      </c>
      <c r="D30" s="6" t="n">
        <v>3</v>
      </c>
      <c r="E30" s="6" t="n">
        <v>2</v>
      </c>
      <c r="F30" s="6" t="n">
        <v>1</v>
      </c>
      <c r="G30" s="6" t="n">
        <v>8</v>
      </c>
    </row>
    <row r="31">
      <c r="A31" s="16" t="inlineStr">
        <is>
          <t xml:space="preserve">   Bowel damage / separation</t>
        </is>
      </c>
      <c r="B31" s="6" t="n">
        <v>2</v>
      </c>
      <c r="C31" s="6" t="n">
        <v>1</v>
      </c>
      <c r="D31" s="6" t="n">
        <v>1</v>
      </c>
      <c r="F31" s="6" t="n">
        <v>2</v>
      </c>
      <c r="G31" s="6" t="n">
        <v>6</v>
      </c>
    </row>
    <row r="32">
      <c r="A32" s="16" t="inlineStr">
        <is>
          <t xml:space="preserve">   Short block / mesentery length</t>
        </is>
      </c>
      <c r="C32" s="6" t="n">
        <v>1</v>
      </c>
      <c r="G32" s="6" t="n">
        <v>1</v>
      </c>
    </row>
    <row r="33">
      <c r="A33" s="16" t="inlineStr">
        <is>
          <t xml:space="preserve">   Other / unspecified</t>
        </is>
      </c>
      <c r="B33" s="6" t="n">
        <v>2</v>
      </c>
      <c r="E33" s="6" t="n">
        <v>1</v>
      </c>
      <c r="G33" s="6" t="n">
        <v>3</v>
      </c>
    </row>
    <row r="34">
      <c r="A34" s="12" t="inlineStr">
        <is>
          <t xml:space="preserve">   Total issues</t>
        </is>
      </c>
      <c r="B34" s="6" t="n">
        <f aca="false">IF(SUM(B29:B33)=0,"",SUM(B29:B33))</f>
      </c>
      <c r="C34" s="6" t="n">
        <f aca="false">IF(SUM(C29:C33)=0,"",SUM(C29:C33))</f>
      </c>
      <c r="D34" s="6" t="n">
        <f aca="false">IF(SUM(D29:D33)=0,"",SUM(D29:D33))</f>
      </c>
      <c r="E34" s="6" t="n">
        <f aca="false">IF(SUM(E29:E33)=0,"",SUM(E29:E33))</f>
      </c>
      <c r="F34" s="6" t="n">
        <f aca="false">IF(SUM(F29:F33)=0,"",SUM(F29:F33))</f>
      </c>
      <c r="G34" s="6" t="n">
        <f aca="false">SUM(G29:G33)</f>
      </c>
    </row>
    <row r="35"/>
    <row r="36" ht="18" customHeight="true">
      <c r="A36" s="3" t="inlineStr">
        <is>
          <t xml:space="preserve">PELVIC @ MARTINS — 666506 (non-intact)</t>
        </is>
      </c>
    </row>
    <row r="37">
      <c r="A37" s="11" t="inlineStr">
        <is>
          <t xml:space="preserve">Metric</t>
        </is>
      </c>
      <c r="B37" s="11" t="inlineStr">
        <is>
          <t xml:space="preserve">April</t>
        </is>
      </c>
      <c r="C37" s="11" t="inlineStr">
        <is>
          <t xml:space="preserve">May</t>
        </is>
      </c>
      <c r="D37" s="11" t="inlineStr">
        <is>
          <t xml:space="preserve">June</t>
        </is>
      </c>
      <c r="E37" s="11" t="inlineStr">
        <is>
          <t xml:space="preserve">July</t>
        </is>
      </c>
      <c r="F37" s="11" t="inlineStr">
        <is>
          <t xml:space="preserve">August</t>
        </is>
      </c>
      <c r="G37" s="11" t="inlineStr">
        <is>
          <t xml:space="preserve">Total</t>
        </is>
      </c>
    </row>
    <row r="38">
      <c r="A38" s="5" t="inlineStr">
        <is>
          <t xml:space="preserve"># Inspected</t>
        </is>
      </c>
      <c r="B38" s="6" t="n">
        <f aca="false">IF(SUMPRODUCT((LEFT('Slaughterhouse IQC'!$A$6:$A$64,7)="2026-04")*('Slaughterhouse IQC'!$B$6:$B$64="Martins")*('Slaughterhouse IQC'!$F$6:$F$64="666506")*'Slaughterhouse IQC'!$I$6:$I$64)=0,"",SUMPRODUCT((LEFT('Slaughterhouse IQC'!$A$6:$A$64,7)="2026-04")*('Slaughterhouse IQC'!$B$6:$B$64="Martins")*('Slaughterhouse IQC'!$F$6:$F$64="666506")*'Slaughterhouse IQC'!$I$6:$I$64))</f>
      </c>
      <c r="C38" s="6" t="n">
        <f aca="false">IF(SUMPRODUCT((LEFT('Slaughterhouse IQC'!$A$6:$A$64,7)="2026-05")*('Slaughterhouse IQC'!$B$6:$B$64="Martins")*('Slaughterhouse IQC'!$F$6:$F$64="666506")*'Slaughterhouse IQC'!$I$6:$I$64)=0,"",SUMPRODUCT((LEFT('Slaughterhouse IQC'!$A$6:$A$64,7)="2026-05")*('Slaughterhouse IQC'!$B$6:$B$64="Martins")*('Slaughterhouse IQC'!$F$6:$F$64="666506")*'Slaughterhouse IQC'!$I$6:$I$64))</f>
      </c>
      <c r="D38" s="6" t="n">
        <f aca="false">IF(SUMPRODUCT((LEFT('Slaughterhouse IQC'!$A$6:$A$64,7)="2026-06")*('Slaughterhouse IQC'!$B$6:$B$64="Martins")*('Slaughterhouse IQC'!$F$6:$F$64="666506")*'Slaughterhouse IQC'!$I$6:$I$64)=0,"",SUMPRODUCT((LEFT('Slaughterhouse IQC'!$A$6:$A$64,7)="2026-06")*('Slaughterhouse IQC'!$B$6:$B$64="Martins")*('Slaughterhouse IQC'!$F$6:$F$64="666506")*'Slaughterhouse IQC'!$I$6:$I$64))</f>
      </c>
      <c r="E38" s="6" t="n">
        <f aca="false">IF(SUMPRODUCT((LEFT('Slaughterhouse IQC'!$A$6:$A$64,7)="2026-07")*('Slaughterhouse IQC'!$B$6:$B$64="Martins")*('Slaughterhouse IQC'!$F$6:$F$64="666506")*'Slaughterhouse IQC'!$I$6:$I$64)=0,"",SUMPRODUCT((LEFT('Slaughterhouse IQC'!$A$6:$A$64,7)="2026-07")*('Slaughterhouse IQC'!$B$6:$B$64="Martins")*('Slaughterhouse IQC'!$F$6:$F$64="666506")*'Slaughterhouse IQC'!$I$6:$I$64))</f>
      </c>
      <c r="F38" s="6" t="n">
        <f aca="false">IF(SUMPRODUCT((LEFT('Slaughterhouse IQC'!$A$6:$A$64,7)="2026-08")*('Slaughterhouse IQC'!$B$6:$B$64="Martins")*('Slaughterhouse IQC'!$F$6:$F$64="666506")*'Slaughterhouse IQC'!$I$6:$I$64)=0,"",SUMPRODUCT((LEFT('Slaughterhouse IQC'!$A$6:$A$64,7)="2026-08")*('Slaughterhouse IQC'!$B$6:$B$64="Martins")*('Slaughterhouse IQC'!$F$6:$F$64="666506")*'Slaughterhouse IQC'!$I$6:$I$64))</f>
      </c>
      <c r="G38" s="6" t="n">
        <f aca="false">SUM(B38:F38)</f>
      </c>
    </row>
    <row r="39">
      <c r="A39" s="5" t="inlineStr">
        <is>
          <t xml:space="preserve"># Pass</t>
        </is>
      </c>
      <c r="B39" s="6" t="n">
        <f aca="false">IF(SUMPRODUCT((LEFT('Slaughterhouse IQC'!$A$6:$A$64,7)="2026-04")*('Slaughterhouse IQC'!$B$6:$B$64="Martins")*('Slaughterhouse IQC'!$F$6:$F$64="666506")*'Slaughterhouse IQC'!$I$6:$I$64)=0,"",SUMPRODUCT((LEFT('Slaughterhouse IQC'!$A$6:$A$64,7)="2026-04")*('Slaughterhouse IQC'!$B$6:$B$64="Martins")*('Slaughterhouse IQC'!$F$6:$F$64="666506")*'Slaughterhouse IQC'!$J$6:$J$64))</f>
      </c>
      <c r="C39" s="6" t="n">
        <f aca="false">IF(SUMPRODUCT((LEFT('Slaughterhouse IQC'!$A$6:$A$64,7)="2026-05")*('Slaughterhouse IQC'!$B$6:$B$64="Martins")*('Slaughterhouse IQC'!$F$6:$F$64="666506")*'Slaughterhouse IQC'!$I$6:$I$64)=0,"",SUMPRODUCT((LEFT('Slaughterhouse IQC'!$A$6:$A$64,7)="2026-05")*('Slaughterhouse IQC'!$B$6:$B$64="Martins")*('Slaughterhouse IQC'!$F$6:$F$64="666506")*'Slaughterhouse IQC'!$J$6:$J$64))</f>
      </c>
      <c r="D39" s="6" t="n">
        <f aca="false">IF(SUMPRODUCT((LEFT('Slaughterhouse IQC'!$A$6:$A$64,7)="2026-06")*('Slaughterhouse IQC'!$B$6:$B$64="Martins")*('Slaughterhouse IQC'!$F$6:$F$64="666506")*'Slaughterhouse IQC'!$I$6:$I$64)=0,"",SUMPRODUCT((LEFT('Slaughterhouse IQC'!$A$6:$A$64,7)="2026-06")*('Slaughterhouse IQC'!$B$6:$B$64="Martins")*('Slaughterhouse IQC'!$F$6:$F$64="666506")*'Slaughterhouse IQC'!$J$6:$J$64))</f>
      </c>
      <c r="E39" s="6" t="n">
        <f aca="false">IF(SUMPRODUCT((LEFT('Slaughterhouse IQC'!$A$6:$A$64,7)="2026-07")*('Slaughterhouse IQC'!$B$6:$B$64="Martins")*('Slaughterhouse IQC'!$F$6:$F$64="666506")*'Slaughterhouse IQC'!$I$6:$I$64)=0,"",SUMPRODUCT((LEFT('Slaughterhouse IQC'!$A$6:$A$64,7)="2026-07")*('Slaughterhouse IQC'!$B$6:$B$64="Martins")*('Slaughterhouse IQC'!$F$6:$F$64="666506")*'Slaughterhouse IQC'!$J$6:$J$64))</f>
      </c>
      <c r="F39" s="6" t="n">
        <f aca="false">IF(SUMPRODUCT((LEFT('Slaughterhouse IQC'!$A$6:$A$64,7)="2026-08")*('Slaughterhouse IQC'!$B$6:$B$64="Martins")*('Slaughterhouse IQC'!$F$6:$F$64="666506")*'Slaughterhouse IQC'!$I$6:$I$64)=0,"",SUMPRODUCT((LEFT('Slaughterhouse IQC'!$A$6:$A$64,7)="2026-08")*('Slaughterhouse IQC'!$B$6:$B$64="Martins")*('Slaughterhouse IQC'!$F$6:$F$64="666506")*'Slaughterhouse IQC'!$J$6:$J$64))</f>
      </c>
      <c r="G39" s="6" t="n">
        <f aca="false">SUM(B39:F39)</f>
      </c>
    </row>
    <row r="40">
      <c r="A40" s="5" t="inlineStr">
        <is>
          <t xml:space="preserve"># Fail</t>
        </is>
      </c>
      <c r="B40" s="6" t="n">
        <f aca="false">IF(SUMPRODUCT((LEFT('Slaughterhouse IQC'!$A$6:$A$64,7)="2026-04")*('Slaughterhouse IQC'!$B$6:$B$64="Martins")*('Slaughterhouse IQC'!$F$6:$F$64="666506")*'Slaughterhouse IQC'!$I$6:$I$64)=0,"",SUMPRODUCT((LEFT('Slaughterhouse IQC'!$A$6:$A$64,7)="2026-04")*('Slaughterhouse IQC'!$B$6:$B$64="Martins")*('Slaughterhouse IQC'!$F$6:$F$64="666506")*'Slaughterhouse IQC'!$K$6:$K$64))</f>
      </c>
      <c r="C40" s="6" t="n">
        <f aca="false">IF(SUMPRODUCT((LEFT('Slaughterhouse IQC'!$A$6:$A$64,7)="2026-05")*('Slaughterhouse IQC'!$B$6:$B$64="Martins")*('Slaughterhouse IQC'!$F$6:$F$64="666506")*'Slaughterhouse IQC'!$I$6:$I$64)=0,"",SUMPRODUCT((LEFT('Slaughterhouse IQC'!$A$6:$A$64,7)="2026-05")*('Slaughterhouse IQC'!$B$6:$B$64="Martins")*('Slaughterhouse IQC'!$F$6:$F$64="666506")*'Slaughterhouse IQC'!$K$6:$K$64))</f>
      </c>
      <c r="D40" s="6" t="n">
        <f aca="false">IF(SUMPRODUCT((LEFT('Slaughterhouse IQC'!$A$6:$A$64,7)="2026-06")*('Slaughterhouse IQC'!$B$6:$B$64="Martins")*('Slaughterhouse IQC'!$F$6:$F$64="666506")*'Slaughterhouse IQC'!$I$6:$I$64)=0,"",SUMPRODUCT((LEFT('Slaughterhouse IQC'!$A$6:$A$64,7)="2026-06")*('Slaughterhouse IQC'!$B$6:$B$64="Martins")*('Slaughterhouse IQC'!$F$6:$F$64="666506")*'Slaughterhouse IQC'!$K$6:$K$64))</f>
      </c>
      <c r="E40" s="6" t="n">
        <f aca="false">IF(SUMPRODUCT((LEFT('Slaughterhouse IQC'!$A$6:$A$64,7)="2026-07")*('Slaughterhouse IQC'!$B$6:$B$64="Martins")*('Slaughterhouse IQC'!$F$6:$F$64="666506")*'Slaughterhouse IQC'!$I$6:$I$64)=0,"",SUMPRODUCT((LEFT('Slaughterhouse IQC'!$A$6:$A$64,7)="2026-07")*('Slaughterhouse IQC'!$B$6:$B$64="Martins")*('Slaughterhouse IQC'!$F$6:$F$64="666506")*'Slaughterhouse IQC'!$K$6:$K$64))</f>
      </c>
      <c r="F40" s="6" t="n">
        <f aca="false">IF(SUMPRODUCT((LEFT('Slaughterhouse IQC'!$A$6:$A$64,7)="2026-08")*('Slaughterhouse IQC'!$B$6:$B$64="Martins")*('Slaughterhouse IQC'!$F$6:$F$64="666506")*'Slaughterhouse IQC'!$I$6:$I$64)=0,"",SUMPRODUCT((LEFT('Slaughterhouse IQC'!$A$6:$A$64,7)="2026-08")*('Slaughterhouse IQC'!$B$6:$B$64="Martins")*('Slaughterhouse IQC'!$F$6:$F$64="666506")*'Slaughterhouse IQC'!$K$6:$K$64))</f>
      </c>
      <c r="G40" s="6" t="n">
        <f aca="false">SUM(B40:F40)</f>
      </c>
    </row>
    <row r="41">
      <c r="A41" s="12" t="inlineStr">
        <is>
          <t xml:space="preserve">First-Pass Yield</t>
        </is>
      </c>
      <c r="B41" s="15" t="n">
        <f aca="false">IF(B38="","",IF(B38=0,"",B39/B38))</f>
      </c>
      <c r="C41" s="15" t="n">
        <f aca="false">IF(C38="","",IF(C38=0,"",C39/C38))</f>
      </c>
      <c r="D41" s="15" t="n">
        <f aca="false">IF(D38="","",IF(D38=0,"",D39/D38))</f>
      </c>
      <c r="E41" s="15" t="n">
        <f aca="false">IF(E38="","",IF(E38=0,"",E39/E38))</f>
      </c>
      <c r="F41" s="15" t="n">
        <f aca="false">IF(F38="","",IF(F38=0,"",F39/F38))</f>
      </c>
      <c r="G41" s="15" t="n">
        <f aca="false">IF(G38=0,"",G39/G38)</f>
      </c>
    </row>
    <row r="42" ht="15" customHeight="true">
      <c r="A42" s="19" t="inlineStr">
        <is>
          <t xml:space="preserve">Issues found (defect category counts)</t>
        </is>
      </c>
    </row>
    <row r="43">
      <c r="A43" s="16" t="inlineStr">
        <is>
          <t xml:space="preserve">   Urethra / bladder damage</t>
        </is>
      </c>
      <c r="C43" s="6" t="n">
        <v>4</v>
      </c>
      <c r="G43" s="6" t="n">
        <v>4</v>
      </c>
    </row>
    <row r="44">
      <c r="A44" s="16" t="inlineStr">
        <is>
          <t xml:space="preserve">   Membrane damage</t>
        </is>
      </c>
      <c r="C44" s="6" t="n">
        <v>1</v>
      </c>
      <c r="E44" s="6" t="n">
        <v>2</v>
      </c>
      <c r="G44" s="6" t="n">
        <v>3</v>
      </c>
    </row>
    <row r="45">
      <c r="A45" s="16" t="inlineStr">
        <is>
          <t xml:space="preserve">   Bowel damage / separation</t>
        </is>
      </c>
      <c r="B45" s="6" t="n">
        <v>2</v>
      </c>
      <c r="G45" s="6" t="n">
        <v>2</v>
      </c>
    </row>
    <row r="46">
      <c r="A46" s="16" t="inlineStr">
        <is>
          <t xml:space="preserve">   Short block / mesentery length</t>
        </is>
      </c>
      <c r="D46" s="6" t="n">
        <v>1</v>
      </c>
      <c r="G46" s="6" t="n">
        <v>1</v>
      </c>
    </row>
    <row r="47">
      <c r="A47" s="16" t="inlineStr">
        <is>
          <t xml:space="preserve">   Other / unspecified</t>
        </is>
      </c>
      <c r="B47" s="6" t="n">
        <v>2</v>
      </c>
      <c r="C47" s="6" t="n">
        <v>1</v>
      </c>
      <c r="G47" s="6" t="n">
        <v>3</v>
      </c>
    </row>
    <row r="48">
      <c r="A48" s="12" t="inlineStr">
        <is>
          <t xml:space="preserve">   Total issues</t>
        </is>
      </c>
      <c r="B48" s="6" t="n">
        <f aca="false">IF(SUM(B43:B47)=0,"",SUM(B43:B47))</f>
      </c>
      <c r="C48" s="6" t="n">
        <f aca="false">IF(SUM(C43:C47)=0,"",SUM(C43:C47))</f>
      </c>
      <c r="D48" s="6" t="n">
        <f aca="false">IF(SUM(D43:D47)=0,"",SUM(D43:D47))</f>
      </c>
      <c r="E48" s="6" t="n">
        <f aca="false">IF(SUM(E43:E47)=0,"",SUM(E43:E47))</f>
      </c>
      <c r="F48" s="6" t="n">
        <f aca="false">IF(SUM(F43:F47)=0,"",SUM(F43:F47))</f>
      </c>
      <c r="G48" s="6" t="n">
        <f aca="false">SUM(G43:G47)</f>
      </c>
    </row>
    <row r="49"/>
    <row r="50" ht="18" customHeight="true">
      <c r="A50" s="3" t="inlineStr">
        <is>
          <t xml:space="preserve">PELVIC @ PARKS — 666518 (intact, SM)</t>
        </is>
      </c>
    </row>
    <row r="51">
      <c r="A51" s="11" t="inlineStr">
        <is>
          <t xml:space="preserve">Metric</t>
        </is>
      </c>
      <c r="B51" s="11" t="inlineStr">
        <is>
          <t xml:space="preserve">April</t>
        </is>
      </c>
      <c r="C51" s="11" t="inlineStr">
        <is>
          <t xml:space="preserve">May</t>
        </is>
      </c>
      <c r="D51" s="11" t="inlineStr">
        <is>
          <t xml:space="preserve">June</t>
        </is>
      </c>
      <c r="E51" s="11" t="inlineStr">
        <is>
          <t xml:space="preserve">July</t>
        </is>
      </c>
      <c r="F51" s="11" t="inlineStr">
        <is>
          <t xml:space="preserve">August</t>
        </is>
      </c>
      <c r="G51" s="11" t="inlineStr">
        <is>
          <t xml:space="preserve">Total</t>
        </is>
      </c>
    </row>
    <row r="52">
      <c r="A52" s="5" t="inlineStr">
        <is>
          <t xml:space="preserve"># Inspected</t>
        </is>
      </c>
      <c r="B52" s="6" t="n">
        <f aca="false">IF(SUMPRODUCT((LEFT('Slaughterhouse IQC'!$A$6:$A$64,7)="2026-04")*('Slaughterhouse IQC'!$B$6:$B$64="Parks Family Meats")*('Slaughterhouse IQC'!$F$6:$F$64="666518")*'Slaughterhouse IQC'!$I$6:$I$64)=0,"",SUMPRODUCT((LEFT('Slaughterhouse IQC'!$A$6:$A$64,7)="2026-04")*('Slaughterhouse IQC'!$B$6:$B$64="Parks Family Meats")*('Slaughterhouse IQC'!$F$6:$F$64="666518")*'Slaughterhouse IQC'!$I$6:$I$64))</f>
      </c>
      <c r="C52" s="6" t="n">
        <f aca="false">IF(SUMPRODUCT((LEFT('Slaughterhouse IQC'!$A$6:$A$64,7)="2026-05")*('Slaughterhouse IQC'!$B$6:$B$64="Parks Family Meats")*('Slaughterhouse IQC'!$F$6:$F$64="666518")*'Slaughterhouse IQC'!$I$6:$I$64)=0,"",SUMPRODUCT((LEFT('Slaughterhouse IQC'!$A$6:$A$64,7)="2026-05")*('Slaughterhouse IQC'!$B$6:$B$64="Parks Family Meats")*('Slaughterhouse IQC'!$F$6:$F$64="666518")*'Slaughterhouse IQC'!$I$6:$I$64))</f>
      </c>
      <c r="D52" s="6" t="n">
        <f aca="false">IF(SUMPRODUCT((LEFT('Slaughterhouse IQC'!$A$6:$A$64,7)="2026-06")*('Slaughterhouse IQC'!$B$6:$B$64="Parks Family Meats")*('Slaughterhouse IQC'!$F$6:$F$64="666518")*'Slaughterhouse IQC'!$I$6:$I$64)=0,"",SUMPRODUCT((LEFT('Slaughterhouse IQC'!$A$6:$A$64,7)="2026-06")*('Slaughterhouse IQC'!$B$6:$B$64="Parks Family Meats")*('Slaughterhouse IQC'!$F$6:$F$64="666518")*'Slaughterhouse IQC'!$I$6:$I$64))</f>
      </c>
      <c r="E52" s="6" t="n">
        <f aca="false">IF(SUMPRODUCT((LEFT('Slaughterhouse IQC'!$A$6:$A$64,7)="2026-07")*('Slaughterhouse IQC'!$B$6:$B$64="Parks Family Meats")*('Slaughterhouse IQC'!$F$6:$F$64="666518")*'Slaughterhouse IQC'!$I$6:$I$64)=0,"",SUMPRODUCT((LEFT('Slaughterhouse IQC'!$A$6:$A$64,7)="2026-07")*('Slaughterhouse IQC'!$B$6:$B$64="Parks Family Meats")*('Slaughterhouse IQC'!$F$6:$F$64="666518")*'Slaughterhouse IQC'!$I$6:$I$64))</f>
      </c>
      <c r="F52" s="6" t="n">
        <f aca="false">IF(SUMPRODUCT((LEFT('Slaughterhouse IQC'!$A$6:$A$64,7)="2026-08")*('Slaughterhouse IQC'!$B$6:$B$64="Parks Family Meats")*('Slaughterhouse IQC'!$F$6:$F$64="666518")*'Slaughterhouse IQC'!$I$6:$I$64)=0,"",SUMPRODUCT((LEFT('Slaughterhouse IQC'!$A$6:$A$64,7)="2026-08")*('Slaughterhouse IQC'!$B$6:$B$64="Parks Family Meats")*('Slaughterhouse IQC'!$F$6:$F$64="666518")*'Slaughterhouse IQC'!$I$6:$I$64))</f>
      </c>
      <c r="G52" s="6" t="n">
        <f aca="false">SUM(B52:F52)</f>
      </c>
    </row>
    <row r="53">
      <c r="A53" s="5" t="inlineStr">
        <is>
          <t xml:space="preserve"># Pass</t>
        </is>
      </c>
      <c r="B53" s="6" t="n">
        <f aca="false">IF(SUMPRODUCT((LEFT('Slaughterhouse IQC'!$A$6:$A$64,7)="2026-04")*('Slaughterhouse IQC'!$B$6:$B$64="Parks Family Meats")*('Slaughterhouse IQC'!$F$6:$F$64="666518")*'Slaughterhouse IQC'!$I$6:$I$64)=0,"",SUMPRODUCT((LEFT('Slaughterhouse IQC'!$A$6:$A$64,7)="2026-04")*('Slaughterhouse IQC'!$B$6:$B$64="Parks Family Meats")*('Slaughterhouse IQC'!$F$6:$F$64="666518")*'Slaughterhouse IQC'!$J$6:$J$64))</f>
      </c>
      <c r="C53" s="6" t="n">
        <f aca="false">IF(SUMPRODUCT((LEFT('Slaughterhouse IQC'!$A$6:$A$64,7)="2026-05")*('Slaughterhouse IQC'!$B$6:$B$64="Parks Family Meats")*('Slaughterhouse IQC'!$F$6:$F$64="666518")*'Slaughterhouse IQC'!$I$6:$I$64)=0,"",SUMPRODUCT((LEFT('Slaughterhouse IQC'!$A$6:$A$64,7)="2026-05")*('Slaughterhouse IQC'!$B$6:$B$64="Parks Family Meats")*('Slaughterhouse IQC'!$F$6:$F$64="666518")*'Slaughterhouse IQC'!$J$6:$J$64))</f>
      </c>
      <c r="D53" s="6" t="n">
        <f aca="false">IF(SUMPRODUCT((LEFT('Slaughterhouse IQC'!$A$6:$A$64,7)="2026-06")*('Slaughterhouse IQC'!$B$6:$B$64="Parks Family Meats")*('Slaughterhouse IQC'!$F$6:$F$64="666518")*'Slaughterhouse IQC'!$I$6:$I$64)=0,"",SUMPRODUCT((LEFT('Slaughterhouse IQC'!$A$6:$A$64,7)="2026-06")*('Slaughterhouse IQC'!$B$6:$B$64="Parks Family Meats")*('Slaughterhouse IQC'!$F$6:$F$64="666518")*'Slaughterhouse IQC'!$J$6:$J$64))</f>
      </c>
      <c r="E53" s="6" t="n">
        <f aca="false">IF(SUMPRODUCT((LEFT('Slaughterhouse IQC'!$A$6:$A$64,7)="2026-07")*('Slaughterhouse IQC'!$B$6:$B$64="Parks Family Meats")*('Slaughterhouse IQC'!$F$6:$F$64="666518")*'Slaughterhouse IQC'!$I$6:$I$64)=0,"",SUMPRODUCT((LEFT('Slaughterhouse IQC'!$A$6:$A$64,7)="2026-07")*('Slaughterhouse IQC'!$B$6:$B$64="Parks Family Meats")*('Slaughterhouse IQC'!$F$6:$F$64="666518")*'Slaughterhouse IQC'!$J$6:$J$64))</f>
      </c>
      <c r="F53" s="6" t="n">
        <f aca="false">IF(SUMPRODUCT((LEFT('Slaughterhouse IQC'!$A$6:$A$64,7)="2026-08")*('Slaughterhouse IQC'!$B$6:$B$64="Parks Family Meats")*('Slaughterhouse IQC'!$F$6:$F$64="666518")*'Slaughterhouse IQC'!$I$6:$I$64)=0,"",SUMPRODUCT((LEFT('Slaughterhouse IQC'!$A$6:$A$64,7)="2026-08")*('Slaughterhouse IQC'!$B$6:$B$64="Parks Family Meats")*('Slaughterhouse IQC'!$F$6:$F$64="666518")*'Slaughterhouse IQC'!$J$6:$J$64))</f>
      </c>
      <c r="G53" s="6" t="n">
        <f aca="false">SUM(B53:F53)</f>
      </c>
    </row>
    <row r="54">
      <c r="A54" s="5" t="inlineStr">
        <is>
          <t xml:space="preserve"># Fail</t>
        </is>
      </c>
      <c r="B54" s="6" t="n">
        <f aca="false">IF(SUMPRODUCT((LEFT('Slaughterhouse IQC'!$A$6:$A$64,7)="2026-04")*('Slaughterhouse IQC'!$B$6:$B$64="Parks Family Meats")*('Slaughterhouse IQC'!$F$6:$F$64="666518")*'Slaughterhouse IQC'!$I$6:$I$64)=0,"",SUMPRODUCT((LEFT('Slaughterhouse IQC'!$A$6:$A$64,7)="2026-04")*('Slaughterhouse IQC'!$B$6:$B$64="Parks Family Meats")*('Slaughterhouse IQC'!$F$6:$F$64="666518")*'Slaughterhouse IQC'!$K$6:$K$64))</f>
      </c>
      <c r="C54" s="6" t="n">
        <f aca="false">IF(SUMPRODUCT((LEFT('Slaughterhouse IQC'!$A$6:$A$64,7)="2026-05")*('Slaughterhouse IQC'!$B$6:$B$64="Parks Family Meats")*('Slaughterhouse IQC'!$F$6:$F$64="666518")*'Slaughterhouse IQC'!$I$6:$I$64)=0,"",SUMPRODUCT((LEFT('Slaughterhouse IQC'!$A$6:$A$64,7)="2026-05")*('Slaughterhouse IQC'!$B$6:$B$64="Parks Family Meats")*('Slaughterhouse IQC'!$F$6:$F$64="666518")*'Slaughterhouse IQC'!$K$6:$K$64))</f>
      </c>
      <c r="D54" s="6" t="n">
        <f aca="false">IF(SUMPRODUCT((LEFT('Slaughterhouse IQC'!$A$6:$A$64,7)="2026-06")*('Slaughterhouse IQC'!$B$6:$B$64="Parks Family Meats")*('Slaughterhouse IQC'!$F$6:$F$64="666518")*'Slaughterhouse IQC'!$I$6:$I$64)=0,"",SUMPRODUCT((LEFT('Slaughterhouse IQC'!$A$6:$A$64,7)="2026-06")*('Slaughterhouse IQC'!$B$6:$B$64="Parks Family Meats")*('Slaughterhouse IQC'!$F$6:$F$64="666518")*'Slaughterhouse IQC'!$K$6:$K$64))</f>
      </c>
      <c r="E54" s="6" t="n">
        <f aca="false">IF(SUMPRODUCT((LEFT('Slaughterhouse IQC'!$A$6:$A$64,7)="2026-07")*('Slaughterhouse IQC'!$B$6:$B$64="Parks Family Meats")*('Slaughterhouse IQC'!$F$6:$F$64="666518")*'Slaughterhouse IQC'!$I$6:$I$64)=0,"",SUMPRODUCT((LEFT('Slaughterhouse IQC'!$A$6:$A$64,7)="2026-07")*('Slaughterhouse IQC'!$B$6:$B$64="Parks Family Meats")*('Slaughterhouse IQC'!$F$6:$F$64="666518")*'Slaughterhouse IQC'!$K$6:$K$64))</f>
      </c>
      <c r="F54" s="6" t="n">
        <f aca="false">IF(SUMPRODUCT((LEFT('Slaughterhouse IQC'!$A$6:$A$64,7)="2026-08")*('Slaughterhouse IQC'!$B$6:$B$64="Parks Family Meats")*('Slaughterhouse IQC'!$F$6:$F$64="666518")*'Slaughterhouse IQC'!$I$6:$I$64)=0,"",SUMPRODUCT((LEFT('Slaughterhouse IQC'!$A$6:$A$64,7)="2026-08")*('Slaughterhouse IQC'!$B$6:$B$64="Parks Family Meats")*('Slaughterhouse IQC'!$F$6:$F$64="666518")*'Slaughterhouse IQC'!$K$6:$K$64))</f>
      </c>
      <c r="G54" s="6" t="n">
        <f aca="false">SUM(B54:F54)</f>
      </c>
    </row>
    <row r="55">
      <c r="A55" s="12" t="inlineStr">
        <is>
          <t xml:space="preserve">First-Pass Yield</t>
        </is>
      </c>
      <c r="B55" s="15" t="n">
        <f aca="false">IF(B52="","",IF(B52=0,"",B53/B52))</f>
      </c>
      <c r="C55" s="15" t="n">
        <f aca="false">IF(C52="","",IF(C52=0,"",C53/C52))</f>
      </c>
      <c r="D55" s="15" t="n">
        <f aca="false">IF(D52="","",IF(D52=0,"",D53/D52))</f>
      </c>
      <c r="E55" s="15" t="n">
        <f aca="false">IF(E52="","",IF(E52=0,"",E53/E52))</f>
      </c>
      <c r="F55" s="15" t="n">
        <f aca="false">IF(F52="","",IF(F52=0,"",F53/F52))</f>
      </c>
      <c r="G55" s="15" t="n">
        <f aca="false">IF(G52=0,"",G53/G52)</f>
      </c>
    </row>
    <row r="56" ht="15" customHeight="true">
      <c r="A56" s="19" t="inlineStr">
        <is>
          <t xml:space="preserve">Issues found (defect category counts)</t>
        </is>
      </c>
    </row>
    <row r="57">
      <c r="A57" s="16" t="inlineStr">
        <is>
          <t xml:space="preserve">   Urethra / bladder damage</t>
        </is>
      </c>
      <c r="C57" s="6" t="n">
        <v>1</v>
      </c>
      <c r="D57" s="6" t="n">
        <v>10</v>
      </c>
      <c r="G57" s="6" t="n">
        <v>11</v>
      </c>
    </row>
    <row r="58">
      <c r="A58" s="16" t="inlineStr">
        <is>
          <t xml:space="preserve">   Bowel damage / separation</t>
        </is>
      </c>
      <c r="D58" s="6" t="n">
        <v>2</v>
      </c>
      <c r="E58" s="6" t="n">
        <v>3</v>
      </c>
      <c r="G58" s="6" t="n">
        <v>5</v>
      </c>
    </row>
    <row r="59">
      <c r="A59" s="16" t="inlineStr">
        <is>
          <t xml:space="preserve">   Short block / mesentery length</t>
        </is>
      </c>
      <c r="C59" s="6" t="n">
        <v>4</v>
      </c>
      <c r="D59" s="6" t="n">
        <v>5</v>
      </c>
      <c r="E59" s="6" t="n">
        <v>6</v>
      </c>
      <c r="G59" s="6" t="n">
        <v>15</v>
      </c>
    </row>
    <row r="60">
      <c r="A60" s="16" t="inlineStr">
        <is>
          <t xml:space="preserve">   Critical-area laceration</t>
        </is>
      </c>
      <c r="D60" s="6" t="n">
        <v>3</v>
      </c>
      <c r="E60" s="6" t="n">
        <v>3</v>
      </c>
      <c r="G60" s="6" t="n">
        <v>6</v>
      </c>
    </row>
    <row r="61">
      <c r="A61" s="16" t="inlineStr">
        <is>
          <t xml:space="preserve">   Ureter damage</t>
        </is>
      </c>
      <c r="D61" s="6" t="n">
        <v>2</v>
      </c>
      <c r="E61" s="6" t="n">
        <v>1</v>
      </c>
      <c r="G61" s="6" t="n">
        <v>3</v>
      </c>
    </row>
    <row r="62">
      <c r="A62" s="12" t="inlineStr">
        <is>
          <t xml:space="preserve">   Total issues</t>
        </is>
      </c>
      <c r="B62" s="6" t="n">
        <f aca="false">IF(SUM(B57:B61)=0,"",SUM(B57:B61))</f>
      </c>
      <c r="C62" s="6" t="n">
        <f aca="false">IF(SUM(C57:C61)=0,"",SUM(C57:C61))</f>
      </c>
      <c r="D62" s="6" t="n">
        <f aca="false">IF(SUM(D57:D61)=0,"",SUM(D57:D61))</f>
      </c>
      <c r="E62" s="6" t="n">
        <f aca="false">IF(SUM(E57:E61)=0,"",SUM(E57:E61))</f>
      </c>
      <c r="F62" s="6" t="n">
        <f aca="false">IF(SUM(F57:F61)=0,"",SUM(F57:F61))</f>
      </c>
      <c r="G62" s="6" t="n">
        <f aca="false">SUM(G57:G61)</f>
      </c>
    </row>
    <row r="63"/>
    <row r="64" ht="18" customHeight="true">
      <c r="A64" s="3" t="inlineStr">
        <is>
          <t xml:space="preserve">PELVIC @ PARKS — 666541 (intact — spec transition, from 08/10)</t>
        </is>
      </c>
    </row>
    <row r="65">
      <c r="A65" s="11" t="inlineStr">
        <is>
          <t xml:space="preserve">Metric</t>
        </is>
      </c>
      <c r="B65" s="11" t="inlineStr">
        <is>
          <t xml:space="preserve">April</t>
        </is>
      </c>
      <c r="C65" s="11" t="inlineStr">
        <is>
          <t xml:space="preserve">May</t>
        </is>
      </c>
      <c r="D65" s="11" t="inlineStr">
        <is>
          <t xml:space="preserve">June</t>
        </is>
      </c>
      <c r="E65" s="11" t="inlineStr">
        <is>
          <t xml:space="preserve">July</t>
        </is>
      </c>
      <c r="F65" s="11" t="inlineStr">
        <is>
          <t xml:space="preserve">August</t>
        </is>
      </c>
      <c r="G65" s="11" t="inlineStr">
        <is>
          <t xml:space="preserve">Total</t>
        </is>
      </c>
    </row>
    <row r="66">
      <c r="A66" s="5" t="inlineStr">
        <is>
          <t xml:space="preserve"># Inspected</t>
        </is>
      </c>
      <c r="B66" s="6" t="n">
        <f aca="false">IF(SUMPRODUCT((LEFT('Slaughterhouse IQC'!$A$6:$A$64,7)="2026-04")*('Slaughterhouse IQC'!$B$6:$B$64="Parks Family Meats")*('Slaughterhouse IQC'!$F$6:$F$64="666541")*'Slaughterhouse IQC'!$I$6:$I$64)=0,"",SUMPRODUCT((LEFT('Slaughterhouse IQC'!$A$6:$A$64,7)="2026-04")*('Slaughterhouse IQC'!$B$6:$B$64="Parks Family Meats")*('Slaughterhouse IQC'!$F$6:$F$64="666541")*'Slaughterhouse IQC'!$I$6:$I$64))</f>
      </c>
      <c r="C66" s="6" t="n">
        <f aca="false">IF(SUMPRODUCT((LEFT('Slaughterhouse IQC'!$A$6:$A$64,7)="2026-05")*('Slaughterhouse IQC'!$B$6:$B$64="Parks Family Meats")*('Slaughterhouse IQC'!$F$6:$F$64="666541")*'Slaughterhouse IQC'!$I$6:$I$64)=0,"",SUMPRODUCT((LEFT('Slaughterhouse IQC'!$A$6:$A$64,7)="2026-05")*('Slaughterhouse IQC'!$B$6:$B$64="Parks Family Meats")*('Slaughterhouse IQC'!$F$6:$F$64="666541")*'Slaughterhouse IQC'!$I$6:$I$64))</f>
      </c>
      <c r="D66" s="6" t="n">
        <f aca="false">IF(SUMPRODUCT((LEFT('Slaughterhouse IQC'!$A$6:$A$64,7)="2026-06")*('Slaughterhouse IQC'!$B$6:$B$64="Parks Family Meats")*('Slaughterhouse IQC'!$F$6:$F$64="666541")*'Slaughterhouse IQC'!$I$6:$I$64)=0,"",SUMPRODUCT((LEFT('Slaughterhouse IQC'!$A$6:$A$64,7)="2026-06")*('Slaughterhouse IQC'!$B$6:$B$64="Parks Family Meats")*('Slaughterhouse IQC'!$F$6:$F$64="666541")*'Slaughterhouse IQC'!$I$6:$I$64))</f>
      </c>
      <c r="E66" s="6" t="n">
        <f aca="false">IF(SUMPRODUCT((LEFT('Slaughterhouse IQC'!$A$6:$A$64,7)="2026-07")*('Slaughterhouse IQC'!$B$6:$B$64="Parks Family Meats")*('Slaughterhouse IQC'!$F$6:$F$64="666541")*'Slaughterhouse IQC'!$I$6:$I$64)=0,"",SUMPRODUCT((LEFT('Slaughterhouse IQC'!$A$6:$A$64,7)="2026-07")*('Slaughterhouse IQC'!$B$6:$B$64="Parks Family Meats")*('Slaughterhouse IQC'!$F$6:$F$64="666541")*'Slaughterhouse IQC'!$I$6:$I$64))</f>
      </c>
      <c r="F66" s="6" t="n">
        <f aca="false">IF(SUMPRODUCT((LEFT('Slaughterhouse IQC'!$A$6:$A$64,7)="2026-08")*('Slaughterhouse IQC'!$B$6:$B$64="Parks Family Meats")*('Slaughterhouse IQC'!$F$6:$F$64="666541")*'Slaughterhouse IQC'!$I$6:$I$64)=0,"",SUMPRODUCT((LEFT('Slaughterhouse IQC'!$A$6:$A$64,7)="2026-08")*('Slaughterhouse IQC'!$B$6:$B$64="Parks Family Meats")*('Slaughterhouse IQC'!$F$6:$F$64="666541")*'Slaughterhouse IQC'!$I$6:$I$64))</f>
      </c>
      <c r="G66" s="6" t="n">
        <f aca="false">SUM(B66:F66)</f>
      </c>
    </row>
    <row r="67">
      <c r="A67" s="5" t="inlineStr">
        <is>
          <t xml:space="preserve"># Pass</t>
        </is>
      </c>
      <c r="B67" s="6" t="n">
        <f aca="false">IF(SUMPRODUCT((LEFT('Slaughterhouse IQC'!$A$6:$A$64,7)="2026-04")*('Slaughterhouse IQC'!$B$6:$B$64="Parks Family Meats")*('Slaughterhouse IQC'!$F$6:$F$64="666541")*'Slaughterhouse IQC'!$I$6:$I$64)=0,"",SUMPRODUCT((LEFT('Slaughterhouse IQC'!$A$6:$A$64,7)="2026-04")*('Slaughterhouse IQC'!$B$6:$B$64="Parks Family Meats")*('Slaughterhouse IQC'!$F$6:$F$64="666541")*'Slaughterhouse IQC'!$J$6:$J$64))</f>
      </c>
      <c r="C67" s="6" t="n">
        <f aca="false">IF(SUMPRODUCT((LEFT('Slaughterhouse IQC'!$A$6:$A$64,7)="2026-05")*('Slaughterhouse IQC'!$B$6:$B$64="Parks Family Meats")*('Slaughterhouse IQC'!$F$6:$F$64="666541")*'Slaughterhouse IQC'!$I$6:$I$64)=0,"",SUMPRODUCT((LEFT('Slaughterhouse IQC'!$A$6:$A$64,7)="2026-05")*('Slaughterhouse IQC'!$B$6:$B$64="Parks Family Meats")*('Slaughterhouse IQC'!$F$6:$F$64="666541")*'Slaughterhouse IQC'!$J$6:$J$64))</f>
      </c>
      <c r="D67" s="6" t="n">
        <f aca="false">IF(SUMPRODUCT((LEFT('Slaughterhouse IQC'!$A$6:$A$64,7)="2026-06")*('Slaughterhouse IQC'!$B$6:$B$64="Parks Family Meats")*('Slaughterhouse IQC'!$F$6:$F$64="666541")*'Slaughterhouse IQC'!$I$6:$I$64)=0,"",SUMPRODUCT((LEFT('Slaughterhouse IQC'!$A$6:$A$64,7)="2026-06")*('Slaughterhouse IQC'!$B$6:$B$64="Parks Family Meats")*('Slaughterhouse IQC'!$F$6:$F$64="666541")*'Slaughterhouse IQC'!$J$6:$J$64))</f>
      </c>
      <c r="E67" s="6" t="n">
        <f aca="false">IF(SUMPRODUCT((LEFT('Slaughterhouse IQC'!$A$6:$A$64,7)="2026-07")*('Slaughterhouse IQC'!$B$6:$B$64="Parks Family Meats")*('Slaughterhouse IQC'!$F$6:$F$64="666541")*'Slaughterhouse IQC'!$I$6:$I$64)=0,"",SUMPRODUCT((LEFT('Slaughterhouse IQC'!$A$6:$A$64,7)="2026-07")*('Slaughterhouse IQC'!$B$6:$B$64="Parks Family Meats")*('Slaughterhouse IQC'!$F$6:$F$64="666541")*'Slaughterhouse IQC'!$J$6:$J$64))</f>
      </c>
      <c r="F67" s="6" t="n">
        <f aca="false">IF(SUMPRODUCT((LEFT('Slaughterhouse IQC'!$A$6:$A$64,7)="2026-08")*('Slaughterhouse IQC'!$B$6:$B$64="Parks Family Meats")*('Slaughterhouse IQC'!$F$6:$F$64="666541")*'Slaughterhouse IQC'!$I$6:$I$64)=0,"",SUMPRODUCT((LEFT('Slaughterhouse IQC'!$A$6:$A$64,7)="2026-08")*('Slaughterhouse IQC'!$B$6:$B$64="Parks Family Meats")*('Slaughterhouse IQC'!$F$6:$F$64="666541")*'Slaughterhouse IQC'!$J$6:$J$64))</f>
      </c>
      <c r="G67" s="6" t="n">
        <f aca="false">SUM(B67:F67)</f>
      </c>
    </row>
    <row r="68">
      <c r="A68" s="5" t="inlineStr">
        <is>
          <t xml:space="preserve"># Fail</t>
        </is>
      </c>
      <c r="B68" s="6" t="n">
        <f aca="false">IF(SUMPRODUCT((LEFT('Slaughterhouse IQC'!$A$6:$A$64,7)="2026-04")*('Slaughterhouse IQC'!$B$6:$B$64="Parks Family Meats")*('Slaughterhouse IQC'!$F$6:$F$64="666541")*'Slaughterhouse IQC'!$I$6:$I$64)=0,"",SUMPRODUCT((LEFT('Slaughterhouse IQC'!$A$6:$A$64,7)="2026-04")*('Slaughterhouse IQC'!$B$6:$B$64="Parks Family Meats")*('Slaughterhouse IQC'!$F$6:$F$64="666541")*'Slaughterhouse IQC'!$K$6:$K$64))</f>
      </c>
      <c r="C68" s="6" t="n">
        <f aca="false">IF(SUMPRODUCT((LEFT('Slaughterhouse IQC'!$A$6:$A$64,7)="2026-05")*('Slaughterhouse IQC'!$B$6:$B$64="Parks Family Meats")*('Slaughterhouse IQC'!$F$6:$F$64="666541")*'Slaughterhouse IQC'!$I$6:$I$64)=0,"",SUMPRODUCT((LEFT('Slaughterhouse IQC'!$A$6:$A$64,7)="2026-05")*('Slaughterhouse IQC'!$B$6:$B$64="Parks Family Meats")*('Slaughterhouse IQC'!$F$6:$F$64="666541")*'Slaughterhouse IQC'!$K$6:$K$64))</f>
      </c>
      <c r="D68" s="6" t="n">
        <f aca="false">IF(SUMPRODUCT((LEFT('Slaughterhouse IQC'!$A$6:$A$64,7)="2026-06")*('Slaughterhouse IQC'!$B$6:$B$64="Parks Family Meats")*('Slaughterhouse IQC'!$F$6:$F$64="666541")*'Slaughterhouse IQC'!$I$6:$I$64)=0,"",SUMPRODUCT((LEFT('Slaughterhouse IQC'!$A$6:$A$64,7)="2026-06")*('Slaughterhouse IQC'!$B$6:$B$64="Parks Family Meats")*('Slaughterhouse IQC'!$F$6:$F$64="666541")*'Slaughterhouse IQC'!$K$6:$K$64))</f>
      </c>
      <c r="E68" s="6" t="n">
        <f aca="false">IF(SUMPRODUCT((LEFT('Slaughterhouse IQC'!$A$6:$A$64,7)="2026-07")*('Slaughterhouse IQC'!$B$6:$B$64="Parks Family Meats")*('Slaughterhouse IQC'!$F$6:$F$64="666541")*'Slaughterhouse IQC'!$I$6:$I$64)=0,"",SUMPRODUCT((LEFT('Slaughterhouse IQC'!$A$6:$A$64,7)="2026-07")*('Slaughterhouse IQC'!$B$6:$B$64="Parks Family Meats")*('Slaughterhouse IQC'!$F$6:$F$64="666541")*'Slaughterhouse IQC'!$K$6:$K$64))</f>
      </c>
      <c r="F68" s="6" t="n">
        <f aca="false">IF(SUMPRODUCT((LEFT('Slaughterhouse IQC'!$A$6:$A$64,7)="2026-08")*('Slaughterhouse IQC'!$B$6:$B$64="Parks Family Meats")*('Slaughterhouse IQC'!$F$6:$F$64="666541")*'Slaughterhouse IQC'!$I$6:$I$64)=0,"",SUMPRODUCT((LEFT('Slaughterhouse IQC'!$A$6:$A$64,7)="2026-08")*('Slaughterhouse IQC'!$B$6:$B$64="Parks Family Meats")*('Slaughterhouse IQC'!$F$6:$F$64="666541")*'Slaughterhouse IQC'!$K$6:$K$64))</f>
      </c>
      <c r="G68" s="6" t="n">
        <f aca="false">SUM(B68:F68)</f>
      </c>
    </row>
    <row r="69">
      <c r="A69" s="12" t="inlineStr">
        <is>
          <t xml:space="preserve">First-Pass Yield</t>
        </is>
      </c>
      <c r="B69" s="15" t="n">
        <f aca="false">IF(B66="","",IF(B66=0,"",B67/B66))</f>
      </c>
      <c r="C69" s="15" t="n">
        <f aca="false">IF(C66="","",IF(C66=0,"",C67/C66))</f>
      </c>
      <c r="D69" s="15" t="n">
        <f aca="false">IF(D66="","",IF(D66=0,"",D67/D66))</f>
      </c>
      <c r="E69" s="15" t="n">
        <f aca="false">IF(E66="","",IF(E66=0,"",E67/E66))</f>
      </c>
      <c r="F69" s="15" t="n">
        <f aca="false">IF(F66="","",IF(F66=0,"",F67/F66))</f>
      </c>
      <c r="G69" s="15" t="n">
        <f aca="false">IF(G66=0,"",G67/G66)</f>
      </c>
    </row>
    <row r="70" ht="15" customHeight="true">
      <c r="A70" s="19" t="inlineStr">
        <is>
          <t xml:space="preserve">Issues found (defect category counts)</t>
        </is>
      </c>
    </row>
    <row r="71">
      <c r="A71" s="16" t="inlineStr">
        <is>
          <t xml:space="preserve">   Bowel damage / separation</t>
        </is>
      </c>
      <c r="F71" s="6" t="n">
        <v>1</v>
      </c>
      <c r="G71" s="6" t="n">
        <v>1</v>
      </c>
    </row>
    <row r="72">
      <c r="A72" s="12" t="inlineStr">
        <is>
          <t xml:space="preserve">   Total issues</t>
        </is>
      </c>
      <c r="B72" s="6" t="n">
        <f aca="false">IF(SUM(B71:B71)=0,"",SUM(B71:B71))</f>
      </c>
      <c r="C72" s="6" t="n">
        <f aca="false">IF(SUM(C71:C71)=0,"",SUM(C71:C71))</f>
      </c>
      <c r="D72" s="6" t="n">
        <f aca="false">IF(SUM(D71:D71)=0,"",SUM(D71:D71))</f>
      </c>
      <c r="E72" s="6" t="n">
        <f aca="false">IF(SUM(E71:E71)=0,"",SUM(E71:E71))</f>
      </c>
      <c r="F72" s="6" t="n">
        <f aca="false">IF(SUM(F71:F71)=0,"",SUM(F71:F71))</f>
      </c>
      <c r="G72" s="6" t="n">
        <f aca="false">SUM(G71:G71)</f>
      </c>
    </row>
    <row r="73"/>
    <row r="74" ht="18" customHeight="true">
      <c r="A74" s="3" t="inlineStr">
        <is>
          <t xml:space="preserve">PELVIC @ NAHUNTA — 666541 (intact — side line)</t>
        </is>
      </c>
    </row>
    <row r="75">
      <c r="A75" s="11" t="inlineStr">
        <is>
          <t xml:space="preserve">Metric</t>
        </is>
      </c>
      <c r="B75" s="11" t="inlineStr">
        <is>
          <t xml:space="preserve">April</t>
        </is>
      </c>
      <c r="C75" s="11" t="inlineStr">
        <is>
          <t xml:space="preserve">May</t>
        </is>
      </c>
      <c r="D75" s="11" t="inlineStr">
        <is>
          <t xml:space="preserve">June</t>
        </is>
      </c>
      <c r="E75" s="11" t="inlineStr">
        <is>
          <t xml:space="preserve">July</t>
        </is>
      </c>
      <c r="F75" s="11" t="inlineStr">
        <is>
          <t xml:space="preserve">August</t>
        </is>
      </c>
      <c r="G75" s="11" t="inlineStr">
        <is>
          <t xml:space="preserve">Total</t>
        </is>
      </c>
    </row>
    <row r="76">
      <c r="A76" s="5" t="inlineStr">
        <is>
          <t xml:space="preserve"># Inspected</t>
        </is>
      </c>
      <c r="B76" s="6" t="n">
        <f aca="false">IF(SUMPRODUCT((LEFT('Slaughterhouse IQC'!$A$6:$A$64,7)="2026-04")*('Slaughterhouse IQC'!$B$6:$B$64="Nahunta")*('Slaughterhouse IQC'!$F$6:$F$64="666541")*'Slaughterhouse IQC'!$I$6:$I$64)=0,"",SUMPRODUCT((LEFT('Slaughterhouse IQC'!$A$6:$A$64,7)="2026-04")*('Slaughterhouse IQC'!$B$6:$B$64="Nahunta")*('Slaughterhouse IQC'!$F$6:$F$64="666541")*'Slaughterhouse IQC'!$I$6:$I$64))</f>
      </c>
      <c r="C76" s="6" t="n">
        <f aca="false">IF(SUMPRODUCT((LEFT('Slaughterhouse IQC'!$A$6:$A$64,7)="2026-05")*('Slaughterhouse IQC'!$B$6:$B$64="Nahunta")*('Slaughterhouse IQC'!$F$6:$F$64="666541")*'Slaughterhouse IQC'!$I$6:$I$64)=0,"",SUMPRODUCT((LEFT('Slaughterhouse IQC'!$A$6:$A$64,7)="2026-05")*('Slaughterhouse IQC'!$B$6:$B$64="Nahunta")*('Slaughterhouse IQC'!$F$6:$F$64="666541")*'Slaughterhouse IQC'!$I$6:$I$64))</f>
      </c>
      <c r="D76" s="6" t="n">
        <f aca="false">IF(SUMPRODUCT((LEFT('Slaughterhouse IQC'!$A$6:$A$64,7)="2026-06")*('Slaughterhouse IQC'!$B$6:$B$64="Nahunta")*('Slaughterhouse IQC'!$F$6:$F$64="666541")*'Slaughterhouse IQC'!$I$6:$I$64)=0,"",SUMPRODUCT((LEFT('Slaughterhouse IQC'!$A$6:$A$64,7)="2026-06")*('Slaughterhouse IQC'!$B$6:$B$64="Nahunta")*('Slaughterhouse IQC'!$F$6:$F$64="666541")*'Slaughterhouse IQC'!$I$6:$I$64))</f>
      </c>
      <c r="E76" s="6" t="n">
        <f aca="false">IF(SUMPRODUCT((LEFT('Slaughterhouse IQC'!$A$6:$A$64,7)="2026-07")*('Slaughterhouse IQC'!$B$6:$B$64="Nahunta")*('Slaughterhouse IQC'!$F$6:$F$64="666541")*'Slaughterhouse IQC'!$I$6:$I$64)=0,"",SUMPRODUCT((LEFT('Slaughterhouse IQC'!$A$6:$A$64,7)="2026-07")*('Slaughterhouse IQC'!$B$6:$B$64="Nahunta")*('Slaughterhouse IQC'!$F$6:$F$64="666541")*'Slaughterhouse IQC'!$I$6:$I$64))</f>
      </c>
      <c r="F76" s="6" t="n">
        <f aca="false">IF(SUMPRODUCT((LEFT('Slaughterhouse IQC'!$A$6:$A$64,7)="2026-08")*('Slaughterhouse IQC'!$B$6:$B$64="Nahunta")*('Slaughterhouse IQC'!$F$6:$F$64="666541")*'Slaughterhouse IQC'!$I$6:$I$64)=0,"",SUMPRODUCT((LEFT('Slaughterhouse IQC'!$A$6:$A$64,7)="2026-08")*('Slaughterhouse IQC'!$B$6:$B$64="Nahunta")*('Slaughterhouse IQC'!$F$6:$F$64="666541")*'Slaughterhouse IQC'!$I$6:$I$64))</f>
      </c>
      <c r="G76" s="6" t="n">
        <f aca="false">SUM(B76:F76)</f>
      </c>
    </row>
    <row r="77">
      <c r="A77" s="5" t="inlineStr">
        <is>
          <t xml:space="preserve"># Pass</t>
        </is>
      </c>
      <c r="B77" s="6" t="n">
        <f aca="false">IF(SUMPRODUCT((LEFT('Slaughterhouse IQC'!$A$6:$A$64,7)="2026-04")*('Slaughterhouse IQC'!$B$6:$B$64="Nahunta")*('Slaughterhouse IQC'!$F$6:$F$64="666541")*'Slaughterhouse IQC'!$I$6:$I$64)=0,"",SUMPRODUCT((LEFT('Slaughterhouse IQC'!$A$6:$A$64,7)="2026-04")*('Slaughterhouse IQC'!$B$6:$B$64="Nahunta")*('Slaughterhouse IQC'!$F$6:$F$64="666541")*'Slaughterhouse IQC'!$J$6:$J$64))</f>
      </c>
      <c r="C77" s="6" t="n">
        <f aca="false">IF(SUMPRODUCT((LEFT('Slaughterhouse IQC'!$A$6:$A$64,7)="2026-05")*('Slaughterhouse IQC'!$B$6:$B$64="Nahunta")*('Slaughterhouse IQC'!$F$6:$F$64="666541")*'Slaughterhouse IQC'!$I$6:$I$64)=0,"",SUMPRODUCT((LEFT('Slaughterhouse IQC'!$A$6:$A$64,7)="2026-05")*('Slaughterhouse IQC'!$B$6:$B$64="Nahunta")*('Slaughterhouse IQC'!$F$6:$F$64="666541")*'Slaughterhouse IQC'!$J$6:$J$64))</f>
      </c>
      <c r="D77" s="6" t="n">
        <f aca="false">IF(SUMPRODUCT((LEFT('Slaughterhouse IQC'!$A$6:$A$64,7)="2026-06")*('Slaughterhouse IQC'!$B$6:$B$64="Nahunta")*('Slaughterhouse IQC'!$F$6:$F$64="666541")*'Slaughterhouse IQC'!$I$6:$I$64)=0,"",SUMPRODUCT((LEFT('Slaughterhouse IQC'!$A$6:$A$64,7)="2026-06")*('Slaughterhouse IQC'!$B$6:$B$64="Nahunta")*('Slaughterhouse IQC'!$F$6:$F$64="666541")*'Slaughterhouse IQC'!$J$6:$J$64))</f>
      </c>
      <c r="E77" s="6" t="n">
        <f aca="false">IF(SUMPRODUCT((LEFT('Slaughterhouse IQC'!$A$6:$A$64,7)="2026-07")*('Slaughterhouse IQC'!$B$6:$B$64="Nahunta")*('Slaughterhouse IQC'!$F$6:$F$64="666541")*'Slaughterhouse IQC'!$I$6:$I$64)=0,"",SUMPRODUCT((LEFT('Slaughterhouse IQC'!$A$6:$A$64,7)="2026-07")*('Slaughterhouse IQC'!$B$6:$B$64="Nahunta")*('Slaughterhouse IQC'!$F$6:$F$64="666541")*'Slaughterhouse IQC'!$J$6:$J$64))</f>
      </c>
      <c r="F77" s="6" t="n">
        <f aca="false">IF(SUMPRODUCT((LEFT('Slaughterhouse IQC'!$A$6:$A$64,7)="2026-08")*('Slaughterhouse IQC'!$B$6:$B$64="Nahunta")*('Slaughterhouse IQC'!$F$6:$F$64="666541")*'Slaughterhouse IQC'!$I$6:$I$64)=0,"",SUMPRODUCT((LEFT('Slaughterhouse IQC'!$A$6:$A$64,7)="2026-08")*('Slaughterhouse IQC'!$B$6:$B$64="Nahunta")*('Slaughterhouse IQC'!$F$6:$F$64="666541")*'Slaughterhouse IQC'!$J$6:$J$64))</f>
      </c>
      <c r="G77" s="6" t="n">
        <f aca="false">SUM(B77:F77)</f>
      </c>
    </row>
    <row r="78">
      <c r="A78" s="5" t="inlineStr">
        <is>
          <t xml:space="preserve"># Fail</t>
        </is>
      </c>
      <c r="B78" s="6" t="n">
        <f aca="false">IF(SUMPRODUCT((LEFT('Slaughterhouse IQC'!$A$6:$A$64,7)="2026-04")*('Slaughterhouse IQC'!$B$6:$B$64="Nahunta")*('Slaughterhouse IQC'!$F$6:$F$64="666541")*'Slaughterhouse IQC'!$I$6:$I$64)=0,"",SUMPRODUCT((LEFT('Slaughterhouse IQC'!$A$6:$A$64,7)="2026-04")*('Slaughterhouse IQC'!$B$6:$B$64="Nahunta")*('Slaughterhouse IQC'!$F$6:$F$64="666541")*'Slaughterhouse IQC'!$K$6:$K$64))</f>
      </c>
      <c r="C78" s="6" t="n">
        <f aca="false">IF(SUMPRODUCT((LEFT('Slaughterhouse IQC'!$A$6:$A$64,7)="2026-05")*('Slaughterhouse IQC'!$B$6:$B$64="Nahunta")*('Slaughterhouse IQC'!$F$6:$F$64="666541")*'Slaughterhouse IQC'!$I$6:$I$64)=0,"",SUMPRODUCT((LEFT('Slaughterhouse IQC'!$A$6:$A$64,7)="2026-05")*('Slaughterhouse IQC'!$B$6:$B$64="Nahunta")*('Slaughterhouse IQC'!$F$6:$F$64="666541")*'Slaughterhouse IQC'!$K$6:$K$64))</f>
      </c>
      <c r="D78" s="6" t="n">
        <f aca="false">IF(SUMPRODUCT((LEFT('Slaughterhouse IQC'!$A$6:$A$64,7)="2026-06")*('Slaughterhouse IQC'!$B$6:$B$64="Nahunta")*('Slaughterhouse IQC'!$F$6:$F$64="666541")*'Slaughterhouse IQC'!$I$6:$I$64)=0,"",SUMPRODUCT((LEFT('Slaughterhouse IQC'!$A$6:$A$64,7)="2026-06")*('Slaughterhouse IQC'!$B$6:$B$64="Nahunta")*('Slaughterhouse IQC'!$F$6:$F$64="666541")*'Slaughterhouse IQC'!$K$6:$K$64))</f>
      </c>
      <c r="E78" s="6" t="n">
        <f aca="false">IF(SUMPRODUCT((LEFT('Slaughterhouse IQC'!$A$6:$A$64,7)="2026-07")*('Slaughterhouse IQC'!$B$6:$B$64="Nahunta")*('Slaughterhouse IQC'!$F$6:$F$64="666541")*'Slaughterhouse IQC'!$I$6:$I$64)=0,"",SUMPRODUCT((LEFT('Slaughterhouse IQC'!$A$6:$A$64,7)="2026-07")*('Slaughterhouse IQC'!$B$6:$B$64="Nahunta")*('Slaughterhouse IQC'!$F$6:$F$64="666541")*'Slaughterhouse IQC'!$K$6:$K$64))</f>
      </c>
      <c r="F78" s="6" t="n">
        <f aca="false">IF(SUMPRODUCT((LEFT('Slaughterhouse IQC'!$A$6:$A$64,7)="2026-08")*('Slaughterhouse IQC'!$B$6:$B$64="Nahunta")*('Slaughterhouse IQC'!$F$6:$F$64="666541")*'Slaughterhouse IQC'!$I$6:$I$64)=0,"",SUMPRODUCT((LEFT('Slaughterhouse IQC'!$A$6:$A$64,7)="2026-08")*('Slaughterhouse IQC'!$B$6:$B$64="Nahunta")*('Slaughterhouse IQC'!$F$6:$F$64="666541")*'Slaughterhouse IQC'!$K$6:$K$64))</f>
      </c>
      <c r="G78" s="6" t="n">
        <f aca="false">SUM(B78:F78)</f>
      </c>
    </row>
    <row r="79">
      <c r="A79" s="12" t="inlineStr">
        <is>
          <t xml:space="preserve">First-Pass Yield</t>
        </is>
      </c>
      <c r="B79" s="15" t="n">
        <f aca="false">IF(B76="","",IF(B76=0,"",B77/B76))</f>
      </c>
      <c r="C79" s="15" t="n">
        <f aca="false">IF(C76="","",IF(C76=0,"",C77/C76))</f>
      </c>
      <c r="D79" s="15" t="n">
        <f aca="false">IF(D76="","",IF(D76=0,"",D77/D76))</f>
      </c>
      <c r="E79" s="15" t="n">
        <f aca="false">IF(E76="","",IF(E76=0,"",E77/E76))</f>
      </c>
      <c r="F79" s="15" t="n">
        <f aca="false">IF(F76="","",IF(F76=0,"",F77/F76))</f>
      </c>
      <c r="G79" s="15" t="n">
        <f aca="false">IF(G76=0,"",G77/G76)</f>
      </c>
    </row>
    <row r="80" ht="15" customHeight="true">
      <c r="A80" s="19" t="inlineStr">
        <is>
          <t xml:space="preserve">Issues found (defect category counts)</t>
        </is>
      </c>
    </row>
    <row r="81">
      <c r="A81" s="16" t="inlineStr">
        <is>
          <t xml:space="preserve">   Other / unspecified</t>
        </is>
      </c>
      <c r="F81" s="6" t="n">
        <v>12</v>
      </c>
      <c r="G81" s="6" t="n">
        <v>12</v>
      </c>
    </row>
    <row r="82">
      <c r="A82" s="12" t="inlineStr">
        <is>
          <t xml:space="preserve">   Total issues</t>
        </is>
      </c>
      <c r="B82" s="6" t="n">
        <f aca="false">IF(SUM(B81:B81)=0,"",SUM(B81:B81))</f>
      </c>
      <c r="C82" s="6" t="n">
        <f aca="false">IF(SUM(C81:C81)=0,"",SUM(C81:C81))</f>
      </c>
      <c r="D82" s="6" t="n">
        <f aca="false">IF(SUM(D81:D81)=0,"",SUM(D81:D81))</f>
      </c>
      <c r="E82" s="6" t="n">
        <f aca="false">IF(SUM(E81:E81)=0,"",SUM(E81:E81))</f>
      </c>
      <c r="F82" s="6" t="n">
        <f aca="false">IF(SUM(F81:F81)=0,"",SUM(F81:F81))</f>
      </c>
      <c r="G82" s="6" t="n">
        <f aca="false">SUM(G81:G81)</f>
      </c>
    </row>
    <row r="83"/>
    <row r="84" ht="18" customHeight="true">
      <c r="A84" s="3" t="inlineStr">
        <is>
          <t xml:space="preserve">THORACIC @ NAHUNTA — 666521 (lung / heart)</t>
        </is>
      </c>
    </row>
    <row r="85">
      <c r="A85" s="11" t="inlineStr">
        <is>
          <t xml:space="preserve">Metric</t>
        </is>
      </c>
      <c r="B85" s="11" t="inlineStr">
        <is>
          <t xml:space="preserve">April</t>
        </is>
      </c>
      <c r="C85" s="11" t="inlineStr">
        <is>
          <t xml:space="preserve">May</t>
        </is>
      </c>
      <c r="D85" s="11" t="inlineStr">
        <is>
          <t xml:space="preserve">June</t>
        </is>
      </c>
      <c r="E85" s="11" t="inlineStr">
        <is>
          <t xml:space="preserve">July</t>
        </is>
      </c>
      <c r="F85" s="11" t="inlineStr">
        <is>
          <t xml:space="preserve">August</t>
        </is>
      </c>
      <c r="G85" s="11" t="inlineStr">
        <is>
          <t xml:space="preserve">Total</t>
        </is>
      </c>
    </row>
    <row r="86">
      <c r="A86" s="5" t="inlineStr">
        <is>
          <t xml:space="preserve"># Inspected</t>
        </is>
      </c>
      <c r="B86" s="6" t="n">
        <f aca="false">IF(SUMPRODUCT((LEFT('Slaughterhouse IQC'!$A$6:$A$64,7)="2026-04")*('Slaughterhouse IQC'!$B$6:$B$64="Nahunta")*('Slaughterhouse IQC'!$F$6:$F$64="666521")*'Slaughterhouse IQC'!$I$6:$I$64)=0,"",SUMPRODUCT((LEFT('Slaughterhouse IQC'!$A$6:$A$64,7)="2026-04")*('Slaughterhouse IQC'!$B$6:$B$64="Nahunta")*('Slaughterhouse IQC'!$F$6:$F$64="666521")*'Slaughterhouse IQC'!$I$6:$I$64))</f>
      </c>
      <c r="C86" s="6" t="n">
        <f aca="false">IF(SUMPRODUCT((LEFT('Slaughterhouse IQC'!$A$6:$A$64,7)="2026-05")*('Slaughterhouse IQC'!$B$6:$B$64="Nahunta")*('Slaughterhouse IQC'!$F$6:$F$64="666521")*'Slaughterhouse IQC'!$I$6:$I$64)=0,"",SUMPRODUCT((LEFT('Slaughterhouse IQC'!$A$6:$A$64,7)="2026-05")*('Slaughterhouse IQC'!$B$6:$B$64="Nahunta")*('Slaughterhouse IQC'!$F$6:$F$64="666521")*'Slaughterhouse IQC'!$I$6:$I$64))</f>
      </c>
      <c r="D86" s="6" t="n">
        <f aca="false">IF(SUMPRODUCT((LEFT('Slaughterhouse IQC'!$A$6:$A$64,7)="2026-06")*('Slaughterhouse IQC'!$B$6:$B$64="Nahunta")*('Slaughterhouse IQC'!$F$6:$F$64="666521")*'Slaughterhouse IQC'!$I$6:$I$64)=0,"",SUMPRODUCT((LEFT('Slaughterhouse IQC'!$A$6:$A$64,7)="2026-06")*('Slaughterhouse IQC'!$B$6:$B$64="Nahunta")*('Slaughterhouse IQC'!$F$6:$F$64="666521")*'Slaughterhouse IQC'!$I$6:$I$64))</f>
      </c>
      <c r="E86" s="6" t="n">
        <f aca="false">IF(SUMPRODUCT((LEFT('Slaughterhouse IQC'!$A$6:$A$64,7)="2026-07")*('Slaughterhouse IQC'!$B$6:$B$64="Nahunta")*('Slaughterhouse IQC'!$F$6:$F$64="666521")*'Slaughterhouse IQC'!$I$6:$I$64)=0,"",SUMPRODUCT((LEFT('Slaughterhouse IQC'!$A$6:$A$64,7)="2026-07")*('Slaughterhouse IQC'!$B$6:$B$64="Nahunta")*('Slaughterhouse IQC'!$F$6:$F$64="666521")*'Slaughterhouse IQC'!$I$6:$I$64))</f>
      </c>
      <c r="F86" s="6" t="n">
        <f aca="false">IF(SUMPRODUCT((LEFT('Slaughterhouse IQC'!$A$6:$A$64,7)="2026-08")*('Slaughterhouse IQC'!$B$6:$B$64="Nahunta")*('Slaughterhouse IQC'!$F$6:$F$64="666521")*'Slaughterhouse IQC'!$I$6:$I$64)=0,"",SUMPRODUCT((LEFT('Slaughterhouse IQC'!$A$6:$A$64,7)="2026-08")*('Slaughterhouse IQC'!$B$6:$B$64="Nahunta")*('Slaughterhouse IQC'!$F$6:$F$64="666521")*'Slaughterhouse IQC'!$I$6:$I$64))</f>
      </c>
      <c r="G86" s="6" t="n">
        <f aca="false">SUM(B86:F86)</f>
      </c>
    </row>
    <row r="87">
      <c r="A87" s="5" t="inlineStr">
        <is>
          <t xml:space="preserve"># Pass</t>
        </is>
      </c>
      <c r="B87" s="6" t="n">
        <f aca="false">IF(SUMPRODUCT((LEFT('Slaughterhouse IQC'!$A$6:$A$64,7)="2026-04")*('Slaughterhouse IQC'!$B$6:$B$64="Nahunta")*('Slaughterhouse IQC'!$F$6:$F$64="666521")*'Slaughterhouse IQC'!$I$6:$I$64)=0,"",SUMPRODUCT((LEFT('Slaughterhouse IQC'!$A$6:$A$64,7)="2026-04")*('Slaughterhouse IQC'!$B$6:$B$64="Nahunta")*('Slaughterhouse IQC'!$F$6:$F$64="666521")*'Slaughterhouse IQC'!$J$6:$J$64))</f>
      </c>
      <c r="C87" s="6" t="n">
        <f aca="false">IF(SUMPRODUCT((LEFT('Slaughterhouse IQC'!$A$6:$A$64,7)="2026-05")*('Slaughterhouse IQC'!$B$6:$B$64="Nahunta")*('Slaughterhouse IQC'!$F$6:$F$64="666521")*'Slaughterhouse IQC'!$I$6:$I$64)=0,"",SUMPRODUCT((LEFT('Slaughterhouse IQC'!$A$6:$A$64,7)="2026-05")*('Slaughterhouse IQC'!$B$6:$B$64="Nahunta")*('Slaughterhouse IQC'!$F$6:$F$64="666521")*'Slaughterhouse IQC'!$J$6:$J$64))</f>
      </c>
      <c r="D87" s="6" t="n">
        <f aca="false">IF(SUMPRODUCT((LEFT('Slaughterhouse IQC'!$A$6:$A$64,7)="2026-06")*('Slaughterhouse IQC'!$B$6:$B$64="Nahunta")*('Slaughterhouse IQC'!$F$6:$F$64="666521")*'Slaughterhouse IQC'!$I$6:$I$64)=0,"",SUMPRODUCT((LEFT('Slaughterhouse IQC'!$A$6:$A$64,7)="2026-06")*('Slaughterhouse IQC'!$B$6:$B$64="Nahunta")*('Slaughterhouse IQC'!$F$6:$F$64="666521")*'Slaughterhouse IQC'!$J$6:$J$64))</f>
      </c>
      <c r="E87" s="6" t="n">
        <f aca="false">IF(SUMPRODUCT((LEFT('Slaughterhouse IQC'!$A$6:$A$64,7)="2026-07")*('Slaughterhouse IQC'!$B$6:$B$64="Nahunta")*('Slaughterhouse IQC'!$F$6:$F$64="666521")*'Slaughterhouse IQC'!$I$6:$I$64)=0,"",SUMPRODUCT((LEFT('Slaughterhouse IQC'!$A$6:$A$64,7)="2026-07")*('Slaughterhouse IQC'!$B$6:$B$64="Nahunta")*('Slaughterhouse IQC'!$F$6:$F$64="666521")*'Slaughterhouse IQC'!$J$6:$J$64))</f>
      </c>
      <c r="F87" s="6" t="n">
        <f aca="false">IF(SUMPRODUCT((LEFT('Slaughterhouse IQC'!$A$6:$A$64,7)="2026-08")*('Slaughterhouse IQC'!$B$6:$B$64="Nahunta")*('Slaughterhouse IQC'!$F$6:$F$64="666521")*'Slaughterhouse IQC'!$I$6:$I$64)=0,"",SUMPRODUCT((LEFT('Slaughterhouse IQC'!$A$6:$A$64,7)="2026-08")*('Slaughterhouse IQC'!$B$6:$B$64="Nahunta")*('Slaughterhouse IQC'!$F$6:$F$64="666521")*'Slaughterhouse IQC'!$J$6:$J$64))</f>
      </c>
      <c r="G87" s="6" t="n">
        <f aca="false">SUM(B87:F87)</f>
      </c>
    </row>
    <row r="88">
      <c r="A88" s="5" t="inlineStr">
        <is>
          <t xml:space="preserve"># Fail</t>
        </is>
      </c>
      <c r="B88" s="6" t="n">
        <f aca="false">IF(SUMPRODUCT((LEFT('Slaughterhouse IQC'!$A$6:$A$64,7)="2026-04")*('Slaughterhouse IQC'!$B$6:$B$64="Nahunta")*('Slaughterhouse IQC'!$F$6:$F$64="666521")*'Slaughterhouse IQC'!$I$6:$I$64)=0,"",SUMPRODUCT((LEFT('Slaughterhouse IQC'!$A$6:$A$64,7)="2026-04")*('Slaughterhouse IQC'!$B$6:$B$64="Nahunta")*('Slaughterhouse IQC'!$F$6:$F$64="666521")*'Slaughterhouse IQC'!$K$6:$K$64))</f>
      </c>
      <c r="C88" s="6" t="n">
        <f aca="false">IF(SUMPRODUCT((LEFT('Slaughterhouse IQC'!$A$6:$A$64,7)="2026-05")*('Slaughterhouse IQC'!$B$6:$B$64="Nahunta")*('Slaughterhouse IQC'!$F$6:$F$64="666521")*'Slaughterhouse IQC'!$I$6:$I$64)=0,"",SUMPRODUCT((LEFT('Slaughterhouse IQC'!$A$6:$A$64,7)="2026-05")*('Slaughterhouse IQC'!$B$6:$B$64="Nahunta")*('Slaughterhouse IQC'!$F$6:$F$64="666521")*'Slaughterhouse IQC'!$K$6:$K$64))</f>
      </c>
      <c r="D88" s="6" t="n">
        <f aca="false">IF(SUMPRODUCT((LEFT('Slaughterhouse IQC'!$A$6:$A$64,7)="2026-06")*('Slaughterhouse IQC'!$B$6:$B$64="Nahunta")*('Slaughterhouse IQC'!$F$6:$F$64="666521")*'Slaughterhouse IQC'!$I$6:$I$64)=0,"",SUMPRODUCT((LEFT('Slaughterhouse IQC'!$A$6:$A$64,7)="2026-06")*('Slaughterhouse IQC'!$B$6:$B$64="Nahunta")*('Slaughterhouse IQC'!$F$6:$F$64="666521")*'Slaughterhouse IQC'!$K$6:$K$64))</f>
      </c>
      <c r="E88" s="6" t="n">
        <f aca="false">IF(SUMPRODUCT((LEFT('Slaughterhouse IQC'!$A$6:$A$64,7)="2026-07")*('Slaughterhouse IQC'!$B$6:$B$64="Nahunta")*('Slaughterhouse IQC'!$F$6:$F$64="666521")*'Slaughterhouse IQC'!$I$6:$I$64)=0,"",SUMPRODUCT((LEFT('Slaughterhouse IQC'!$A$6:$A$64,7)="2026-07")*('Slaughterhouse IQC'!$B$6:$B$64="Nahunta")*('Slaughterhouse IQC'!$F$6:$F$64="666521")*'Slaughterhouse IQC'!$K$6:$K$64))</f>
      </c>
      <c r="F88" s="6" t="n">
        <f aca="false">IF(SUMPRODUCT((LEFT('Slaughterhouse IQC'!$A$6:$A$64,7)="2026-08")*('Slaughterhouse IQC'!$B$6:$B$64="Nahunta")*('Slaughterhouse IQC'!$F$6:$F$64="666521")*'Slaughterhouse IQC'!$I$6:$I$64)=0,"",SUMPRODUCT((LEFT('Slaughterhouse IQC'!$A$6:$A$64,7)="2026-08")*('Slaughterhouse IQC'!$B$6:$B$64="Nahunta")*('Slaughterhouse IQC'!$F$6:$F$64="666521")*'Slaughterhouse IQC'!$K$6:$K$64))</f>
      </c>
      <c r="G88" s="6" t="n">
        <f aca="false">SUM(B88:F88)</f>
      </c>
    </row>
    <row r="89">
      <c r="A89" s="12" t="inlineStr">
        <is>
          <t xml:space="preserve">First-Pass Yield</t>
        </is>
      </c>
      <c r="B89" s="15" t="n">
        <f aca="false">IF(B86="","",IF(B86=0,"",B87/B86))</f>
      </c>
      <c r="C89" s="15" t="n">
        <f aca="false">IF(C86="","",IF(C86=0,"",C87/C86))</f>
      </c>
      <c r="D89" s="15" t="n">
        <f aca="false">IF(D86="","",IF(D86=0,"",D87/D86))</f>
      </c>
      <c r="E89" s="15" t="n">
        <f aca="false">IF(E86="","",IF(E86=0,"",E87/E86))</f>
      </c>
      <c r="F89" s="15" t="n">
        <f aca="false">IF(F86="","",IF(F86=0,"",F87/F86))</f>
      </c>
      <c r="G89" s="15" t="n">
        <f aca="false">IF(G86=0,"",G87/G86)</f>
      </c>
    </row>
    <row r="90" ht="15" customHeight="true">
      <c r="A90" s="19" t="inlineStr">
        <is>
          <t xml:space="preserve">Issues found (defect category counts)</t>
        </is>
      </c>
    </row>
    <row r="91">
      <c r="A91" s="16" t="inlineStr">
        <is>
          <t xml:space="preserve">   Lung laceration</t>
        </is>
      </c>
      <c r="E91" s="6" t="n">
        <v>11</v>
      </c>
      <c r="F91" s="6" t="n">
        <v>31</v>
      </c>
      <c r="G91" s="6" t="n">
        <v>42</v>
      </c>
    </row>
    <row r="92">
      <c r="A92" s="16" t="inlineStr">
        <is>
          <t xml:space="preserve">   Heart damage</t>
        </is>
      </c>
      <c r="E92" s="6" t="n">
        <v>2</v>
      </c>
      <c r="F92" s="6" t="n">
        <v>19</v>
      </c>
      <c r="G92" s="6" t="n">
        <v>21</v>
      </c>
    </row>
    <row r="93">
      <c r="A93" s="12" t="inlineStr">
        <is>
          <t xml:space="preserve">   Total issues</t>
        </is>
      </c>
      <c r="B93" s="6" t="n">
        <f aca="false">IF(SUM(B91:B92)=0,"",SUM(B91:B92))</f>
      </c>
      <c r="C93" s="6" t="n">
        <f aca="false">IF(SUM(C91:C92)=0,"",SUM(C91:C92))</f>
      </c>
      <c r="D93" s="6" t="n">
        <f aca="false">IF(SUM(D91:D92)=0,"",SUM(D91:D92))</f>
      </c>
      <c r="E93" s="6" t="n">
        <f aca="false">IF(SUM(E91:E92)=0,"",SUM(E91:E92))</f>
      </c>
      <c r="F93" s="6" t="n">
        <f aca="false">IF(SUM(F91:F92)=0,"",SUM(F91:F92))</f>
      </c>
      <c r="G93" s="6" t="n">
        <f aca="false">SUM(G91:G92)</f>
      </c>
    </row>
    <row r="94"/>
    <row r="95" ht="18" customHeight="true">
      <c r="A95" s="3" t="inlineStr">
        <is>
          <t xml:space="preserve">NOTES</t>
        </is>
      </c>
    </row>
    <row r="96" ht="44" customHeight="true">
      <c r="A96" s="20" t="inlineStr">
        <is>
          <t xml:space="preserve">• Defect categories normalize free-text scrap reasons: blood clots and 'damaged after cleaning' → Other; bowel-cleaning bursts and bowel/colon–mesentery separations → Bowel damage / separation; mesentery holes/lacerations in the critical area → Critical-area laceration; 'small bladder' / 'deformed bladder' → Urethra / bladder. Original wording stays in the Inspection Log.</t>
        </is>
      </c>
    </row>
    <row r="97" ht="44" customHeight="true">
      <c r="A97" s="20" t="inlineStr">
        <is>
          <t xml:space="preserve">• Volume rows (# Inspected / Pass / Fail, FPY) are live formulas over the Inspection Log (rows 6–64) — they update automatically when the log grows within that range. Defect-category counts are analyst-tagged from scrap notes (static snapshot through 08/19); retag new rows when appending.</t>
        </is>
      </c>
    </row>
    <row r="98" ht="44" customHeight="true">
      <c r="A98" s="20" t="inlineStr">
        <is>
          <t xml:space="preserve">• Known count caveats: Nahunta thoracic 8/12 defect breakdown sums to 12 vs 11 recorded fails (kept as written, so thoracic categorized issues = 50 vs 49 fails in August). Nahunta pelvic 8/12 (13/1/12) has no defect breakdown and is provisional → all 12 in Other/unspecified. Martins 666541 7/20 includes 1 undocumented reject (Other).</t>
        </is>
      </c>
    </row>
    <row r="99" ht="44" customHeight="true">
      <c r="A99" s="20" t="inlineStr">
        <is>
          <t xml:space="preserve">• Parks runs as two part lines across the spec transition: 666518 through 07/30, 666541 from 08/10 — shown separately by request. Nahunta pelvic is a side line (thoracic is the primary part there).</t>
        </is>
      </c>
    </row>
  </sheetData>
  <mergeCells count="21">
    <mergeCell ref="A1:G1"/>
    <mergeCell ref="A2:G2"/>
    <mergeCell ref="A4:G4"/>
    <mergeCell ref="A13:G13"/>
    <mergeCell ref="A22:G22"/>
    <mergeCell ref="A28:G28"/>
    <mergeCell ref="A36:G36"/>
    <mergeCell ref="A42:G42"/>
    <mergeCell ref="A50:G50"/>
    <mergeCell ref="A56:G56"/>
    <mergeCell ref="A64:G64"/>
    <mergeCell ref="A70:G70"/>
    <mergeCell ref="A74:G74"/>
    <mergeCell ref="A80:G80"/>
    <mergeCell ref="A84:G84"/>
    <mergeCell ref="A90:G90"/>
    <mergeCell ref="A95:G95"/>
    <mergeCell ref="A96:G96"/>
    <mergeCell ref="A97:G97"/>
    <mergeCell ref="A98:G98"/>
    <mergeCell ref="A99:G99"/>
  </mergeCells>
  <conditionalFormatting sqref="B6:G11 B27:G27 B41:G41 B55:G55 B69:G69 B79:G79 B89:G89">
    <cfRule type="colorScale" priority="1">
      <colorScale>
        <cfvo type="num" val="0.3"/>
        <cfvo type="num" val="0.8"/>
        <cfvo type="num" val="1"/>
        <color rgb="FFF8696B"/>
        <color rgb="FFFFEB84"/>
        <color rgb="FF63BE7B"/>
      </colorScale>
    </cfRule>
  </conditionalFormatting>
  <pageMargins left="0.5" right="0.5" top="0.6" bottom="0.6" header="0.3" footer="0.3"/>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2026-05-12T17:19:46Z</dcterms:created>
  <dc:creator>Oscar Penny</dc:creator>
  <dc:description/>
  <dc:language>en-US</dc:language>
  <cp:lastModifiedBy/>
  <cp:lastPrinted>2026-05-12T17:20:15Z</cp:lastPrinted>
  <dcterms:modified xsi:type="dcterms:W3CDTF">2026-06-11T12:20:59Z</dcterms:modified>
  <cp:revision>4</cp:revision>
  <dc:subject/>
  <dc:title/>
</cp:coreProperties>
</file>

<file path=docProps/custom.xml><?xml version="1.0" encoding="utf-8"?>
<Properties xmlns="http://schemas.openxmlformats.org/officeDocument/2006/custom-properties" xmlns:vt="http://schemas.openxmlformats.org/officeDocument/2006/docPropsVTypes"/>
</file>