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SH vs ATM by Batch" sheetId="21" r:id="rId16"/>
    <sheet name="SH vs ATM Issues" sheetId="22" r:id="rId17"/>
    <sheet name="Issue Data" sheetId="23" state="hidden" r:id="rId18"/>
    <sheet name="Apr 2026" sheetId="16" r:id="rId4"/>
    <sheet name="May 2026" sheetId="17" r:id="rId5"/>
    <sheet name="Jun 2026" sheetId="18" r:id="rId6"/>
    <sheet name="Jul 2026" sheetId="19" r:id="rId7"/>
    <sheet name="Aug 2026" sheetId="20" r:id="rId8"/>
    <sheet name="Sep 2026" sheetId="24" r:id="rId19"/>
    <sheet name="Nahunta Standard" sheetId="25" r:id="rId20"/>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<sst xmlns="http://schemas.openxmlformats.org/spreadsheetml/2006/main" count="1554" uniqueCount="418">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</sst>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17"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
      <sz val="15"/>
      <b/>
      <color rgb="FF1F3864"/>
      <name val="Calibri"/>
    </font>
    <font>
      <sz val="9.5"/>
      <color rgb="FF595959"/>
      <name val="Calibri"/>
    </font>
    <font>
      <sz val="11"/>
      <b/>
      <color rgb="FFFFFFFF"/>
      <name val="Calibri"/>
    </font>
    <font>
      <sz val="10"/>
      <b/>
      <color rgb="FFFFFFFF"/>
      <name val="Calibri"/>
    </font>
    <font>
      <sz val="10"/>
      <color rgb="FF1F2937"/>
      <name val="Calibri"/>
    </font>
    <font>
      <sz val="10"/>
      <b/>
      <color rgb="FF1F2937"/>
      <name val="Calibri"/>
    </font>
  </fonts>
  <fills count="10">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
      <patternFill patternType="solid">
        <fgColor rgb="FFFFF2CC"/>
        <bgColor rgb="FFFFF2CC"/>
      </patternFill>
    </fill>
    <fill>
      <patternFill patternType="solid">
        <fgColor rgb="FF1F3864"/>
        <bgColor rgb="FF1F3864"/>
      </patternFill>
    </fill>
    <fill>
      <patternFill patternType="solid">
        <fgColor rgb="FF305496"/>
        <bgColor rgb="FF305496"/>
      </patternFill>
    </fill>
    <fill>
      <patternFill patternType="solid">
        <fgColor rgb="FFFFF2CC"/>
        <bgColor rgb="FFFFF2CC"/>
      </patternFill>
    </fill>
  </fills>
  <borders count="1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
      <left style="thin">
        <color rgb="FF404040"/>
      </left>
      <right style="thin">
        <color rgb="FF404040"/>
      </right>
      <top style="thin">
        <color rgb="FF404040"/>
      </top>
      <bottom style="thin">
        <color rgb="FF404040"/>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1" fillId="0" borderId="0"/>
  </cellStyleXfs>
  <cellXfs count="61">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xf numFmtId="14" fontId="0" fillId="6" borderId="17" xfId="0" applyNumberFormat="1" applyFill="1" applyBorder="1" applyAlignment="1">
      <alignment horizontal="center" vertical="center"/>
    </xf>
    <xf numFmtId="14" fontId="0" fillId="0" borderId="0" xfId="0" applyNumberFormat="1"/>
    <xf numFmtId="0" fontId="11" fillId="0" borderId="0" xfId="0" applyNumberFormat="0" applyFont="1" applyFill="0" applyBorder="0" applyAlignment="1">
      <alignment horizontal="left" vertical="center"/>
    </xf>
    <xf numFmtId="0" fontId="12" fillId="0" borderId="0" xfId="0" applyNumberFormat="0" applyFont="1" applyFill="0" applyBorder="0" applyAlignment="1">
      <alignment horizontal="left" vertical="top" wrapText="1"/>
    </xf>
    <xf numFmtId="0" fontId="13" fillId="7" borderId="0" xfId="0" applyNumberFormat="0" applyFont="1" applyFill="1" applyBorder="0" applyAlignment="1">
      <alignment horizontal="left" vertical="center" indent="1"/>
    </xf>
    <xf numFmtId="0" fontId="14" fillId="8" borderId="18" xfId="0" applyNumberFormat="0" applyFont="1" applyFill="1" applyBorder="1" applyAlignment="1">
      <alignment horizontal="center" vertical="center" wrapText="1"/>
    </xf>
    <xf numFmtId="0" fontId="15" fillId="0" borderId="18" xfId="0" applyNumberFormat="0" applyFont="1" applyFill="0" applyBorder="1" applyAlignment="1">
      <alignment horizontal="left" vertical="center"/>
    </xf>
    <xf numFmtId="0" fontId="15" fillId="0" borderId="18" xfId="0" applyNumberFormat="0" applyFont="1" applyFill="0" applyBorder="1" applyAlignment="1">
      <alignment horizontal="right" vertical="center"/>
    </xf>
    <xf numFmtId="165" fontId="15" fillId="0" borderId="18" xfId="0" applyNumberFormat="1" applyFont="1" applyFill="0" applyBorder="1" applyAlignment="1">
      <alignment horizontal="right" vertical="center"/>
    </xf>
    <xf numFmtId="0" fontId="15" fillId="0" borderId="18" xfId="0" applyNumberFormat="0" applyFont="1" applyFill="0" applyBorder="1" applyAlignment="1">
      <alignment horizontal="left" vertical="top" wrapText="1"/>
    </xf>
    <xf numFmtId="0" fontId="16" fillId="0" borderId="0" xfId="0" applyNumberFormat="0" applyFont="1" applyFill="0" applyBorder="0" applyAlignment="1">
      <alignment horizontal="left" vertical="center"/>
    </xf>
    <xf numFmtId="0" fontId="15" fillId="0" borderId="0" xfId="0" applyNumberFormat="0" applyFont="1" applyFill="0" applyBorder="0" applyAlignment="1">
      <alignment horizontal="left" vertical="top" wrapText="1"/>
    </xf>
    <xf numFmtId="0" fontId="15" fillId="9" borderId="18" xfId="0" applyNumberFormat="0" applyFont="1" applyFill="1" applyBorder="1" applyAlignment="1">
      <alignment horizontal="left" vertical="top" wrapText="1"/>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N117"/>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0" customWidth="1"/>
    <col min="4" max="4" width="10" customWidth="1"/>
    <col min="5" max="5" width="10" customWidth="1"/>
    <col min="6" max="6" width="8" customWidth="1"/>
    <col min="7" max="7" width="12" customWidth="1"/>
    <col min="8" max="8" width="13" customWidth="1"/>
    <col min="9" max="11" width="9" customWidth="1"/>
    <col min="12" max="12" width="10" customWidth="1"/>
    <col min="13" max="13" width="58" customWidth="1"/>
    <col min="14" max="14" width="19" customWidth="1"/>
  </cols>
  <sheetData>
    <row r="1" ht="24" customHeight="1">
      <c r="A1" s="50" t="inlineStr">
        <is>
          <t xml:space="preserve">SH IQC Inspections — Slaughterhouse-Floor Incoming Quality</t>
        </is>
      </c>
    </row>
    <row r="2" ht="54" customHeight="1">
      <c r="A2" s="51" t="inlineStr">
        <is>
          <t xml:space="preserve">Post-harvest, pre-freeze inspections at the slaughterhouse — all tissue types and parts. 65 part-inspections across 44 visit-days · 3 slaughterhouses (Martins, Parks, Nahunta) · Apr 13 – Sep 9, 2026. One row per part per harvest date. Nahunta runs TWO inspections per visit (yellow rows + section below): the harvesting tech inspects before we receive the tissue, then our QC tech inspects — the # columns on those rows are OUR QC inspection.</t>
        </is>
      </c>
    </row>
    <row r="3"/>
    <row r="4" ht="20" customHeight="1">
      <c r="A4" s="52" t="inlineStr">
        <is>
          <t xml:space="preserve">INSPECTION LOG</t>
        </is>
      </c>
    </row>
    <row r="5" ht="28" customHeight="1">
      <c r="A5" s="53" t="inlineStr">
        <is>
          <t xml:space="preserve">Harvest Date</t>
        </is>
      </c>
      <c r="B5" s="53" t="inlineStr">
        <is>
          <t xml:space="preserve">Slaughterhouse</t>
        </is>
      </c>
      <c r="C5" s="53" t="inlineStr">
        <is>
          <t xml:space="preserve">Inspector</t>
        </is>
      </c>
      <c r="D5" s="53" t="inlineStr">
        <is>
          <t xml:space="preserve">SH Tech</t>
        </is>
      </c>
      <c r="E5" s="53" t="inlineStr">
        <is>
          <t xml:space="preserve">Tissue Type</t>
        </is>
      </c>
      <c r="F5" s="53" t="inlineStr">
        <is>
          <t xml:space="preserve">Part #</t>
        </is>
      </c>
      <c r="G5" s="53" t="inlineStr">
        <is>
          <t xml:space="preserve">Description</t>
        </is>
      </c>
      <c r="H5" s="53" t="inlineStr">
        <is>
          <t xml:space="preserve">Lot</t>
        </is>
      </c>
      <c r="I5" s="53" t="inlineStr">
        <is>
          <t xml:space="preserve"># Inspected</t>
        </is>
      </c>
      <c r="J5" s="53" t="inlineStr">
        <is>
          <t xml:space="preserve"># Pass</t>
        </is>
      </c>
      <c r="K5" s="53" t="inlineStr">
        <is>
          <t xml:space="preserve"># Fail</t>
        </is>
      </c>
      <c r="L5" s="53" t="inlineStr">
        <is>
          <t xml:space="preserve">First-Pass Yield</t>
        </is>
      </c>
      <c r="M5" s="53" t="inlineStr">
        <is>
          <t xml:space="preserve">Scrap reason / notes</t>
        </is>
      </c>
      <c r="N5" s="53" t="inlineStr">
        <is>
          <t xml:space="preserve">Tally format</t>
        </is>
      </c>
    </row>
    <row r="6" ht="27.0" customHeight="1">
      <c r="A6" s="54" t="inlineStr">
        <is>
          <t xml:space="preserve">2026-04-13</t>
        </is>
      </c>
      <c r="B6" s="54" t="inlineStr">
        <is>
          <t xml:space="preserve">Martins</t>
        </is>
      </c>
      <c r="C6" s="54" t="inlineStr">
        <is>
          <t xml:space="preserve">Toni</t>
        </is>
      </c>
      <c r="D6" s="54" t="inlineStr">
        <is>
          <t xml:space="preserve">Jesus</t>
        </is>
      </c>
      <c r="E6" s="54" t="inlineStr">
        <is>
          <t xml:space="preserve">Pelvic</t>
        </is>
      </c>
      <c r="F6" s="54" t="inlineStr">
        <is>
          <t xml:space="preserve">666506</t>
        </is>
      </c>
      <c r="G6" s="54" t="inlineStr">
        <is>
          <t xml:space="preserve">Non-intact</t>
        </is>
      </c>
      <c r="H6" s="54" t="inlineStr">
        <is>
          <t xml:space="preserve">5502378430</t>
        </is>
      </c>
      <c r="I6" s="55" t="n">
        <v>3</v>
      </c>
      <c r="J6" s="55" t="n">
        <v>3</v>
      </c>
      <c r="K6" s="55" t="n">
        <v>0</v>
      </c>
      <c r="L6" s="56" t="n">
        <f aca="false">IFERROR(J6/I6,0)</f>
      </c>
      <c r="M6" s="57" t="inlineStr">
        <is>
          <t xml:space="preserve">3 labels used for thin area in bowel (ran out of labels)</t>
        </is>
      </c>
      <c r="N6" s="54" t="inlineStr">
        <is>
          <t xml:space="preserve">Standard</t>
        </is>
      </c>
    </row>
    <row r="7" ht="27.0" customHeight="1">
      <c r="A7" s="54" t="inlineStr">
        <is>
          <t xml:space="preserve">2026-04-13</t>
        </is>
      </c>
      <c r="B7" s="54" t="inlineStr">
        <is>
          <t xml:space="preserve">Martins</t>
        </is>
      </c>
      <c r="C7" s="54" t="inlineStr">
        <is>
          <t xml:space="preserve">Toni</t>
        </is>
      </c>
      <c r="D7" s="54" t="inlineStr">
        <is>
          <t xml:space="preserve">Jesus</t>
        </is>
      </c>
      <c r="E7" s="54" t="inlineStr">
        <is>
          <t xml:space="preserve">Pelvic</t>
        </is>
      </c>
      <c r="F7" s="54" t="inlineStr">
        <is>
          <t xml:space="preserve">666541</t>
        </is>
      </c>
      <c r="G7" s="54" t="inlineStr">
        <is>
          <t xml:space="preserve">Intact</t>
        </is>
      </c>
      <c r="H7" s="54" t="inlineStr">
        <is>
          <t xml:space="preserve">5502378434</t>
        </is>
      </c>
      <c r="I7" s="55" t="n">
        <v>48</v>
      </c>
      <c r="J7" s="55" t="n">
        <v>47</v>
      </c>
      <c r="K7" s="55" t="n">
        <v>1</v>
      </c>
      <c r="L7" s="56" t="n">
        <f aca="false">IFERROR(J7/I7,0)</f>
      </c>
      <c r="M7" s="57" t="inlineStr">
        <is>
          <t xml:space="preserve">1 hole in bowel; 1 label marked for thin area in bowel</t>
        </is>
      </c>
      <c r="N7" s="54" t="inlineStr">
        <is>
          <t xml:space="preserve">Standard</t>
        </is>
      </c>
    </row>
    <row r="8" ht="13.5" customHeight="1">
      <c r="A8" s="54" t="inlineStr">
        <is>
          <t xml:space="preserve">2026-04-15</t>
        </is>
      </c>
      <c r="B8" s="54" t="inlineStr">
        <is>
          <t xml:space="preserve">Martins</t>
        </is>
      </c>
      <c r="C8" s="54" t="inlineStr">
        <is>
          <t xml:space="preserve">Toni</t>
        </is>
      </c>
      <c r="D8" s="54" t="inlineStr">
        <is>
          <t xml:space="preserve">Jesus</t>
        </is>
      </c>
      <c r="E8" s="54" t="inlineStr">
        <is>
          <t xml:space="preserve">Pelvic</t>
        </is>
      </c>
      <c r="F8" s="54" t="inlineStr">
        <is>
          <t xml:space="preserve">666506</t>
        </is>
      </c>
      <c r="G8" s="54" t="inlineStr">
        <is>
          <t xml:space="preserve">Non-intact</t>
        </is>
      </c>
      <c r="H8" s="54" t="inlineStr">
        <is>
          <t xml:space="preserve">5502378430</t>
        </is>
      </c>
      <c r="I8" s="55" t="n">
        <v>4</v>
      </c>
      <c r="J8" s="55" t="n">
        <v>4</v>
      </c>
      <c r="K8" s="55" t="n">
        <v>0</v>
      </c>
      <c r="L8" s="56" t="n">
        <f aca="false">IFERROR(J8/I8,0)</f>
      </c>
      <c r="M8" s="57" t="inlineStr">
        <is>
          <t xml:space="preserve"/>
        </is>
      </c>
      <c r="N8" s="54" t="inlineStr">
        <is>
          <t xml:space="preserve">Standard</t>
        </is>
      </c>
    </row>
    <row r="9" ht="27.0" customHeight="1">
      <c r="A9" s="54" t="inlineStr">
        <is>
          <t xml:space="preserve">2026-04-15</t>
        </is>
      </c>
      <c r="B9" s="54" t="inlineStr">
        <is>
          <t xml:space="preserve">Martins</t>
        </is>
      </c>
      <c r="C9" s="54" t="inlineStr">
        <is>
          <t xml:space="preserve">Toni</t>
        </is>
      </c>
      <c r="D9" s="54" t="inlineStr">
        <is>
          <t xml:space="preserve">Jesus</t>
        </is>
      </c>
      <c r="E9" s="54" t="inlineStr">
        <is>
          <t xml:space="preserve">Pelvic</t>
        </is>
      </c>
      <c r="F9" s="54" t="inlineStr">
        <is>
          <t xml:space="preserve">666541</t>
        </is>
      </c>
      <c r="G9" s="54" t="inlineStr">
        <is>
          <t xml:space="preserve">Intact</t>
        </is>
      </c>
      <c r="H9" s="54" t="inlineStr">
        <is>
          <t xml:space="preserve">5502378434</t>
        </is>
      </c>
      <c r="I9" s="55" t="n">
        <v>17</v>
      </c>
      <c r="J9" s="55" t="n">
        <v>13</v>
      </c>
      <c r="K9" s="55" t="n">
        <v>4</v>
      </c>
      <c r="L9" s="56" t="n">
        <f aca="false">IFERROR(J9/I9,0)</f>
      </c>
      <c r="M9" s="57" t="inlineStr">
        <is>
          <t xml:space="preserve">2 blood clots (moved to non-intact); 2 scrapped for cut in urethra</t>
        </is>
      </c>
      <c r="N9" s="54" t="inlineStr">
        <is>
          <t xml:space="preserve">Standard</t>
        </is>
      </c>
    </row>
    <row r="10" ht="13.5" customHeight="1">
      <c r="A10" s="54" t="inlineStr">
        <is>
          <t xml:space="preserve">2026-04-20</t>
        </is>
      </c>
      <c r="B10" s="54" t="inlineStr">
        <is>
          <t xml:space="preserve">Martins</t>
        </is>
      </c>
      <c r="C10" s="54" t="inlineStr">
        <is>
          <t xml:space="preserve">Toni</t>
        </is>
      </c>
      <c r="D10" s="54" t="inlineStr">
        <is>
          <t xml:space="preserve">Jesus</t>
        </is>
      </c>
      <c r="E10" s="54" t="inlineStr">
        <is>
          <t xml:space="preserve">Pelvic</t>
        </is>
      </c>
      <c r="F10" s="54" t="inlineStr">
        <is>
          <t xml:space="preserve">666506</t>
        </is>
      </c>
      <c r="G10" s="54" t="inlineStr">
        <is>
          <t xml:space="preserve">Non-intact</t>
        </is>
      </c>
      <c r="H10" s="54" t="inlineStr">
        <is>
          <t xml:space="preserve">5502391858</t>
        </is>
      </c>
      <c r="I10" s="55" t="n">
        <v>31</v>
      </c>
      <c r="J10" s="55" t="n">
        <v>29</v>
      </c>
      <c r="K10" s="55" t="n">
        <v>2</v>
      </c>
      <c r="L10" s="56" t="n">
        <f aca="false">IFERROR(J10/I10,0)</f>
      </c>
      <c r="M10" s="57" t="inlineStr">
        <is>
          <t xml:space="preserve">2 damaged after cleaning</t>
        </is>
      </c>
      <c r="N10" s="54" t="inlineStr">
        <is>
          <t xml:space="preserve">Standard</t>
        </is>
      </c>
    </row>
    <row r="11" ht="27.0" customHeight="1">
      <c r="A11" s="54" t="inlineStr">
        <is>
          <t xml:space="preserve">2026-04-20</t>
        </is>
      </c>
      <c r="B11" s="54" t="inlineStr">
        <is>
          <t xml:space="preserve">Martins</t>
        </is>
      </c>
      <c r="C11" s="54" t="inlineStr">
        <is>
          <t xml:space="preserve">Toni</t>
        </is>
      </c>
      <c r="D11" s="54" t="inlineStr">
        <is>
          <t xml:space="preserve">Jesus</t>
        </is>
      </c>
      <c r="E11" s="54" t="inlineStr">
        <is>
          <t xml:space="preserve">Pelvic</t>
        </is>
      </c>
      <c r="F11" s="54" t="inlineStr">
        <is>
          <t xml:space="preserve">666541</t>
        </is>
      </c>
      <c r="G11" s="54" t="inlineStr">
        <is>
          <t xml:space="preserve">Intact</t>
        </is>
      </c>
      <c r="H11" s="54" t="inlineStr">
        <is>
          <t xml:space="preserve">5502391862</t>
        </is>
      </c>
      <c r="I11" s="55" t="n">
        <v>0</v>
      </c>
      <c r="J11" s="55" t="n">
        <v>0</v>
      </c>
      <c r="K11" s="55" t="n">
        <v>0</v>
      </c>
      <c r="L11" s="56" t="n">
        <f aca="false">IFERROR(J11/I11,0)</f>
      </c>
      <c r="M11" s="57" t="inlineStr">
        <is>
          <t xml:space="preserve">Ran out of time (bagging set for later; SH tech start time changed to 8:00–4:30 PM)</t>
        </is>
      </c>
      <c r="N11" s="54" t="inlineStr">
        <is>
          <t xml:space="preserve">Standard</t>
        </is>
      </c>
    </row>
    <row r="12" ht="13.5" customHeight="1">
      <c r="A12" s="54" t="inlineStr">
        <is>
          <t xml:space="preserve">2026-04-22</t>
        </is>
      </c>
      <c r="B12" s="54" t="inlineStr">
        <is>
          <t xml:space="preserve">Martins</t>
        </is>
      </c>
      <c r="C12" s="54" t="inlineStr">
        <is>
          <t xml:space="preserve">Toni</t>
        </is>
      </c>
      <c r="D12" s="54" t="inlineStr">
        <is>
          <t xml:space="preserve">Jesus</t>
        </is>
      </c>
      <c r="E12" s="54" t="inlineStr">
        <is>
          <t xml:space="preserve">Pelvic</t>
        </is>
      </c>
      <c r="F12" s="54" t="inlineStr">
        <is>
          <t xml:space="preserve">666506</t>
        </is>
      </c>
      <c r="G12" s="54" t="inlineStr">
        <is>
          <t xml:space="preserve">Non-intact</t>
        </is>
      </c>
      <c r="H12" s="54" t="inlineStr">
        <is>
          <t xml:space="preserve">5502391858</t>
        </is>
      </c>
      <c r="I12" s="55" t="n">
        <v>21</v>
      </c>
      <c r="J12" s="55" t="n">
        <v>19</v>
      </c>
      <c r="K12" s="55" t="n">
        <v>2</v>
      </c>
      <c r="L12" s="56" t="n">
        <f aca="false">IFERROR(J12/I12,0)</f>
      </c>
      <c r="M12" s="57" t="inlineStr">
        <is>
          <t xml:space="preserve">2 damaged bowel</t>
        </is>
      </c>
      <c r="N12" s="54" t="inlineStr">
        <is>
          <t xml:space="preserve">Standard</t>
        </is>
      </c>
    </row>
    <row r="13" ht="13.5" customHeight="1">
      <c r="A13" s="54" t="inlineStr">
        <is>
          <t xml:space="preserve">2026-04-22</t>
        </is>
      </c>
      <c r="B13" s="54" t="inlineStr">
        <is>
          <t xml:space="preserve">Martins</t>
        </is>
      </c>
      <c r="C13" s="54" t="inlineStr">
        <is>
          <t xml:space="preserve">Toni</t>
        </is>
      </c>
      <c r="D13" s="54" t="inlineStr">
        <is>
          <t xml:space="preserve">Jesus</t>
        </is>
      </c>
      <c r="E13" s="54" t="inlineStr">
        <is>
          <t xml:space="preserve">Pelvic</t>
        </is>
      </c>
      <c r="F13" s="54" t="inlineStr">
        <is>
          <t xml:space="preserve">666541</t>
        </is>
      </c>
      <c r="G13" s="54" t="inlineStr">
        <is>
          <t xml:space="preserve">Intact</t>
        </is>
      </c>
      <c r="H13" s="54" t="inlineStr">
        <is>
          <t xml:space="preserve">5502391862</t>
        </is>
      </c>
      <c r="I13" s="55" t="n">
        <v>57</v>
      </c>
      <c r="J13" s="55" t="n">
        <v>56</v>
      </c>
      <c r="K13" s="55" t="n">
        <v>1</v>
      </c>
      <c r="L13" s="56" t="n">
        <f aca="false">IFERROR(J13/I13,0)</f>
      </c>
      <c r="M13" s="57" t="inlineStr">
        <is>
          <t xml:space="preserve">1 damaged bowel</t>
        </is>
      </c>
      <c r="N13" s="54" t="inlineStr">
        <is>
          <t xml:space="preserve">Standard</t>
        </is>
      </c>
    </row>
    <row r="14" ht="13.5" customHeight="1">
      <c r="A14" s="54" t="inlineStr">
        <is>
          <t xml:space="preserve">2026-05-04</t>
        </is>
      </c>
      <c r="B14" s="54" t="inlineStr">
        <is>
          <t xml:space="preserve">Martins</t>
        </is>
      </c>
      <c r="C14" s="54" t="inlineStr">
        <is>
          <t xml:space="preserve">Toni</t>
        </is>
      </c>
      <c r="D14" s="54" t="inlineStr">
        <is>
          <t xml:space="preserve">Jesus</t>
        </is>
      </c>
      <c r="E14" s="54" t="inlineStr">
        <is>
          <t xml:space="preserve">Pelvic</t>
        </is>
      </c>
      <c r="F14" s="54" t="inlineStr">
        <is>
          <t xml:space="preserve">666506</t>
        </is>
      </c>
      <c r="G14" s="54" t="inlineStr">
        <is>
          <t xml:space="preserve">Non-intact</t>
        </is>
      </c>
      <c r="H14" s="54" t="inlineStr">
        <is>
          <t xml:space="preserve">5502404924</t>
        </is>
      </c>
      <c r="I14" s="55" t="n">
        <v>16</v>
      </c>
      <c r="J14" s="55" t="n">
        <v>13</v>
      </c>
      <c r="K14" s="55" t="n">
        <v>3</v>
      </c>
      <c r="L14" s="56" t="n">
        <f aca="false">IFERROR(J14/I14,0)</f>
      </c>
      <c r="M14" s="57" t="inlineStr">
        <is>
          <t xml:space="preserve">3 damaged urethra</t>
        </is>
      </c>
      <c r="N14" s="54" t="inlineStr">
        <is>
          <t xml:space="preserve">Standard</t>
        </is>
      </c>
    </row>
    <row r="15" ht="13.5" customHeight="1">
      <c r="A15" s="54" t="inlineStr">
        <is>
          <t xml:space="preserve">2026-05-04</t>
        </is>
      </c>
      <c r="B15" s="54" t="inlineStr">
        <is>
          <t xml:space="preserve">Martins</t>
        </is>
      </c>
      <c r="C15" s="54" t="inlineStr">
        <is>
          <t xml:space="preserve">Toni</t>
        </is>
      </c>
      <c r="D15" s="54" t="inlineStr">
        <is>
          <t xml:space="preserve">Jesus</t>
        </is>
      </c>
      <c r="E15" s="54" t="inlineStr">
        <is>
          <t xml:space="preserve">Pelvic</t>
        </is>
      </c>
      <c r="F15" s="54" t="inlineStr">
        <is>
          <t xml:space="preserve">666541</t>
        </is>
      </c>
      <c r="G15" s="54" t="inlineStr">
        <is>
          <t xml:space="preserve">Intact</t>
        </is>
      </c>
      <c r="H15" s="54" t="inlineStr">
        <is>
          <t xml:space="preserve">5502404928</t>
        </is>
      </c>
      <c r="I15" s="55" t="n">
        <v>37</v>
      </c>
      <c r="J15" s="55" t="n">
        <v>36</v>
      </c>
      <c r="K15" s="55" t="n">
        <v>1</v>
      </c>
      <c r="L15" s="56" t="n">
        <f aca="false">IFERROR(J15/I15,0)</f>
      </c>
      <c r="M15" s="57" t="inlineStr">
        <is>
          <t xml:space="preserve">1 damaged urethra</t>
        </is>
      </c>
      <c r="N15" s="54" t="inlineStr">
        <is>
          <t xml:space="preserve">Standard</t>
        </is>
      </c>
    </row>
    <row r="16" ht="13.5" customHeight="1">
      <c r="A16" s="54" t="inlineStr">
        <is>
          <t xml:space="preserve">2026-05-06</t>
        </is>
      </c>
      <c r="B16" s="54" t="inlineStr">
        <is>
          <t xml:space="preserve">Martins</t>
        </is>
      </c>
      <c r="C16" s="54" t="inlineStr">
        <is>
          <t xml:space="preserve">Toni</t>
        </is>
      </c>
      <c r="D16" s="54" t="inlineStr">
        <is>
          <t xml:space="preserve">Jesus</t>
        </is>
      </c>
      <c r="E16" s="54" t="inlineStr">
        <is>
          <t xml:space="preserve">Pelvic</t>
        </is>
      </c>
      <c r="F16" s="54" t="inlineStr">
        <is>
          <t xml:space="preserve">666506</t>
        </is>
      </c>
      <c r="G16" s="54" t="inlineStr">
        <is>
          <t xml:space="preserve">Non-intact</t>
        </is>
      </c>
      <c r="H16" s="54" t="inlineStr">
        <is>
          <t xml:space="preserve">5502404924</t>
        </is>
      </c>
      <c r="I16" s="55" t="n">
        <v>29</v>
      </c>
      <c r="J16" s="55" t="n">
        <v>28</v>
      </c>
      <c r="K16" s="55" t="n">
        <v>1</v>
      </c>
      <c r="L16" s="56" t="n">
        <f aca="false">IFERROR(J16/I16,0)</f>
      </c>
      <c r="M16" s="57" t="inlineStr">
        <is>
          <t xml:space="preserve">1 small bladder</t>
        </is>
      </c>
      <c r="N16" s="54" t="inlineStr">
        <is>
          <t xml:space="preserve">Standard</t>
        </is>
      </c>
    </row>
    <row r="17" ht="13.5" customHeight="1">
      <c r="A17" s="54" t="inlineStr">
        <is>
          <t xml:space="preserve">2026-05-06</t>
        </is>
      </c>
      <c r="B17" s="54" t="inlineStr">
        <is>
          <t xml:space="preserve">Martins</t>
        </is>
      </c>
      <c r="C17" s="54" t="inlineStr">
        <is>
          <t xml:space="preserve">Toni</t>
        </is>
      </c>
      <c r="D17" s="54" t="inlineStr">
        <is>
          <t xml:space="preserve">Jesus</t>
        </is>
      </c>
      <c r="E17" s="54" t="inlineStr">
        <is>
          <t xml:space="preserve">Pelvic</t>
        </is>
      </c>
      <c r="F17" s="54" t="inlineStr">
        <is>
          <t xml:space="preserve">666541</t>
        </is>
      </c>
      <c r="G17" s="54" t="inlineStr">
        <is>
          <t xml:space="preserve">Intact</t>
        </is>
      </c>
      <c r="H17" s="54" t="inlineStr">
        <is>
          <t xml:space="preserve">5502404928</t>
        </is>
      </c>
      <c r="I17" s="55" t="n">
        <v>25</v>
      </c>
      <c r="J17" s="55" t="n">
        <v>22</v>
      </c>
      <c r="K17" s="55" t="n">
        <v>3</v>
      </c>
      <c r="L17" s="56" t="n">
        <f aca="false">IFERROR(J17/I17,0)</f>
      </c>
      <c r="M17" s="57" t="inlineStr">
        <is>
          <t xml:space="preserve">3 damaged urethra</t>
        </is>
      </c>
      <c r="N17" s="54" t="inlineStr">
        <is>
          <t xml:space="preserve">Standard</t>
        </is>
      </c>
    </row>
    <row r="18" ht="13.5" customHeight="1">
      <c r="A18" s="54" t="inlineStr">
        <is>
          <t xml:space="preserve">2026-05-18</t>
        </is>
      </c>
      <c r="B18" s="54" t="inlineStr">
        <is>
          <t xml:space="preserve">Martins</t>
        </is>
      </c>
      <c r="C18" s="54" t="inlineStr">
        <is>
          <t xml:space="preserve">Toni</t>
        </is>
      </c>
      <c r="D18" s="54" t="inlineStr">
        <is>
          <t xml:space="preserve">Jesus</t>
        </is>
      </c>
      <c r="E18" s="54" t="inlineStr">
        <is>
          <t xml:space="preserve">Pelvic</t>
        </is>
      </c>
      <c r="F18" s="54" t="inlineStr">
        <is>
          <t xml:space="preserve">666506</t>
        </is>
      </c>
      <c r="G18" s="54" t="inlineStr">
        <is>
          <t xml:space="preserve">Non-intact</t>
        </is>
      </c>
      <c r="H18" s="54" t="inlineStr">
        <is>
          <t xml:space="preserve">5502421188</t>
        </is>
      </c>
      <c r="I18" s="55" t="n">
        <v>43</v>
      </c>
      <c r="J18" s="55" t="n">
        <v>42</v>
      </c>
      <c r="K18" s="55" t="n">
        <v>1</v>
      </c>
      <c r="L18" s="56" t="n">
        <f aca="false">IFERROR(J18/I18,0)</f>
      </c>
      <c r="M18" s="57" t="inlineStr">
        <is>
          <t xml:space="preserve">1 deformed ligaments clumped together</t>
        </is>
      </c>
      <c r="N18" s="54" t="inlineStr">
        <is>
          <t xml:space="preserve">Standard</t>
        </is>
      </c>
    </row>
    <row r="19" ht="13.5" customHeight="1">
      <c r="A19" s="54" t="inlineStr">
        <is>
          <t xml:space="preserve">2026-05-18</t>
        </is>
      </c>
      <c r="B19" s="54" t="inlineStr">
        <is>
          <t xml:space="preserve">Martins</t>
        </is>
      </c>
      <c r="C19" s="54" t="inlineStr">
        <is>
          <t xml:space="preserve">Toni</t>
        </is>
      </c>
      <c r="D19" s="54" t="inlineStr">
        <is>
          <t xml:space="preserve">Jesus</t>
        </is>
      </c>
      <c r="E19" s="54" t="inlineStr">
        <is>
          <t xml:space="preserve">Pelvic</t>
        </is>
      </c>
      <c r="F19" s="54" t="inlineStr">
        <is>
          <t xml:space="preserve">666541</t>
        </is>
      </c>
      <c r="G19" s="54" t="inlineStr">
        <is>
          <t xml:space="preserve">Intact</t>
        </is>
      </c>
      <c r="H19" s="54" t="inlineStr">
        <is>
          <t xml:space="preserve">5502421192</t>
        </is>
      </c>
      <c r="I19" s="55" t="n">
        <v>62</v>
      </c>
      <c r="J19" s="55" t="n">
        <v>58</v>
      </c>
      <c r="K19" s="55" t="n">
        <v>4</v>
      </c>
      <c r="L19" s="56" t="n">
        <f aca="false">IFERROR(J19/I19,0)</f>
      </c>
      <c r="M19" s="57" t="inlineStr">
        <is>
          <t xml:space="preserve">3 cut urethra; 1 short block</t>
        </is>
      </c>
      <c r="N19" s="54" t="inlineStr">
        <is>
          <t xml:space="preserve">Standard</t>
        </is>
      </c>
    </row>
    <row r="20" ht="13.5" customHeight="1">
      <c r="A20" s="54" t="inlineStr">
        <is>
          <t xml:space="preserve">2026-05-21</t>
        </is>
      </c>
      <c r="B20" s="54" t="inlineStr">
        <is>
          <t xml:space="preserve">Martins</t>
        </is>
      </c>
      <c r="C20" s="54" t="inlineStr">
        <is>
          <t xml:space="preserve">Toni</t>
        </is>
      </c>
      <c r="D20" s="54" t="inlineStr">
        <is>
          <t xml:space="preserve">Jesus</t>
        </is>
      </c>
      <c r="E20" s="54" t="inlineStr">
        <is>
          <t xml:space="preserve">Pelvic</t>
        </is>
      </c>
      <c r="F20" s="54" t="inlineStr">
        <is>
          <t xml:space="preserve">666506</t>
        </is>
      </c>
      <c r="G20" s="54" t="inlineStr">
        <is>
          <t xml:space="preserve">Non-intact</t>
        </is>
      </c>
      <c r="H20" s="54" t="inlineStr">
        <is>
          <t xml:space="preserve">5502421188</t>
        </is>
      </c>
      <c r="I20" s="55" t="n">
        <v>30</v>
      </c>
      <c r="J20" s="55" t="n">
        <v>29</v>
      </c>
      <c r="K20" s="55" t="n">
        <v>1</v>
      </c>
      <c r="L20" s="56" t="n">
        <f aca="false">IFERROR(J20/I20,0)</f>
      </c>
      <c r="M20" s="57" t="inlineStr">
        <is>
          <t xml:space="preserve">1 damaged membrane and ureter</t>
        </is>
      </c>
      <c r="N20" s="54" t="inlineStr">
        <is>
          <t xml:space="preserve">Standard</t>
        </is>
      </c>
    </row>
    <row r="21" ht="13.5" customHeight="1">
      <c r="A21" s="54" t="inlineStr">
        <is>
          <t xml:space="preserve">2026-05-21</t>
        </is>
      </c>
      <c r="B21" s="54" t="inlineStr">
        <is>
          <t xml:space="preserve">Martins</t>
        </is>
      </c>
      <c r="C21" s="54" t="inlineStr">
        <is>
          <t xml:space="preserve">Toni</t>
        </is>
      </c>
      <c r="D21" s="54" t="inlineStr">
        <is>
          <t xml:space="preserve">Jesus</t>
        </is>
      </c>
      <c r="E21" s="54" t="inlineStr">
        <is>
          <t xml:space="preserve">Pelvic</t>
        </is>
      </c>
      <c r="F21" s="54" t="inlineStr">
        <is>
          <t xml:space="preserve">666541</t>
        </is>
      </c>
      <c r="G21" s="54" t="inlineStr">
        <is>
          <t xml:space="preserve">Intact</t>
        </is>
      </c>
      <c r="H21" s="54" t="inlineStr">
        <is>
          <t xml:space="preserve">5502421192</t>
        </is>
      </c>
      <c r="I21" s="55" t="n">
        <v>31</v>
      </c>
      <c r="J21" s="55" t="n">
        <v>29</v>
      </c>
      <c r="K21" s="55" t="n">
        <v>2</v>
      </c>
      <c r="L21" s="56" t="n">
        <f aca="false">IFERROR(J21/I21,0)</f>
      </c>
      <c r="M21" s="57" t="inlineStr">
        <is>
          <t xml:space="preserve">2 cut urethra</t>
        </is>
      </c>
      <c r="N21" s="54" t="inlineStr">
        <is>
          <t xml:space="preserve">Standard</t>
        </is>
      </c>
    </row>
    <row r="22" ht="13.5" customHeight="1">
      <c r="A22" s="54" t="inlineStr">
        <is>
          <t xml:space="preserve">2026-05-27</t>
        </is>
      </c>
      <c r="B22" s="54" t="inlineStr">
        <is>
          <t xml:space="preserve">Martins</t>
        </is>
      </c>
      <c r="C22" s="54" t="inlineStr">
        <is>
          <t xml:space="preserve">Toni</t>
        </is>
      </c>
      <c r="D22" s="54" t="inlineStr">
        <is>
          <t xml:space="preserve">Jesus</t>
        </is>
      </c>
      <c r="E22" s="54" t="inlineStr">
        <is>
          <t xml:space="preserve">Pelvic</t>
        </is>
      </c>
      <c r="F22" s="54" t="inlineStr">
        <is>
          <t xml:space="preserve">666541</t>
        </is>
      </c>
      <c r="G22" s="54" t="inlineStr">
        <is>
          <t xml:space="preserve">Intact</t>
        </is>
      </c>
      <c r="H22" s="54" t="inlineStr">
        <is>
          <t xml:space="preserve">5502421192</t>
        </is>
      </c>
      <c r="I22" s="55" t="n">
        <v>39</v>
      </c>
      <c r="J22" s="55" t="n">
        <v>36</v>
      </c>
      <c r="K22" s="55" t="n">
        <v>3</v>
      </c>
      <c r="L22" s="56" t="n">
        <f aca="false">IFERROR(J22/I22,0)</f>
      </c>
      <c r="M22" s="57" t="inlineStr">
        <is>
          <t xml:space="preserve">1 hole in bowel; 2 membrane damage &gt;0.5"</t>
        </is>
      </c>
      <c r="N22" s="54" t="inlineStr">
        <is>
          <t xml:space="preserve">Standard</t>
        </is>
      </c>
    </row>
    <row r="23" ht="27.0" customHeight="1">
      <c r="A23" s="54" t="inlineStr">
        <is>
          <t xml:space="preserve">2026-05-28</t>
        </is>
      </c>
      <c r="B23" s="54" t="inlineStr">
        <is>
          <t xml:space="preserve">Parks Family Meats</t>
        </is>
      </c>
      <c r="C23" s="54" t="inlineStr">
        <is>
          <t xml:space="preserve">Rasmin</t>
        </is>
      </c>
      <c r="D23" s="54" t="inlineStr">
        <is>
          <t xml:space="preserve">Natalie</t>
        </is>
      </c>
      <c r="E23" s="54" t="inlineStr">
        <is>
          <t xml:space="preserve">Pelvic</t>
        </is>
      </c>
      <c r="F23" s="54" t="inlineStr">
        <is>
          <t xml:space="preserve">666518</t>
        </is>
      </c>
      <c r="G23" s="54" t="inlineStr">
        <is>
          <t xml:space="preserve">Intact (SM)</t>
        </is>
      </c>
      <c r="H23" s="54" t="inlineStr">
        <is>
          <t xml:space="preserve">(no batch data)</t>
        </is>
      </c>
      <c r="I23" s="55" t="n">
        <v>16</v>
      </c>
      <c r="J23" s="55" t="n">
        <v>11</v>
      </c>
      <c r="K23" s="55" t="n">
        <v>5</v>
      </c>
      <c r="L23" s="56" t="n">
        <f aca="false">IFERROR(J23/I23,0)</f>
      </c>
      <c r="M23" s="57" t="inlineStr">
        <is>
          <t xml:space="preserve">4 mesentery length too short in critical zone; 1 bladder damage (internals exposed)</t>
        </is>
      </c>
      <c r="N23" s="54" t="inlineStr">
        <is>
          <t xml:space="preserve">Standard</t>
        </is>
      </c>
    </row>
    <row r="24" ht="13.5" customHeight="1">
      <c r="A24" s="54" t="inlineStr">
        <is>
          <t xml:space="preserve">2026-06-01</t>
        </is>
      </c>
      <c r="B24" s="54" t="inlineStr">
        <is>
          <t xml:space="preserve">Martins</t>
        </is>
      </c>
      <c r="C24" s="54" t="inlineStr">
        <is>
          <t xml:space="preserve">Toni</t>
        </is>
      </c>
      <c r="D24" s="54" t="inlineStr">
        <is>
          <t xml:space="preserve">Jesus</t>
        </is>
      </c>
      <c r="E24" s="54" t="inlineStr">
        <is>
          <t xml:space="preserve">Pelvic</t>
        </is>
      </c>
      <c r="F24" s="54" t="inlineStr">
        <is>
          <t xml:space="preserve">666506</t>
        </is>
      </c>
      <c r="G24" s="54" t="inlineStr">
        <is>
          <t xml:space="preserve">Non-intact</t>
        </is>
      </c>
      <c r="H24" s="54" t="inlineStr">
        <is>
          <t xml:space="preserve">5502428782</t>
        </is>
      </c>
      <c r="I24" s="55" t="n">
        <v>7</v>
      </c>
      <c r="J24" s="55" t="n">
        <v>7</v>
      </c>
      <c r="K24" s="55" t="n">
        <v>0</v>
      </c>
      <c r="L24" s="56" t="n">
        <f aca="false">IFERROR(J24/I24,0)</f>
      </c>
      <c r="M24" s="57" t="inlineStr">
        <is>
          <t xml:space="preserve"/>
        </is>
      </c>
      <c r="N24" s="54" t="inlineStr">
        <is>
          <t xml:space="preserve">Standard</t>
        </is>
      </c>
    </row>
    <row r="25" ht="13.5" customHeight="1">
      <c r="A25" s="54" t="inlineStr">
        <is>
          <t xml:space="preserve">2026-06-01</t>
        </is>
      </c>
      <c r="B25" s="54" t="inlineStr">
        <is>
          <t xml:space="preserve">Martins</t>
        </is>
      </c>
      <c r="C25" s="54" t="inlineStr">
        <is>
          <t xml:space="preserve">Toni</t>
        </is>
      </c>
      <c r="D25" s="54" t="inlineStr">
        <is>
          <t xml:space="preserve">Jesus</t>
        </is>
      </c>
      <c r="E25" s="54" t="inlineStr">
        <is>
          <t xml:space="preserve">Pelvic</t>
        </is>
      </c>
      <c r="F25" s="54" t="inlineStr">
        <is>
          <t xml:space="preserve">666541</t>
        </is>
      </c>
      <c r="G25" s="54" t="inlineStr">
        <is>
          <t xml:space="preserve">Intact</t>
        </is>
      </c>
      <c r="H25" s="54" t="inlineStr">
        <is>
          <t xml:space="preserve">5502428786</t>
        </is>
      </c>
      <c r="I25" s="55" t="n">
        <v>9</v>
      </c>
      <c r="J25" s="55" t="n">
        <v>9</v>
      </c>
      <c r="K25" s="55" t="n">
        <v>0</v>
      </c>
      <c r="L25" s="56" t="n">
        <f aca="false">IFERROR(J25/I25,0)</f>
      </c>
      <c r="M25" s="57" t="inlineStr">
        <is>
          <t xml:space="preserve"/>
        </is>
      </c>
      <c r="N25" s="54" t="inlineStr">
        <is>
          <t xml:space="preserve">Standard</t>
        </is>
      </c>
    </row>
    <row r="26" ht="13.5" customHeight="1">
      <c r="A26" s="54" t="inlineStr">
        <is>
          <t xml:space="preserve">2026-06-02</t>
        </is>
      </c>
      <c r="B26" s="54" t="inlineStr">
        <is>
          <t xml:space="preserve">Parks Family Meats</t>
        </is>
      </c>
      <c r="C26" s="54" t="inlineStr">
        <is>
          <t xml:space="preserve">Rasmin</t>
        </is>
      </c>
      <c r="D26" s="54" t="inlineStr">
        <is>
          <t xml:space="preserve">Natalie</t>
        </is>
      </c>
      <c r="E26" s="54" t="inlineStr">
        <is>
          <t xml:space="preserve">Pelvic</t>
        </is>
      </c>
      <c r="F26" s="54" t="inlineStr">
        <is>
          <t xml:space="preserve">666518</t>
        </is>
      </c>
      <c r="G26" s="54" t="inlineStr">
        <is>
          <t xml:space="preserve">Intact (SM)</t>
        </is>
      </c>
      <c r="H26" s="54" t="inlineStr">
        <is>
          <t xml:space="preserve">(no batch data)</t>
        </is>
      </c>
      <c r="I26" s="55" t="n">
        <v>7</v>
      </c>
      <c r="J26" s="55" t="n">
        <v>7</v>
      </c>
      <c r="K26" s="55" t="n">
        <v>0</v>
      </c>
      <c r="L26" s="56" t="n">
        <f aca="false">IFERROR(J26/I26,0)</f>
      </c>
      <c r="M26" s="57" t="inlineStr">
        <is>
          <t xml:space="preserve"/>
        </is>
      </c>
      <c r="N26" s="54" t="inlineStr">
        <is>
          <t xml:space="preserve">Standard</t>
        </is>
      </c>
    </row>
    <row r="27" ht="13.5" customHeight="1">
      <c r="A27" s="54" t="inlineStr">
        <is>
          <t xml:space="preserve">2026-06-03</t>
        </is>
      </c>
      <c r="B27" s="54" t="inlineStr">
        <is>
          <t xml:space="preserve">Martins</t>
        </is>
      </c>
      <c r="C27" s="54" t="inlineStr">
        <is>
          <t xml:space="preserve">Toni</t>
        </is>
      </c>
      <c r="D27" s="54" t="inlineStr">
        <is>
          <t xml:space="preserve">Jesus</t>
        </is>
      </c>
      <c r="E27" s="54" t="inlineStr">
        <is>
          <t xml:space="preserve">Pelvic</t>
        </is>
      </c>
      <c r="F27" s="54" t="inlineStr">
        <is>
          <t xml:space="preserve">666506</t>
        </is>
      </c>
      <c r="G27" s="54" t="inlineStr">
        <is>
          <t xml:space="preserve">Non-intact</t>
        </is>
      </c>
      <c r="H27" s="54" t="inlineStr">
        <is>
          <t xml:space="preserve">5502428782</t>
        </is>
      </c>
      <c r="I27" s="55" t="n">
        <v>29</v>
      </c>
      <c r="J27" s="55" t="n">
        <v>29</v>
      </c>
      <c r="K27" s="55" t="n">
        <v>0</v>
      </c>
      <c r="L27" s="56" t="n">
        <f aca="false">IFERROR(J27/I27,0)</f>
      </c>
      <c r="M27" s="57" t="inlineStr">
        <is>
          <t xml:space="preserve"/>
        </is>
      </c>
      <c r="N27" s="54" t="inlineStr">
        <is>
          <t xml:space="preserve">Standard</t>
        </is>
      </c>
    </row>
    <row r="28" ht="13.5" customHeight="1">
      <c r="A28" s="54" t="inlineStr">
        <is>
          <t xml:space="preserve">2026-06-03</t>
        </is>
      </c>
      <c r="B28" s="54" t="inlineStr">
        <is>
          <t xml:space="preserve">Martins</t>
        </is>
      </c>
      <c r="C28" s="54" t="inlineStr">
        <is>
          <t xml:space="preserve">Toni</t>
        </is>
      </c>
      <c r="D28" s="54" t="inlineStr">
        <is>
          <t xml:space="preserve">Jesus</t>
        </is>
      </c>
      <c r="E28" s="54" t="inlineStr">
        <is>
          <t xml:space="preserve">Pelvic</t>
        </is>
      </c>
      <c r="F28" s="54" t="inlineStr">
        <is>
          <t xml:space="preserve">666541</t>
        </is>
      </c>
      <c r="G28" s="54" t="inlineStr">
        <is>
          <t xml:space="preserve">Intact</t>
        </is>
      </c>
      <c r="H28" s="54" t="inlineStr">
        <is>
          <t xml:space="preserve">5502428786</t>
        </is>
      </c>
      <c r="I28" s="55" t="n">
        <v>45</v>
      </c>
      <c r="J28" s="55" t="n">
        <v>43</v>
      </c>
      <c r="K28" s="55" t="n">
        <v>2</v>
      </c>
      <c r="L28" s="56" t="n">
        <f aca="false">IFERROR(J28/I28,0)</f>
      </c>
      <c r="M28" s="57" t="inlineStr">
        <is>
          <t xml:space="preserve">2 scrapped urethra</t>
        </is>
      </c>
      <c r="N28" s="54" t="inlineStr">
        <is>
          <t xml:space="preserve">Standard</t>
        </is>
      </c>
    </row>
    <row r="29" ht="13.5" customHeight="1">
      <c r="A29" s="54" t="inlineStr">
        <is>
          <t xml:space="preserve">2026-06-08</t>
        </is>
      </c>
      <c r="B29" s="54" t="inlineStr">
        <is>
          <t xml:space="preserve">Martins</t>
        </is>
      </c>
      <c r="C29" s="54" t="inlineStr">
        <is>
          <t xml:space="preserve">Toni</t>
        </is>
      </c>
      <c r="D29" s="54" t="inlineStr">
        <is>
          <t xml:space="preserve">Jesus</t>
        </is>
      </c>
      <c r="E29" s="54" t="inlineStr">
        <is>
          <t xml:space="preserve">Pelvic</t>
        </is>
      </c>
      <c r="F29" s="54" t="inlineStr">
        <is>
          <t xml:space="preserve">666506</t>
        </is>
      </c>
      <c r="G29" s="54" t="inlineStr">
        <is>
          <t xml:space="preserve">Non-intact</t>
        </is>
      </c>
      <c r="H29" s="54" t="inlineStr">
        <is>
          <t xml:space="preserve">5502428782</t>
        </is>
      </c>
      <c r="I29" s="55" t="n">
        <v>13</v>
      </c>
      <c r="J29" s="55" t="n">
        <v>12</v>
      </c>
      <c r="K29" s="55" t="n">
        <v>1</v>
      </c>
      <c r="L29" s="56" t="n">
        <f aca="false">IFERROR(J29/I29,0)</f>
      </c>
      <c r="M29" s="57" t="inlineStr">
        <is>
          <t xml:space="preserve">1 short block</t>
        </is>
      </c>
      <c r="N29" s="54" t="inlineStr">
        <is>
          <t xml:space="preserve">Standard</t>
        </is>
      </c>
    </row>
    <row r="30" ht="13.5" customHeight="1">
      <c r="A30" s="54" t="inlineStr">
        <is>
          <t xml:space="preserve">2026-06-08</t>
        </is>
      </c>
      <c r="B30" s="54" t="inlineStr">
        <is>
          <t xml:space="preserve">Martins</t>
        </is>
      </c>
      <c r="C30" s="54" t="inlineStr">
        <is>
          <t xml:space="preserve">Toni</t>
        </is>
      </c>
      <c r="D30" s="54" t="inlineStr">
        <is>
          <t xml:space="preserve">Jesus</t>
        </is>
      </c>
      <c r="E30" s="54" t="inlineStr">
        <is>
          <t xml:space="preserve">Pelvic</t>
        </is>
      </c>
      <c r="F30" s="54" t="inlineStr">
        <is>
          <t xml:space="preserve">666541</t>
        </is>
      </c>
      <c r="G30" s="54" t="inlineStr">
        <is>
          <t xml:space="preserve">Intact</t>
        </is>
      </c>
      <c r="H30" s="54" t="inlineStr">
        <is>
          <t xml:space="preserve">5502428786</t>
        </is>
      </c>
      <c r="I30" s="55" t="n">
        <v>17</v>
      </c>
      <c r="J30" s="55" t="n">
        <v>16</v>
      </c>
      <c r="K30" s="55" t="n">
        <v>1</v>
      </c>
      <c r="L30" s="56" t="n">
        <f aca="false">IFERROR(J30/I30,0)</f>
      </c>
      <c r="M30" s="57" t="inlineStr">
        <is>
          <t xml:space="preserve">1 cut urethra</t>
        </is>
      </c>
      <c r="N30" s="54" t="inlineStr">
        <is>
          <t xml:space="preserve">Standard</t>
        </is>
      </c>
    </row>
    <row r="31" ht="27.0" customHeight="1">
      <c r="A31" s="54" t="inlineStr">
        <is>
          <t xml:space="preserve">2026-06-15</t>
        </is>
      </c>
      <c r="B31" s="54" t="inlineStr">
        <is>
          <t xml:space="preserve">Martins</t>
        </is>
      </c>
      <c r="C31" s="54" t="inlineStr">
        <is>
          <t xml:space="preserve">Toni</t>
        </is>
      </c>
      <c r="D31" s="54" t="inlineStr">
        <is>
          <t xml:space="preserve">Jesus</t>
        </is>
      </c>
      <c r="E31" s="54" t="inlineStr">
        <is>
          <t xml:space="preserve">Pelvic</t>
        </is>
      </c>
      <c r="F31" s="54" t="inlineStr">
        <is>
          <t xml:space="preserve">666541</t>
        </is>
      </c>
      <c r="G31" s="54" t="inlineStr">
        <is>
          <t xml:space="preserve">Intact</t>
        </is>
      </c>
      <c r="H31" s="54" t="inlineStr">
        <is>
          <t xml:space="preserve">5502462845</t>
        </is>
      </c>
      <c r="I31" s="55" t="n">
        <v>31</v>
      </c>
      <c r="J31" s="55" t="n">
        <v>30</v>
      </c>
      <c r="K31" s="55" t="n">
        <v>1</v>
      </c>
      <c r="L31" s="56" t="n">
        <f aca="false">IFERROR(J31/I31,0)</f>
      </c>
      <c r="M31" s="57" t="inlineStr">
        <is>
          <t xml:space="preserve">1 damaged bowel (source had two intact tally lines: 13/12/1 + 18/18/0, combined here)</t>
        </is>
      </c>
      <c r="N31" s="54" t="inlineStr">
        <is>
          <t xml:space="preserve">Standard</t>
        </is>
      </c>
    </row>
    <row r="32" ht="27.0" customHeight="1">
      <c r="A32" s="54" t="inlineStr">
        <is>
          <t xml:space="preserve">2026-06-16</t>
        </is>
      </c>
      <c r="B32" s="54" t="inlineStr">
        <is>
          <t xml:space="preserve">Parks Family Meats</t>
        </is>
      </c>
      <c r="C32" s="54" t="inlineStr">
        <is>
          <t xml:space="preserve">Rasmin</t>
        </is>
      </c>
      <c r="D32" s="54" t="inlineStr">
        <is>
          <t xml:space="preserve">Natalie</t>
        </is>
      </c>
      <c r="E32" s="54" t="inlineStr">
        <is>
          <t xml:space="preserve">Pelvic</t>
        </is>
      </c>
      <c r="F32" s="54" t="inlineStr">
        <is>
          <t xml:space="preserve">666518</t>
        </is>
      </c>
      <c r="G32" s="54" t="inlineStr">
        <is>
          <t xml:space="preserve">Intact (SM)</t>
        </is>
      </c>
      <c r="H32" s="54" t="inlineStr">
        <is>
          <t xml:space="preserve">(no batch data)</t>
        </is>
      </c>
      <c r="I32" s="55" t="n">
        <v>16</v>
      </c>
      <c r="J32" s="55" t="n">
        <v>14</v>
      </c>
      <c r="K32" s="55" t="n">
        <v>2</v>
      </c>
      <c r="L32" s="56" t="n">
        <f aca="false">IFERROR(J32/I32,0)</f>
      </c>
      <c r="M32" s="57" t="inlineStr">
        <is>
          <t xml:space="preserve">1 bladder hole; 1 ureter damage (many blocks failed upstream from miscuts during removal — see notes)</t>
        </is>
      </c>
      <c r="N32" s="54" t="inlineStr">
        <is>
          <t xml:space="preserve">Standard</t>
        </is>
      </c>
    </row>
    <row r="33" ht="27.0" customHeight="1">
      <c r="A33" s="54" t="inlineStr">
        <is>
          <t xml:space="preserve">2026-06-22</t>
        </is>
      </c>
      <c r="B33" s="54" t="inlineStr">
        <is>
          <t xml:space="preserve">Parks Family Meats</t>
        </is>
      </c>
      <c r="C33" s="54" t="inlineStr">
        <is>
          <t xml:space="preserve">Rasmin</t>
        </is>
      </c>
      <c r="D33" s="54" t="inlineStr">
        <is>
          <t xml:space="preserve">Natalie</t>
        </is>
      </c>
      <c r="E33" s="54" t="inlineStr">
        <is>
          <t xml:space="preserve">Pelvic</t>
        </is>
      </c>
      <c r="F33" s="54" t="inlineStr">
        <is>
          <t xml:space="preserve">666518</t>
        </is>
      </c>
      <c r="G33" s="54" t="inlineStr">
        <is>
          <t xml:space="preserve">Intact (SM)</t>
        </is>
      </c>
      <c r="H33" s="54" t="inlineStr">
        <is>
          <t xml:space="preserve">(no batch data)</t>
        </is>
      </c>
      <c r="I33" s="55" t="n">
        <v>36</v>
      </c>
      <c r="J33" s="55" t="n">
        <v>31</v>
      </c>
      <c r="K33" s="55" t="n">
        <v>5</v>
      </c>
      <c r="L33" s="56" t="n">
        <f aca="false">IFERROR(J33/I33,0)</f>
      </c>
      <c r="M33" s="57" t="inlineStr">
        <is>
          <t xml:space="preserve">1 bladder hole; 2 critical-area lacerations; 2 short blocks</t>
        </is>
      </c>
      <c r="N33" s="54" t="inlineStr">
        <is>
          <t xml:space="preserve">Standard</t>
        </is>
      </c>
    </row>
    <row r="34" ht="13.5" customHeight="1">
      <c r="A34" s="54" t="inlineStr">
        <is>
          <t xml:space="preserve">2026-06-24</t>
        </is>
      </c>
      <c r="B34" s="54" t="inlineStr">
        <is>
          <t xml:space="preserve">Martins</t>
        </is>
      </c>
      <c r="C34" s="54" t="inlineStr">
        <is>
          <t xml:space="preserve">Toni</t>
        </is>
      </c>
      <c r="D34" s="54" t="inlineStr">
        <is>
          <t xml:space="preserve">Jesus</t>
        </is>
      </c>
      <c r="E34" s="54" t="inlineStr">
        <is>
          <t xml:space="preserve">Pelvic</t>
        </is>
      </c>
      <c r="F34" s="54" t="inlineStr">
        <is>
          <t xml:space="preserve">666541</t>
        </is>
      </c>
      <c r="G34" s="54" t="inlineStr">
        <is>
          <t xml:space="preserve">Intact</t>
        </is>
      </c>
      <c r="H34" s="54" t="inlineStr">
        <is>
          <t xml:space="preserve">5502462845</t>
        </is>
      </c>
      <c r="I34" s="55" t="n">
        <v>34</v>
      </c>
      <c r="J34" s="55" t="n">
        <v>30</v>
      </c>
      <c r="K34" s="55" t="n">
        <v>4</v>
      </c>
      <c r="L34" s="56" t="n">
        <f aca="false">IFERROR(J34/I34,0)</f>
      </c>
      <c r="M34" s="57" t="inlineStr">
        <is>
          <t xml:space="preserve">1 damaged bladder; 3 damaged membrane</t>
        </is>
      </c>
      <c r="N34" s="54" t="inlineStr">
        <is>
          <t xml:space="preserve">Standard</t>
        </is>
      </c>
    </row>
    <row r="35" ht="13.5" customHeight="1">
      <c r="A35" s="54" t="inlineStr">
        <is>
          <t xml:space="preserve">2026-06-25</t>
        </is>
      </c>
      <c r="B35" s="54" t="inlineStr">
        <is>
          <t xml:space="preserve">Parks Family Meats</t>
        </is>
      </c>
      <c r="C35" s="54" t="inlineStr">
        <is>
          <t xml:space="preserve">Rasmin</t>
        </is>
      </c>
      <c r="D35" s="54" t="inlineStr">
        <is>
          <t xml:space="preserve">Natalie</t>
        </is>
      </c>
      <c r="E35" s="54" t="inlineStr">
        <is>
          <t xml:space="preserve">Pelvic</t>
        </is>
      </c>
      <c r="F35" s="54" t="inlineStr">
        <is>
          <t xml:space="preserve">666518</t>
        </is>
      </c>
      <c r="G35" s="54" t="inlineStr">
        <is>
          <t xml:space="preserve">Intact (SM)</t>
        </is>
      </c>
      <c r="H35" s="54" t="inlineStr">
        <is>
          <t xml:space="preserve">(no batch data)</t>
        </is>
      </c>
      <c r="I35" s="55" t="n">
        <v>19</v>
      </c>
      <c r="J35" s="55" t="n">
        <v>16</v>
      </c>
      <c r="K35" s="55" t="n">
        <v>3</v>
      </c>
      <c r="L35" s="56" t="n">
        <f aca="false">IFERROR(J35/I35,0)</f>
      </c>
      <c r="M35" s="57" t="inlineStr">
        <is>
          <t xml:space="preserve">1 bladder hole; 1 ureter laceration; 1 short block</t>
        </is>
      </c>
      <c r="N35" s="54" t="inlineStr">
        <is>
          <t xml:space="preserve">Standard</t>
        </is>
      </c>
    </row>
    <row r="36" ht="13.5" customHeight="1">
      <c r="A36" s="54" t="inlineStr">
        <is>
          <t xml:space="preserve">2026-06-29</t>
        </is>
      </c>
      <c r="B36" s="54" t="inlineStr">
        <is>
          <t xml:space="preserve">Martins</t>
        </is>
      </c>
      <c r="C36" s="54" t="inlineStr">
        <is>
          <t xml:space="preserve">Toni</t>
        </is>
      </c>
      <c r="D36" s="54" t="inlineStr">
        <is>
          <t xml:space="preserve">Jesus</t>
        </is>
      </c>
      <c r="E36" s="54" t="inlineStr">
        <is>
          <t xml:space="preserve">Pelvic</t>
        </is>
      </c>
      <c r="F36" s="54" t="inlineStr">
        <is>
          <t xml:space="preserve">666506</t>
        </is>
      </c>
      <c r="G36" s="54" t="inlineStr">
        <is>
          <t xml:space="preserve">Non-intact</t>
        </is>
      </c>
      <c r="H36" s="54" t="inlineStr">
        <is>
          <t xml:space="preserve">5502471457</t>
        </is>
      </c>
      <c r="I36" s="55" t="n">
        <v>4</v>
      </c>
      <c r="J36" s="55" t="n">
        <v>4</v>
      </c>
      <c r="K36" s="55" t="n">
        <v>0</v>
      </c>
      <c r="L36" s="56" t="n">
        <f aca="false">IFERROR(J36/I36,0)</f>
      </c>
      <c r="M36" s="57" t="inlineStr">
        <is>
          <t xml:space="preserve"/>
        </is>
      </c>
      <c r="N36" s="54" t="inlineStr">
        <is>
          <t xml:space="preserve">Standard</t>
        </is>
      </c>
    </row>
    <row r="37" ht="40.0" customHeight="1">
      <c r="A37" s="54" t="inlineStr">
        <is>
          <t xml:space="preserve">2026-06-29</t>
        </is>
      </c>
      <c r="B37" s="54" t="inlineStr">
        <is>
          <t xml:space="preserve">Parks Family Meats</t>
        </is>
      </c>
      <c r="C37" s="54" t="inlineStr">
        <is>
          <t xml:space="preserve">Rasmin</t>
        </is>
      </c>
      <c r="D37" s="54" t="inlineStr">
        <is>
          <t xml:space="preserve">Natalie</t>
        </is>
      </c>
      <c r="E37" s="54" t="inlineStr">
        <is>
          <t xml:space="preserve">Pelvic</t>
        </is>
      </c>
      <c r="F37" s="54" t="inlineStr">
        <is>
          <t xml:space="preserve">666518</t>
        </is>
      </c>
      <c r="G37" s="54" t="inlineStr">
        <is>
          <t xml:space="preserve">Intact (SM)</t>
        </is>
      </c>
      <c r="H37" s="54" t="inlineStr">
        <is>
          <t xml:space="preserve">(no batch data)</t>
        </is>
      </c>
      <c r="I37" s="55" t="n">
        <v>50</v>
      </c>
      <c r="J37" s="55" t="n">
        <v>38</v>
      </c>
      <c r="K37" s="55" t="n">
        <v>12</v>
      </c>
      <c r="L37" s="56" t="n">
        <f aca="false">IFERROR(J37/I37,0)</f>
      </c>
      <c r="M37" s="57" t="inlineStr">
        <is>
          <t xml:space="preserve">2 damaged during bowel cleaning (bowel blockage burst); 2 short blocks; 1 critical-area laceration; 7 urethra/bladder lacerations (cuts near template edge)</t>
        </is>
      </c>
      <c r="N37" s="54" t="inlineStr">
        <is>
          <t xml:space="preserve">Standard</t>
        </is>
      </c>
    </row>
    <row r="38" ht="13.5" customHeight="1">
      <c r="A38" s="54" t="inlineStr">
        <is>
          <t xml:space="preserve">2026-06-29</t>
        </is>
      </c>
      <c r="B38" s="54" t="inlineStr">
        <is>
          <t xml:space="preserve">Martins</t>
        </is>
      </c>
      <c r="C38" s="54" t="inlineStr">
        <is>
          <t xml:space="preserve">Toni</t>
        </is>
      </c>
      <c r="D38" s="54" t="inlineStr">
        <is>
          <t xml:space="preserve">Jesus</t>
        </is>
      </c>
      <c r="E38" s="54" t="inlineStr">
        <is>
          <t xml:space="preserve">Pelvic</t>
        </is>
      </c>
      <c r="F38" s="54" t="inlineStr">
        <is>
          <t xml:space="preserve">666541</t>
        </is>
      </c>
      <c r="G38" s="54" t="inlineStr">
        <is>
          <t xml:space="preserve">Intact</t>
        </is>
      </c>
      <c r="H38" s="54" t="inlineStr">
        <is>
          <t xml:space="preserve">5502471460</t>
        </is>
      </c>
      <c r="I38" s="55" t="n">
        <v>16</v>
      </c>
      <c r="J38" s="55" t="n">
        <v>16</v>
      </c>
      <c r="K38" s="55" t="n">
        <v>0</v>
      </c>
      <c r="L38" s="56" t="n">
        <f aca="false">IFERROR(J38/I38,0)</f>
      </c>
      <c r="M38" s="57" t="inlineStr">
        <is>
          <t xml:space="preserve"/>
        </is>
      </c>
      <c r="N38" s="54" t="inlineStr">
        <is>
          <t xml:space="preserve">Standard</t>
        </is>
      </c>
    </row>
    <row r="39" ht="13.5" customHeight="1">
      <c r="A39" s="54" t="inlineStr">
        <is>
          <t xml:space="preserve">2026-07-06</t>
        </is>
      </c>
      <c r="B39" s="54" t="inlineStr">
        <is>
          <t xml:space="preserve">Martins</t>
        </is>
      </c>
      <c r="C39" s="54" t="inlineStr">
        <is>
          <t xml:space="preserve">Toni</t>
        </is>
      </c>
      <c r="D39" s="54" t="inlineStr">
        <is>
          <t xml:space="preserve">Jesus</t>
        </is>
      </c>
      <c r="E39" s="54" t="inlineStr">
        <is>
          <t xml:space="preserve">Pelvic</t>
        </is>
      </c>
      <c r="F39" s="54" t="inlineStr">
        <is>
          <t xml:space="preserve">666506</t>
        </is>
      </c>
      <c r="G39" s="54" t="inlineStr">
        <is>
          <t xml:space="preserve">Non-intact</t>
        </is>
      </c>
      <c r="H39" s="54" t="inlineStr">
        <is>
          <t xml:space="preserve">5502471457</t>
        </is>
      </c>
      <c r="I39" s="55" t="n">
        <v>10</v>
      </c>
      <c r="J39" s="55" t="n">
        <v>9</v>
      </c>
      <c r="K39" s="55" t="n">
        <v>1</v>
      </c>
      <c r="L39" s="56" t="n">
        <f aca="false">IFERROR(J39/I39,0)</f>
      </c>
      <c r="M39" s="57" t="inlineStr">
        <is>
          <t xml:space="preserve">1 membrane damage larger than 1.5"</t>
        </is>
      </c>
      <c r="N39" s="54" t="inlineStr">
        <is>
          <t xml:space="preserve">Standard</t>
        </is>
      </c>
    </row>
    <row r="40" ht="13.5" customHeight="1">
      <c r="A40" s="54" t="inlineStr">
        <is>
          <t xml:space="preserve">2026-07-06</t>
        </is>
      </c>
      <c r="B40" s="54" t="inlineStr">
        <is>
          <t xml:space="preserve">Martins</t>
        </is>
      </c>
      <c r="C40" s="54" t="inlineStr">
        <is>
          <t xml:space="preserve">Toni</t>
        </is>
      </c>
      <c r="D40" s="54" t="inlineStr">
        <is>
          <t xml:space="preserve">Jesus</t>
        </is>
      </c>
      <c r="E40" s="54" t="inlineStr">
        <is>
          <t xml:space="preserve">Pelvic</t>
        </is>
      </c>
      <c r="F40" s="54" t="inlineStr">
        <is>
          <t xml:space="preserve">666541</t>
        </is>
      </c>
      <c r="G40" s="54" t="inlineStr">
        <is>
          <t xml:space="preserve">Intact</t>
        </is>
      </c>
      <c r="H40" s="54" t="inlineStr">
        <is>
          <t xml:space="preserve">5502471460</t>
        </is>
      </c>
      <c r="I40" s="55" t="n">
        <v>12</v>
      </c>
      <c r="J40" s="55" t="n">
        <v>11</v>
      </c>
      <c r="K40" s="55" t="n">
        <v>1</v>
      </c>
      <c r="L40" s="56" t="n">
        <f aca="false">IFERROR(J40/I40,0)</f>
      </c>
      <c r="M40" s="57" t="inlineStr">
        <is>
          <t xml:space="preserve">1 damaged urethra</t>
        </is>
      </c>
      <c r="N40" s="54" t="inlineStr">
        <is>
          <t xml:space="preserve">Standard</t>
        </is>
      </c>
    </row>
    <row r="41" ht="13.5" customHeight="1">
      <c r="A41" s="54" t="inlineStr">
        <is>
          <t xml:space="preserve">2026-07-13</t>
        </is>
      </c>
      <c r="B41" s="54" t="inlineStr">
        <is>
          <t xml:space="preserve">Martins</t>
        </is>
      </c>
      <c r="C41" s="54" t="inlineStr">
        <is>
          <t xml:space="preserve">Toni</t>
        </is>
      </c>
      <c r="D41" s="54" t="inlineStr">
        <is>
          <t xml:space="preserve">Jesus</t>
        </is>
      </c>
      <c r="E41" s="54" t="inlineStr">
        <is>
          <t xml:space="preserve">Pelvic</t>
        </is>
      </c>
      <c r="F41" s="54" t="inlineStr">
        <is>
          <t xml:space="preserve">666506</t>
        </is>
      </c>
      <c r="G41" s="54" t="inlineStr">
        <is>
          <t xml:space="preserve">Non-intact</t>
        </is>
      </c>
      <c r="H41" s="54" t="inlineStr">
        <is>
          <t xml:space="preserve">5502495104</t>
        </is>
      </c>
      <c r="I41" s="55" t="n">
        <v>14</v>
      </c>
      <c r="J41" s="55" t="n">
        <v>14</v>
      </c>
      <c r="K41" s="55" t="n">
        <v>0</v>
      </c>
      <c r="L41" s="56" t="n">
        <f aca="false">IFERROR(J41/I41,0)</f>
      </c>
      <c r="M41" s="57" t="inlineStr">
        <is>
          <t xml:space="preserve"/>
        </is>
      </c>
      <c r="N41" s="54" t="inlineStr">
        <is>
          <t xml:space="preserve">Standard</t>
        </is>
      </c>
    </row>
    <row r="42" ht="27.0" customHeight="1">
      <c r="A42" s="54" t="inlineStr">
        <is>
          <t xml:space="preserve">2026-07-13</t>
        </is>
      </c>
      <c r="B42" s="54" t="inlineStr">
        <is>
          <t xml:space="preserve">Parks Family Meats</t>
        </is>
      </c>
      <c r="C42" s="54" t="inlineStr">
        <is>
          <t xml:space="preserve">Rasmin</t>
        </is>
      </c>
      <c r="D42" s="54" t="inlineStr">
        <is>
          <t xml:space="preserve">Natalie</t>
        </is>
      </c>
      <c r="E42" s="54" t="inlineStr">
        <is>
          <t xml:space="preserve">Pelvic</t>
        </is>
      </c>
      <c r="F42" s="54" t="inlineStr">
        <is>
          <t xml:space="preserve">666518</t>
        </is>
      </c>
      <c r="G42" s="54" t="inlineStr">
        <is>
          <t xml:space="preserve">Intact (SM)</t>
        </is>
      </c>
      <c r="H42" s="54" t="inlineStr">
        <is>
          <t xml:space="preserve">(no batch data)</t>
        </is>
      </c>
      <c r="I42" s="55" t="n">
        <v>34</v>
      </c>
      <c r="J42" s="55" t="n">
        <v>29</v>
      </c>
      <c r="K42" s="55" t="n">
        <v>5</v>
      </c>
      <c r="L42" s="56" t="n">
        <f aca="false">IFERROR(J42/I42,0)</f>
      </c>
      <c r="M42" s="57" t="inlineStr">
        <is>
          <t xml:space="preserve">2 damaged during bowel cleaning (bowel blockage burst); 3 short blocks (smaller pigs)</t>
        </is>
      </c>
      <c r="N42" s="54" t="inlineStr">
        <is>
          <t xml:space="preserve">Standard</t>
        </is>
      </c>
    </row>
    <row r="43" ht="13.5" customHeight="1">
      <c r="A43" s="54" t="inlineStr">
        <is>
          <t xml:space="preserve">2026-07-13</t>
        </is>
      </c>
      <c r="B43" s="54" t="inlineStr">
        <is>
          <t xml:space="preserve">Martins</t>
        </is>
      </c>
      <c r="C43" s="54" t="inlineStr">
        <is>
          <t xml:space="preserve">Toni</t>
        </is>
      </c>
      <c r="D43" s="54" t="inlineStr">
        <is>
          <t xml:space="preserve">Jesus</t>
        </is>
      </c>
      <c r="E43" s="54" t="inlineStr">
        <is>
          <t xml:space="preserve">Pelvic</t>
        </is>
      </c>
      <c r="F43" s="54" t="inlineStr">
        <is>
          <t xml:space="preserve">666541</t>
        </is>
      </c>
      <c r="G43" s="54" t="inlineStr">
        <is>
          <t xml:space="preserve">Intact</t>
        </is>
      </c>
      <c r="H43" s="54" t="inlineStr">
        <is>
          <t xml:space="preserve">5502495107</t>
        </is>
      </c>
      <c r="I43" s="55" t="n">
        <v>38</v>
      </c>
      <c r="J43" s="55" t="n">
        <v>36</v>
      </c>
      <c r="K43" s="55" t="n">
        <v>2</v>
      </c>
      <c r="L43" s="56" t="n">
        <f aca="false">IFERROR(J43/I43,0)</f>
      </c>
      <c r="M43" s="57" t="inlineStr">
        <is>
          <t xml:space="preserve">1 damaged membrane; 1 damaged bladder</t>
        </is>
      </c>
      <c r="N43" s="54" t="inlineStr">
        <is>
          <t xml:space="preserve">Standard</t>
        </is>
      </c>
    </row>
    <row r="44" ht="27.0" customHeight="1">
      <c r="A44" s="54" t="inlineStr">
        <is>
          <t xml:space="preserve">2026-07-16</t>
        </is>
      </c>
      <c r="B44" s="54" t="inlineStr">
        <is>
          <t xml:space="preserve">Parks Family Meats</t>
        </is>
      </c>
      <c r="C44" s="54" t="inlineStr">
        <is>
          <t xml:space="preserve">Rasmin</t>
        </is>
      </c>
      <c r="D44" s="54" t="inlineStr">
        <is>
          <t xml:space="preserve">Natalie</t>
        </is>
      </c>
      <c r="E44" s="54" t="inlineStr">
        <is>
          <t xml:space="preserve">Pelvic</t>
        </is>
      </c>
      <c r="F44" s="54" t="inlineStr">
        <is>
          <t xml:space="preserve">666518</t>
        </is>
      </c>
      <c r="G44" s="54" t="inlineStr">
        <is>
          <t xml:space="preserve">Intact (SM)</t>
        </is>
      </c>
      <c r="H44" s="54" t="inlineStr">
        <is>
          <t xml:space="preserve">(no batch data)</t>
        </is>
      </c>
      <c r="I44" s="55" t="n">
        <v>24</v>
      </c>
      <c r="J44" s="55" t="n">
        <v>20</v>
      </c>
      <c r="K44" s="55" t="n">
        <v>4</v>
      </c>
      <c r="L44" s="56" t="n">
        <f aca="false">IFERROR(J44/I44,0)</f>
      </c>
      <c r="M44" s="57" t="inlineStr">
        <is>
          <t xml:space="preserve">2 short (bowel snapped before cut to length); 2 holes in mesentery critical area</t>
        </is>
      </c>
      <c r="N44" s="54" t="inlineStr">
        <is>
          <t xml:space="preserve">Standard</t>
        </is>
      </c>
    </row>
    <row r="45" ht="13.5" customHeight="1">
      <c r="A45" s="54" t="inlineStr">
        <is>
          <t xml:space="preserve">2026-07-20</t>
        </is>
      </c>
      <c r="B45" s="54" t="inlineStr">
        <is>
          <t xml:space="preserve">Martins</t>
        </is>
      </c>
      <c r="C45" s="54" t="inlineStr">
        <is>
          <t xml:space="preserve">Toni</t>
        </is>
      </c>
      <c r="D45" s="54" t="inlineStr">
        <is>
          <t xml:space="preserve">Jesus</t>
        </is>
      </c>
      <c r="E45" s="54" t="inlineStr">
        <is>
          <t xml:space="preserve">Pelvic</t>
        </is>
      </c>
      <c r="F45" s="54" t="inlineStr">
        <is>
          <t xml:space="preserve">666506</t>
        </is>
      </c>
      <c r="G45" s="54" t="inlineStr">
        <is>
          <t xml:space="preserve">Non-intact</t>
        </is>
      </c>
      <c r="H45" s="54" t="inlineStr">
        <is>
          <t xml:space="preserve">5502495104</t>
        </is>
      </c>
      <c r="I45" s="55" t="n">
        <v>30</v>
      </c>
      <c r="J45" s="55" t="n">
        <v>29</v>
      </c>
      <c r="K45" s="55" t="n">
        <v>1</v>
      </c>
      <c r="L45" s="56" t="n">
        <f aca="false">IFERROR(J45/I45,0)</f>
      </c>
      <c r="M45" s="57" t="inlineStr">
        <is>
          <t xml:space="preserve">1 large membrane damage</t>
        </is>
      </c>
      <c r="N45" s="54" t="inlineStr">
        <is>
          <t xml:space="preserve">Standard</t>
        </is>
      </c>
    </row>
    <row r="46" ht="40.0" customHeight="1">
      <c r="A46" s="54" t="inlineStr">
        <is>
          <t xml:space="preserve">2026-07-20</t>
        </is>
      </c>
      <c r="B46" s="54" t="inlineStr">
        <is>
          <t xml:space="preserve">Martins</t>
        </is>
      </c>
      <c r="C46" s="54" t="inlineStr">
        <is>
          <t xml:space="preserve">Toni</t>
        </is>
      </c>
      <c r="D46" s="54" t="inlineStr">
        <is>
          <t xml:space="preserve">Jesus</t>
        </is>
      </c>
      <c r="E46" s="54" t="inlineStr">
        <is>
          <t xml:space="preserve">Pelvic</t>
        </is>
      </c>
      <c r="F46" s="54" t="inlineStr">
        <is>
          <t xml:space="preserve">666541</t>
        </is>
      </c>
      <c r="G46" s="54" t="inlineStr">
        <is>
          <t xml:space="preserve">Intact</t>
        </is>
      </c>
      <c r="H46" s="54" t="inlineStr">
        <is>
          <t xml:space="preserve">5502495107</t>
        </is>
      </c>
      <c r="I46" s="55" t="n">
        <v>65</v>
      </c>
      <c r="J46" s="55" t="n">
        <v>63</v>
      </c>
      <c r="K46" s="55" t="n">
        <v>2</v>
      </c>
      <c r="L46" s="56" t="n">
        <f aca="false">IFERROR(J46/I46,0)</f>
      </c>
      <c r="M46" s="57" t="inlineStr">
        <is>
          <t xml:space="preserve">1 deformed bladder documented; source #Fail cell read 1, but 65 inspected − 63 pass = 2 → 1 reject undocumented (confirm)</t>
        </is>
      </c>
      <c r="N46" s="54" t="inlineStr">
        <is>
          <t xml:space="preserve">Standard</t>
        </is>
      </c>
    </row>
    <row r="47" ht="13.5" customHeight="1">
      <c r="A47" s="54" t="inlineStr">
        <is>
          <t xml:space="preserve">2026-07-27</t>
        </is>
      </c>
      <c r="B47" s="54" t="inlineStr">
        <is>
          <t xml:space="preserve">Martins</t>
        </is>
      </c>
      <c r="C47" s="54" t="inlineStr">
        <is>
          <t xml:space="preserve">Toni</t>
        </is>
      </c>
      <c r="D47" s="54" t="inlineStr">
        <is>
          <t xml:space="preserve">Jesus</t>
        </is>
      </c>
      <c r="E47" s="54" t="inlineStr">
        <is>
          <t xml:space="preserve">Pelvic</t>
        </is>
      </c>
      <c r="F47" s="54" t="inlineStr">
        <is>
          <t xml:space="preserve">666506</t>
        </is>
      </c>
      <c r="G47" s="54" t="inlineStr">
        <is>
          <t xml:space="preserve">Non-intact</t>
        </is>
      </c>
      <c r="H47" s="54" t="inlineStr">
        <is>
          <t xml:space="preserve">5502512225</t>
        </is>
      </c>
      <c r="I47" s="55" t="n">
        <v>25</v>
      </c>
      <c r="J47" s="55" t="n">
        <v>25</v>
      </c>
      <c r="K47" s="55" t="n">
        <v>0</v>
      </c>
      <c r="L47" s="56" t="n">
        <f aca="false">IFERROR(J47/I47,0)</f>
      </c>
      <c r="M47" s="57" t="inlineStr">
        <is>
          <t xml:space="preserve"/>
        </is>
      </c>
      <c r="N47" s="54" t="inlineStr">
        <is>
          <t xml:space="preserve">Standard</t>
        </is>
      </c>
    </row>
    <row r="48" ht="27.0" customHeight="1">
      <c r="A48" s="54" t="inlineStr">
        <is>
          <t xml:space="preserve">2026-07-27</t>
        </is>
      </c>
      <c r="B48" s="54" t="inlineStr">
        <is>
          <t xml:space="preserve">Parks Family Meats</t>
        </is>
      </c>
      <c r="C48" s="54" t="inlineStr">
        <is>
          <t xml:space="preserve">Rasmin</t>
        </is>
      </c>
      <c r="D48" s="54" t="inlineStr">
        <is>
          <t xml:space="preserve">Natalie</t>
        </is>
      </c>
      <c r="E48" s="54" t="inlineStr">
        <is>
          <t xml:space="preserve">Pelvic</t>
        </is>
      </c>
      <c r="F48" s="54" t="inlineStr">
        <is>
          <t xml:space="preserve">666518</t>
        </is>
      </c>
      <c r="G48" s="54" t="inlineStr">
        <is>
          <t xml:space="preserve">Intact (SM)</t>
        </is>
      </c>
      <c r="H48" s="54" t="inlineStr">
        <is>
          <t xml:space="preserve">(no batch data)</t>
        </is>
      </c>
      <c r="I48" s="55" t="n">
        <v>45</v>
      </c>
      <c r="J48" s="55" t="n">
        <v>42</v>
      </c>
      <c r="K48" s="55" t="n">
        <v>3</v>
      </c>
      <c r="L48" s="56" t="n">
        <f aca="false">IFERROR(J48/I48,0)</f>
      </c>
      <c r="M48" s="57" t="inlineStr">
        <is>
          <t xml:space="preserve">1 ureter damage; 1 mesentery hole in critical area &gt;0.5"; 1 bowel-colon separation past critical area</t>
        </is>
      </c>
      <c r="N48" s="54" t="inlineStr">
        <is>
          <t xml:space="preserve">Standard</t>
        </is>
      </c>
    </row>
    <row r="49" ht="13.5" customHeight="1">
      <c r="A49" s="54" t="inlineStr">
        <is>
          <t xml:space="preserve">2026-07-27</t>
        </is>
      </c>
      <c r="B49" s="54" t="inlineStr">
        <is>
          <t xml:space="preserve">Martins</t>
        </is>
      </c>
      <c r="C49" s="54" t="inlineStr">
        <is>
          <t xml:space="preserve">Toni</t>
        </is>
      </c>
      <c r="D49" s="54" t="inlineStr">
        <is>
          <t xml:space="preserve">Jesus</t>
        </is>
      </c>
      <c r="E49" s="54" t="inlineStr">
        <is>
          <t xml:space="preserve">Pelvic</t>
        </is>
      </c>
      <c r="F49" s="54" t="inlineStr">
        <is>
          <t xml:space="preserve">666541</t>
        </is>
      </c>
      <c r="G49" s="54" t="inlineStr">
        <is>
          <t xml:space="preserve">Intact</t>
        </is>
      </c>
      <c r="H49" s="54" t="inlineStr">
        <is>
          <t xml:space="preserve">5502512228</t>
        </is>
      </c>
      <c r="I49" s="55" t="n">
        <v>46</v>
      </c>
      <c r="J49" s="55" t="n">
        <v>45</v>
      </c>
      <c r="K49" s="55" t="n">
        <v>1</v>
      </c>
      <c r="L49" s="56" t="n">
        <f aca="false">IFERROR(J49/I49,0)</f>
      </c>
      <c r="M49" s="57" t="inlineStr">
        <is>
          <t xml:space="preserve">1 damaged membrane larger than 0.5"</t>
        </is>
      </c>
      <c r="N49" s="54" t="inlineStr">
        <is>
          <t xml:space="preserve">Standard</t>
        </is>
      </c>
    </row>
    <row r="50" ht="54.0" customHeight="1">
      <c r="A50" s="54" t="inlineStr">
        <is>
          <t xml:space="preserve">2026-07-29</t>
        </is>
      </c>
      <c r="B50" s="54" t="inlineStr">
        <is>
          <t xml:space="preserve">Nahunta</t>
        </is>
      </c>
      <c r="C50" s="54" t="inlineStr">
        <is>
          <t xml:space="preserve">Kris</t>
        </is>
      </c>
      <c r="D50" s="54" t="inlineStr">
        <is>
          <t xml:space="preserve">Jordan</t>
        </is>
      </c>
      <c r="E50" s="54" t="inlineStr">
        <is>
          <t xml:space="preserve">Thoracic</t>
        </is>
      </c>
      <c r="F50" s="54" t="inlineStr">
        <is>
          <t xml:space="preserve">666521</t>
        </is>
      </c>
      <c r="G50" s="54" t="inlineStr">
        <is>
          <t xml:space="preserve">Lung / heart</t>
        </is>
      </c>
      <c r="H50" s="54" t="inlineStr">
        <is>
          <t xml:space="preserve">5502512218</t>
        </is>
      </c>
      <c r="I50" s="55" t="n">
        <v>19</v>
      </c>
      <c r="J50" s="55" t="n">
        <v>6</v>
      </c>
      <c r="K50" s="55" t="n">
        <v>13</v>
      </c>
      <c r="L50" s="56" t="n">
        <f aca="false">IFERROR(J50/I50,0)</f>
      </c>
      <c r="M50" s="57" t="inlineStr">
        <is>
          <t xml:space="preserve">11 right-lung lacerations (mostly along the perimeter); 2 heart damage; 1 accepted with two sub-4cm perimeter lacerations that did not connect. Majority of damage attributed to the harvesting side.</t>
        </is>
      </c>
      <c r="N50" s="54" t="inlineStr">
        <is>
          <t xml:space="preserve">Standard</t>
        </is>
      </c>
    </row>
    <row r="51" ht="13.5" customHeight="1">
      <c r="A51" s="54" t="inlineStr">
        <is>
          <t xml:space="preserve">2026-07-29</t>
        </is>
      </c>
      <c r="B51" s="54" t="inlineStr">
        <is>
          <t xml:space="preserve">Nahunta</t>
        </is>
      </c>
      <c r="C51" s="54" t="inlineStr">
        <is>
          <t xml:space="preserve">Kris</t>
        </is>
      </c>
      <c r="D51" s="54" t="inlineStr">
        <is>
          <t xml:space="preserve">Jordan</t>
        </is>
      </c>
      <c r="E51" s="54" t="inlineStr">
        <is>
          <t xml:space="preserve">Pelvic</t>
        </is>
      </c>
      <c r="F51" s="54" t="inlineStr">
        <is>
          <t xml:space="preserve">666541</t>
        </is>
      </c>
      <c r="G51" s="54" t="inlineStr">
        <is>
          <t xml:space="preserve">Intact</t>
        </is>
      </c>
      <c r="H51" s="54" t="inlineStr">
        <is>
          <t xml:space="preserve">5502512218</t>
        </is>
      </c>
      <c r="I51" s="55" t="n">
        <v>1</v>
      </c>
      <c r="J51" s="55" t="n">
        <v>1</v>
      </c>
      <c r="K51" s="55" t="n">
        <v>0</v>
      </c>
      <c r="L51" s="56" t="n">
        <f aca="false">IFERROR(J51/I51,0)</f>
      </c>
      <c r="M51" s="57" t="inlineStr">
        <is>
          <t xml:space="preserve"/>
        </is>
      </c>
      <c r="N51" s="54" t="inlineStr">
        <is>
          <t xml:space="preserve">Standard</t>
        </is>
      </c>
    </row>
    <row r="52" ht="27.0" customHeight="1">
      <c r="A52" s="54" t="inlineStr">
        <is>
          <t xml:space="preserve">2026-07-30</t>
        </is>
      </c>
      <c r="B52" s="54" t="inlineStr">
        <is>
          <t xml:space="preserve">Parks Family Meats</t>
        </is>
      </c>
      <c r="C52" s="54" t="inlineStr">
        <is>
          <t xml:space="preserve">Rasmin</t>
        </is>
      </c>
      <c r="D52" s="54" t="inlineStr">
        <is>
          <t xml:space="preserve">Natalie</t>
        </is>
      </c>
      <c r="E52" s="54" t="inlineStr">
        <is>
          <t xml:space="preserve">Pelvic</t>
        </is>
      </c>
      <c r="F52" s="54" t="inlineStr">
        <is>
          <t xml:space="preserve">666518</t>
        </is>
      </c>
      <c r="G52" s="54" t="inlineStr">
        <is>
          <t xml:space="preserve">Intact (SM)</t>
        </is>
      </c>
      <c r="H52" s="54" t="inlineStr">
        <is>
          <t xml:space="preserve">(no batch data)</t>
        </is>
      </c>
      <c r="I52" s="55" t="n">
        <v>10</v>
      </c>
      <c r="J52" s="55" t="n">
        <v>9</v>
      </c>
      <c r="K52" s="55" t="n">
        <v>1</v>
      </c>
      <c r="L52" s="56" t="n">
        <f aca="false">IFERROR(J52/I52,0)</f>
      </c>
      <c r="M52" s="57" t="inlineStr">
        <is>
          <t xml:space="preserve">1 pelvic block short (majority of pigs received were male → lower numbers)</t>
        </is>
      </c>
      <c r="N52" s="54" t="inlineStr">
        <is>
          <t xml:space="preserve">Standard</t>
        </is>
      </c>
    </row>
    <row r="53" ht="13.5" customHeight="1">
      <c r="A53" s="54" t="inlineStr">
        <is>
          <t xml:space="preserve">2026-08-03</t>
        </is>
      </c>
      <c r="B53" s="54" t="inlineStr">
        <is>
          <t xml:space="preserve">Martins</t>
        </is>
      </c>
      <c r="C53" s="54" t="inlineStr">
        <is>
          <t xml:space="preserve">Toni</t>
        </is>
      </c>
      <c r="D53" s="54" t="inlineStr">
        <is>
          <t xml:space="preserve">Jesus</t>
        </is>
      </c>
      <c r="E53" s="54" t="inlineStr">
        <is>
          <t xml:space="preserve">Pelvic</t>
        </is>
      </c>
      <c r="F53" s="54" t="inlineStr">
        <is>
          <t xml:space="preserve">666541</t>
        </is>
      </c>
      <c r="G53" s="54" t="inlineStr">
        <is>
          <t xml:space="preserve">Intact</t>
        </is>
      </c>
      <c r="H53" s="54" t="inlineStr">
        <is>
          <t xml:space="preserve">5502512228</t>
        </is>
      </c>
      <c r="I53" s="55" t="n">
        <v>44</v>
      </c>
      <c r="J53" s="55" t="n">
        <v>44</v>
      </c>
      <c r="K53" s="55" t="n">
        <v>0</v>
      </c>
      <c r="L53" s="56" t="n">
        <f aca="false">IFERROR(J53/I53,0)</f>
      </c>
      <c r="M53" s="57" t="inlineStr">
        <is>
          <t xml:space="preserve"/>
        </is>
      </c>
      <c r="N53" s="54" t="inlineStr">
        <is>
          <t xml:space="preserve">Standard</t>
        </is>
      </c>
    </row>
    <row r="54" ht="40.0" customHeight="1">
      <c r="A54" s="54" t="inlineStr">
        <is>
          <t xml:space="preserve">2026-08-05</t>
        </is>
      </c>
      <c r="B54" s="54" t="inlineStr">
        <is>
          <t xml:space="preserve">Nahunta</t>
        </is>
      </c>
      <c r="C54" s="54" t="inlineStr">
        <is>
          <t xml:space="preserve">Kris</t>
        </is>
      </c>
      <c r="D54" s="54" t="inlineStr">
        <is>
          <t xml:space="preserve">Jordan</t>
        </is>
      </c>
      <c r="E54" s="54" t="inlineStr">
        <is>
          <t xml:space="preserve">Thoracic</t>
        </is>
      </c>
      <c r="F54" s="54" t="inlineStr">
        <is>
          <t xml:space="preserve">666521</t>
        </is>
      </c>
      <c r="G54" s="54" t="inlineStr">
        <is>
          <t xml:space="preserve">Lung / heart</t>
        </is>
      </c>
      <c r="H54" s="54" t="inlineStr">
        <is>
          <t xml:space="preserve">5502512218</t>
        </is>
      </c>
      <c r="I54" s="55" t="n">
        <v>15</v>
      </c>
      <c r="J54" s="55" t="n">
        <v>0</v>
      </c>
      <c r="K54" s="55" t="n">
        <v>15</v>
      </c>
      <c r="L54" s="56" t="n">
        <f aca="false">IFERROR(J54/I54,0)</f>
      </c>
      <c r="M54" s="57" t="inlineStr">
        <is>
          <t xml:space="preserve">11 right-lung lacerations (mostly along perimeter); 4 heart damage. Majority of damage harvesting-side; two units had no lung laceration but failed on heart.</t>
        </is>
      </c>
      <c r="N54" s="54" t="inlineStr">
        <is>
          <t xml:space="preserve">Standard</t>
        </is>
      </c>
    </row>
    <row r="55" ht="13.5" customHeight="1">
      <c r="A55" s="54" t="inlineStr">
        <is>
          <t xml:space="preserve">2026-08-05</t>
        </is>
      </c>
      <c r="B55" s="54" t="inlineStr">
        <is>
          <t xml:space="preserve">Martins</t>
        </is>
      </c>
      <c r="C55" s="54" t="inlineStr">
        <is>
          <t xml:space="preserve">Toni</t>
        </is>
      </c>
      <c r="D55" s="54" t="inlineStr">
        <is>
          <t xml:space="preserve">Jesus</t>
        </is>
      </c>
      <c r="E55" s="54" t="inlineStr">
        <is>
          <t xml:space="preserve">Pelvic</t>
        </is>
      </c>
      <c r="F55" s="54" t="inlineStr">
        <is>
          <t xml:space="preserve">666541</t>
        </is>
      </c>
      <c r="G55" s="54" t="inlineStr">
        <is>
          <t xml:space="preserve">Intact</t>
        </is>
      </c>
      <c r="H55" s="54" t="inlineStr">
        <is>
          <t xml:space="preserve">5502512228</t>
        </is>
      </c>
      <c r="I55" s="55" t="n">
        <v>35</v>
      </c>
      <c r="J55" s="55" t="n">
        <v>33</v>
      </c>
      <c r="K55" s="55" t="n">
        <v>2</v>
      </c>
      <c r="L55" s="56" t="n">
        <f aca="false">IFERROR(J55/I55,0)</f>
      </c>
      <c r="M55" s="57" t="inlineStr">
        <is>
          <t xml:space="preserve">1 damaged membrane; 1 hole in bowel</t>
        </is>
      </c>
      <c r="N55" s="54" t="inlineStr">
        <is>
          <t xml:space="preserve">Standard</t>
        </is>
      </c>
    </row>
    <row r="56" ht="13.5" customHeight="1">
      <c r="A56" s="54" t="inlineStr">
        <is>
          <t xml:space="preserve">2026-08-10</t>
        </is>
      </c>
      <c r="B56" s="54" t="inlineStr">
        <is>
          <t xml:space="preserve">Martins</t>
        </is>
      </c>
      <c r="C56" s="54" t="inlineStr">
        <is>
          <t xml:space="preserve">Toni</t>
        </is>
      </c>
      <c r="D56" s="54" t="inlineStr">
        <is>
          <t xml:space="preserve">Jesus</t>
        </is>
      </c>
      <c r="E56" s="54" t="inlineStr">
        <is>
          <t xml:space="preserve">Pelvic</t>
        </is>
      </c>
      <c r="F56" s="54" t="inlineStr">
        <is>
          <t xml:space="preserve">666506</t>
        </is>
      </c>
      <c r="G56" s="54" t="inlineStr">
        <is>
          <t xml:space="preserve">Non-intact</t>
        </is>
      </c>
      <c r="H56" s="54" t="inlineStr">
        <is>
          <t xml:space="preserve">5502523266</t>
        </is>
      </c>
      <c r="I56" s="55" t="n">
        <v>8</v>
      </c>
      <c r="J56" s="55" t="n">
        <v>8</v>
      </c>
      <c r="K56" s="55" t="n">
        <v>0</v>
      </c>
      <c r="L56" s="56" t="n">
        <f aca="false">IFERROR(J56/I56,0)</f>
      </c>
      <c r="M56" s="57" t="inlineStr">
        <is>
          <t xml:space="preserve"/>
        </is>
      </c>
      <c r="N56" s="54" t="inlineStr">
        <is>
          <t xml:space="preserve">Standard</t>
        </is>
      </c>
    </row>
    <row r="57" ht="13.5" customHeight="1">
      <c r="A57" s="54" t="inlineStr">
        <is>
          <t xml:space="preserve">2026-08-10</t>
        </is>
      </c>
      <c r="B57" s="54" t="inlineStr">
        <is>
          <t xml:space="preserve">Martins</t>
        </is>
      </c>
      <c r="C57" s="54" t="inlineStr">
        <is>
          <t xml:space="preserve">Toni</t>
        </is>
      </c>
      <c r="D57" s="54" t="inlineStr">
        <is>
          <t xml:space="preserve">Jesus</t>
        </is>
      </c>
      <c r="E57" s="54" t="inlineStr">
        <is>
          <t xml:space="preserve">Pelvic</t>
        </is>
      </c>
      <c r="F57" s="54" t="inlineStr">
        <is>
          <t xml:space="preserve">666541</t>
        </is>
      </c>
      <c r="G57" s="54" t="inlineStr">
        <is>
          <t xml:space="preserve">Intact</t>
        </is>
      </c>
      <c r="H57" s="54" t="inlineStr">
        <is>
          <t xml:space="preserve">5502523269</t>
        </is>
      </c>
      <c r="I57" s="55" t="n">
        <v>43</v>
      </c>
      <c r="J57" s="55" t="n">
        <v>41</v>
      </c>
      <c r="K57" s="55" t="n">
        <v>2</v>
      </c>
      <c r="L57" s="56" t="n">
        <f aca="false">IFERROR(J57/I57,0)</f>
      </c>
      <c r="M57" s="57" t="inlineStr">
        <is>
          <t xml:space="preserve">2 urethra damage</t>
        </is>
      </c>
      <c r="N57" s="54" t="inlineStr">
        <is>
          <t xml:space="preserve">Standard</t>
        </is>
      </c>
    </row>
    <row r="58" ht="13.5" customHeight="1">
      <c r="A58" s="54" t="inlineStr">
        <is>
          <t xml:space="preserve">2026-08-10</t>
        </is>
      </c>
      <c r="B58" s="54" t="inlineStr">
        <is>
          <t xml:space="preserve">Parks Family Meats</t>
        </is>
      </c>
      <c r="C58" s="54" t="inlineStr">
        <is>
          <t xml:space="preserve">Rasmin</t>
        </is>
      </c>
      <c r="D58" s="54" t="inlineStr">
        <is>
          <t xml:space="preserve">Natalie</t>
        </is>
      </c>
      <c r="E58" s="54" t="inlineStr">
        <is>
          <t xml:space="preserve">Pelvic</t>
        </is>
      </c>
      <c r="F58" s="54" t="inlineStr">
        <is>
          <t xml:space="preserve">666541</t>
        </is>
      </c>
      <c r="G58" s="54" t="inlineStr">
        <is>
          <t xml:space="preserve">Intact</t>
        </is>
      </c>
      <c r="H58" s="54" t="inlineStr">
        <is>
          <t xml:space="preserve">(no batch data)</t>
        </is>
      </c>
      <c r="I58" s="55" t="n">
        <v>10</v>
      </c>
      <c r="J58" s="55" t="n">
        <v>10</v>
      </c>
      <c r="K58" s="55" t="n">
        <v>0</v>
      </c>
      <c r="L58" s="56" t="n">
        <f aca="false">IFERROR(J58/I58,0)</f>
      </c>
      <c r="M58" s="57" t="inlineStr">
        <is>
          <t xml:space="preserve">No failures this day.</t>
        </is>
      </c>
      <c r="N58" s="54" t="inlineStr">
        <is>
          <t xml:space="preserve">Standard</t>
        </is>
      </c>
    </row>
    <row r="59" ht="40.0" customHeight="1">
      <c r="A59" s="54" t="inlineStr">
        <is>
          <t xml:space="preserve">2026-08-12</t>
        </is>
      </c>
      <c r="B59" s="54" t="inlineStr">
        <is>
          <t xml:space="preserve">Nahunta</t>
        </is>
      </c>
      <c r="C59" s="54" t="inlineStr">
        <is>
          <t xml:space="preserve">Kris</t>
        </is>
      </c>
      <c r="D59" s="54" t="inlineStr">
        <is>
          <t xml:space="preserve">Jordan</t>
        </is>
      </c>
      <c r="E59" s="54" t="inlineStr">
        <is>
          <t xml:space="preserve">Thoracic</t>
        </is>
      </c>
      <c r="F59" s="54" t="inlineStr">
        <is>
          <t xml:space="preserve">666521</t>
        </is>
      </c>
      <c r="G59" s="54" t="inlineStr">
        <is>
          <t xml:space="preserve">Lung / heart</t>
        </is>
      </c>
      <c r="H59" s="54" t="inlineStr">
        <is>
          <t xml:space="preserve">5502523283</t>
        </is>
      </c>
      <c r="I59" s="55" t="n">
        <v>13</v>
      </c>
      <c r="J59" s="55" t="n">
        <v>2</v>
      </c>
      <c r="K59" s="55" t="n">
        <v>11</v>
      </c>
      <c r="L59" s="56" t="n">
        <f aca="false">IFERROR(J59/I59,0)</f>
      </c>
      <c r="M59" s="57" t="inlineStr">
        <is>
          <t xml:space="preserve">9 right-lung lacerations; 3 heart damage (breakdown sums to 12 vs 11 recorded). No left-lung damage seen; requested Ricardo shadow next visit.</t>
        </is>
      </c>
      <c r="N59" s="54" t="inlineStr">
        <is>
          <t xml:space="preserve">Standard</t>
        </is>
      </c>
    </row>
    <row r="60" ht="54.0" customHeight="1">
      <c r="A60" s="54" t="inlineStr">
        <is>
          <t xml:space="preserve">2026-08-12</t>
        </is>
      </c>
      <c r="B60" s="54" t="inlineStr">
        <is>
          <t xml:space="preserve">Nahunta</t>
        </is>
      </c>
      <c r="C60" s="54" t="inlineStr">
        <is>
          <t xml:space="preserve">Kris</t>
        </is>
      </c>
      <c r="D60" s="54" t="inlineStr">
        <is>
          <t xml:space="preserve">Jordan</t>
        </is>
      </c>
      <c r="E60" s="54" t="inlineStr">
        <is>
          <t xml:space="preserve">Pelvic</t>
        </is>
      </c>
      <c r="F60" s="54" t="inlineStr">
        <is>
          <t xml:space="preserve">666541</t>
        </is>
      </c>
      <c r="G60" s="54" t="inlineStr">
        <is>
          <t xml:space="preserve">Intact</t>
        </is>
      </c>
      <c r="H60" s="54" t="inlineStr">
        <is>
          <t xml:space="preserve">5502523283</t>
        </is>
      </c>
      <c r="I60" s="55" t="n">
        <v>13</v>
      </c>
      <c r="J60" s="55" t="n">
        <v>1</v>
      </c>
      <c r="K60" s="55" t="n">
        <v>12</v>
      </c>
      <c r="L60" s="56" t="n">
        <f aca="false">IFERROR(J60/I60,0)</f>
      </c>
      <c r="M60" s="60" t="inlineStr">
        <is>
          <t xml:space="preserve">PRE-RECEIPT SCREEN — these 13 blocks were inspected prior to receiving them (before the harvesting tech got the tissue); the 12 rejects never became received product, so this line is not graded as incoming first-pass yield. No scrap reasons itemized on the source sheet; excluded from defect-profile charts.</t>
        </is>
      </c>
      <c r="N60" s="54" t="inlineStr">
        <is>
          <t xml:space="preserve">Pre-receipt screen</t>
        </is>
      </c>
    </row>
    <row r="61" ht="27.0" customHeight="1">
      <c r="A61" s="54" t="inlineStr">
        <is>
          <t xml:space="preserve">2026-08-14</t>
        </is>
      </c>
      <c r="B61" s="54" t="inlineStr">
        <is>
          <t xml:space="preserve">Parks Family Meats</t>
        </is>
      </c>
      <c r="C61" s="54" t="inlineStr">
        <is>
          <t xml:space="preserve">Rasmin</t>
        </is>
      </c>
      <c r="D61" s="54" t="inlineStr">
        <is>
          <t xml:space="preserve">Natalie</t>
        </is>
      </c>
      <c r="E61" s="54" t="inlineStr">
        <is>
          <t xml:space="preserve">Pelvic</t>
        </is>
      </c>
      <c r="F61" s="54" t="inlineStr">
        <is>
          <t xml:space="preserve">666541</t>
        </is>
      </c>
      <c r="G61" s="54" t="inlineStr">
        <is>
          <t xml:space="preserve">Intact</t>
        </is>
      </c>
      <c r="H61" s="54" t="inlineStr">
        <is>
          <t xml:space="preserve">(no batch data)</t>
        </is>
      </c>
      <c r="I61" s="55" t="n">
        <v>23</v>
      </c>
      <c r="J61" s="55" t="n">
        <v>22</v>
      </c>
      <c r="K61" s="55" t="n">
        <v>1</v>
      </c>
      <c r="L61" s="56" t="n">
        <f aca="false">IFERROR(J61/I61,0)</f>
      </c>
      <c r="M61" s="57" t="inlineStr">
        <is>
          <t xml:space="preserve">Bowel separated from mesentery past the critical point</t>
        </is>
      </c>
      <c r="N61" s="54" t="inlineStr">
        <is>
          <t xml:space="preserve">Standard</t>
        </is>
      </c>
    </row>
    <row r="62" ht="13.5" customHeight="1">
      <c r="A62" s="54" t="inlineStr">
        <is>
          <t xml:space="preserve">2026-08-17</t>
        </is>
      </c>
      <c r="B62" s="54" t="inlineStr">
        <is>
          <t xml:space="preserve">Martins</t>
        </is>
      </c>
      <c r="C62" s="54" t="inlineStr">
        <is>
          <t xml:space="preserve">Toni</t>
        </is>
      </c>
      <c r="D62" s="54" t="inlineStr">
        <is>
          <t xml:space="preserve">Jesus</t>
        </is>
      </c>
      <c r="E62" s="54" t="inlineStr">
        <is>
          <t xml:space="preserve">Pelvic</t>
        </is>
      </c>
      <c r="F62" s="54" t="inlineStr">
        <is>
          <t xml:space="preserve">666506</t>
        </is>
      </c>
      <c r="G62" s="54" t="inlineStr">
        <is>
          <t xml:space="preserve">Non-intact</t>
        </is>
      </c>
      <c r="H62" s="54" t="inlineStr">
        <is>
          <t xml:space="preserve">5502523266</t>
        </is>
      </c>
      <c r="I62" s="55" t="n">
        <v>5</v>
      </c>
      <c r="J62" s="55" t="n">
        <v>5</v>
      </c>
      <c r="K62" s="55" t="n">
        <v>0</v>
      </c>
      <c r="L62" s="56" t="n">
        <f aca="false">IFERROR(J62/I62,0)</f>
      </c>
      <c r="M62" s="57" t="inlineStr">
        <is>
          <t xml:space="preserve"/>
        </is>
      </c>
      <c r="N62" s="54" t="inlineStr">
        <is>
          <t xml:space="preserve">Standard</t>
        </is>
      </c>
    </row>
    <row r="63" ht="27.0" customHeight="1">
      <c r="A63" s="54" t="inlineStr">
        <is>
          <t xml:space="preserve">2026-08-17</t>
        </is>
      </c>
      <c r="B63" s="54" t="inlineStr">
        <is>
          <t xml:space="preserve">Martins</t>
        </is>
      </c>
      <c r="C63" s="54" t="inlineStr">
        <is>
          <t xml:space="preserve">Toni</t>
        </is>
      </c>
      <c r="D63" s="54" t="inlineStr">
        <is>
          <t xml:space="preserve">Jesus</t>
        </is>
      </c>
      <c r="E63" s="54" t="inlineStr">
        <is>
          <t xml:space="preserve">Pelvic</t>
        </is>
      </c>
      <c r="F63" s="54" t="inlineStr">
        <is>
          <t xml:space="preserve">666541</t>
        </is>
      </c>
      <c r="G63" s="54" t="inlineStr">
        <is>
          <t xml:space="preserve">Intact</t>
        </is>
      </c>
      <c r="H63" s="54" t="inlineStr">
        <is>
          <t xml:space="preserve">5502523269</t>
        </is>
      </c>
      <c r="I63" s="55" t="n">
        <v>15</v>
      </c>
      <c r="J63" s="55" t="n">
        <v>14</v>
      </c>
      <c r="K63" s="55" t="n">
        <v>1</v>
      </c>
      <c r="L63" s="56" t="n">
        <f aca="false">IFERROR(J63/I63,0)</f>
      </c>
      <c r="M63" s="57" t="inlineStr">
        <is>
          <t xml:space="preserve">1 hole in bowel (ran out of pigs, 3-hr wait, truck late)</t>
        </is>
      </c>
      <c r="N63" s="54" t="inlineStr">
        <is>
          <t xml:space="preserve">Standard</t>
        </is>
      </c>
    </row>
    <row r="64" ht="40.0" customHeight="1">
      <c r="A64" s="54" t="inlineStr">
        <is>
          <t xml:space="preserve">2026-08-19</t>
        </is>
      </c>
      <c r="B64" s="54" t="inlineStr">
        <is>
          <t xml:space="preserve">Nahunta</t>
        </is>
      </c>
      <c r="C64" s="54" t="inlineStr">
        <is>
          <t xml:space="preserve">Kris</t>
        </is>
      </c>
      <c r="D64" s="54" t="inlineStr">
        <is>
          <t xml:space="preserve">Jordan</t>
        </is>
      </c>
      <c r="E64" s="54" t="inlineStr">
        <is>
          <t xml:space="preserve">Thoracic</t>
        </is>
      </c>
      <c r="F64" s="54" t="inlineStr">
        <is>
          <t xml:space="preserve">666521</t>
        </is>
      </c>
      <c r="G64" s="54" t="inlineStr">
        <is>
          <t xml:space="preserve">Lung / heart</t>
        </is>
      </c>
      <c r="H64" s="54" t="inlineStr">
        <is>
          <t xml:space="preserve">5502523283</t>
        </is>
      </c>
      <c r="I64" s="55" t="n">
        <v>29</v>
      </c>
      <c r="J64" s="55" t="n">
        <v>6</v>
      </c>
      <c r="K64" s="55" t="n">
        <v>23</v>
      </c>
      <c r="L64" s="56" t="n">
        <f aca="false">IFERROR(J64/I64,0)</f>
      </c>
      <c r="M64" s="57" t="inlineStr">
        <is>
          <t xml:space="preserve">11 right-lung lacerations; 12 heart damage. Ricardo meeting reduced lung lacerations only until first break; heart lacerations (inspector-side) now the next gap.</t>
        </is>
      </c>
      <c r="N64" s="54" t="inlineStr">
        <is>
          <t xml:space="preserve">Standard</t>
        </is>
      </c>
    </row>
    <row r="65" ht="13.5" customHeight="1">
      <c r="A65" s="54" t="inlineStr">
        <is>
          <t xml:space="preserve">2026-08-20</t>
        </is>
      </c>
      <c r="B65" s="54" t="inlineStr">
        <is>
          <t xml:space="preserve">Parks Family Meats</t>
        </is>
      </c>
      <c r="C65" s="54" t="inlineStr">
        <is>
          <t xml:space="preserve">Rasmin</t>
        </is>
      </c>
      <c r="D65" s="54" t="inlineStr">
        <is>
          <t xml:space="preserve">Natalie</t>
        </is>
      </c>
      <c r="E65" s="54" t="inlineStr">
        <is>
          <t xml:space="preserve">Pelvic</t>
        </is>
      </c>
      <c r="F65" s="54" t="inlineStr">
        <is>
          <t xml:space="preserve">666541</t>
        </is>
      </c>
      <c r="G65" s="54" t="inlineStr">
        <is>
          <t xml:space="preserve">Intact</t>
        </is>
      </c>
      <c r="H65" s="54" t="inlineStr">
        <is>
          <t xml:space="preserve">(no batch data)</t>
        </is>
      </c>
      <c r="I65" s="55" t="n">
        <v>13</v>
      </c>
      <c r="J65" s="55" t="n">
        <v>12</v>
      </c>
      <c r="K65" s="55" t="n">
        <v>1</v>
      </c>
      <c r="L65" s="56" t="n">
        <f aca="false">IFERROR(J65/I65,0)</f>
      </c>
      <c r="M65" s="57" t="inlineStr">
        <is>
          <t xml:space="preserve">1 hole in the mesentery critical area</t>
        </is>
      </c>
      <c r="N65" s="54" t="inlineStr">
        <is>
          <t xml:space="preserve">Standard</t>
        </is>
      </c>
    </row>
    <row r="66" ht="13.5" customHeight="1">
      <c r="A66" s="54" t="inlineStr">
        <is>
          <t xml:space="preserve">2026-08-24</t>
        </is>
      </c>
      <c r="B66" s="54" t="inlineStr">
        <is>
          <t xml:space="preserve">Martins</t>
        </is>
      </c>
      <c r="C66" s="54" t="inlineStr">
        <is>
          <t xml:space="preserve">Toni</t>
        </is>
      </c>
      <c r="D66" s="54" t="inlineStr">
        <is>
          <t xml:space="preserve">Jesus</t>
        </is>
      </c>
      <c r="E66" s="54" t="inlineStr">
        <is>
          <t xml:space="preserve">Pelvic</t>
        </is>
      </c>
      <c r="F66" s="54" t="inlineStr">
        <is>
          <t xml:space="preserve">666506</t>
        </is>
      </c>
      <c r="G66" s="54" t="inlineStr">
        <is>
          <t xml:space="preserve">Non-intact</t>
        </is>
      </c>
      <c r="H66" s="54" t="inlineStr">
        <is>
          <t xml:space="preserve">5502539357</t>
        </is>
      </c>
      <c r="I66" s="55" t="n">
        <v>7</v>
      </c>
      <c r="J66" s="55" t="n">
        <v>7</v>
      </c>
      <c r="K66" s="55" t="n">
        <v>0</v>
      </c>
      <c r="L66" s="56" t="n">
        <f aca="false">IFERROR(J66/I66,0)</f>
      </c>
      <c r="M66" s="57" t="inlineStr">
        <is>
          <t xml:space="preserve"/>
        </is>
      </c>
      <c r="N66" s="54" t="inlineStr">
        <is>
          <t xml:space="preserve">Standard</t>
        </is>
      </c>
    </row>
    <row r="67" ht="13.5" customHeight="1">
      <c r="A67" s="54" t="inlineStr">
        <is>
          <t xml:space="preserve">2026-08-24</t>
        </is>
      </c>
      <c r="B67" s="54" t="inlineStr">
        <is>
          <t xml:space="preserve">Martins</t>
        </is>
      </c>
      <c r="C67" s="54" t="inlineStr">
        <is>
          <t xml:space="preserve">Toni</t>
        </is>
      </c>
      <c r="D67" s="54" t="inlineStr">
        <is>
          <t xml:space="preserve">Jesus</t>
        </is>
      </c>
      <c r="E67" s="54" t="inlineStr">
        <is>
          <t xml:space="preserve">Pelvic</t>
        </is>
      </c>
      <c r="F67" s="54" t="inlineStr">
        <is>
          <t xml:space="preserve">666541</t>
        </is>
      </c>
      <c r="G67" s="54" t="inlineStr">
        <is>
          <t xml:space="preserve">Intact</t>
        </is>
      </c>
      <c r="H67" s="54" t="inlineStr">
        <is>
          <t xml:space="preserve">5502539360</t>
        </is>
      </c>
      <c r="I67" s="55" t="n">
        <v>30</v>
      </c>
      <c r="J67" s="55" t="n">
        <v>28</v>
      </c>
      <c r="K67" s="55" t="n">
        <v>2</v>
      </c>
      <c r="L67" s="56" t="n">
        <f aca="false">IFERROR(J67/I67,0)</f>
      </c>
      <c r="M67" s="57" t="inlineStr">
        <is>
          <t xml:space="preserve">1 cut urethra; 1 short membrane on right side</t>
        </is>
      </c>
      <c r="N67" s="54" t="inlineStr">
        <is>
          <t xml:space="preserve">Standard</t>
        </is>
      </c>
    </row>
    <row r="68" ht="54.0" customHeight="1">
      <c r="A68" s="54" t="inlineStr">
        <is>
          <t xml:space="preserve">2026-08-26</t>
        </is>
      </c>
      <c r="B68" s="54" t="inlineStr">
        <is>
          <t xml:space="preserve">Nahunta</t>
        </is>
      </c>
      <c r="C68" s="54" t="inlineStr">
        <is>
          <t xml:space="preserve">Kris</t>
        </is>
      </c>
      <c r="D68" s="54" t="inlineStr">
        <is>
          <t xml:space="preserve">Jordan</t>
        </is>
      </c>
      <c r="E68" s="54" t="inlineStr">
        <is>
          <t xml:space="preserve">Thoracic</t>
        </is>
      </c>
      <c r="F68" s="54" t="inlineStr">
        <is>
          <t xml:space="preserve">666521</t>
        </is>
      </c>
      <c r="G68" s="54" t="inlineStr">
        <is>
          <t xml:space="preserve">Lung / heart</t>
        </is>
      </c>
      <c r="H68" s="54" t="inlineStr">
        <is>
          <t xml:space="preserve">5502539375</t>
        </is>
      </c>
      <c r="I68" s="55" t="n">
        <v>9</v>
      </c>
      <c r="J68" s="55" t="n">
        <v>8</v>
      </c>
      <c r="K68" s="55" t="n">
        <v>1</v>
      </c>
      <c r="L68" s="56" t="n">
        <f aca="false">IFERROR(J68/I68,0)</f>
      </c>
      <c r="M68" s="57" t="inlineStr">
        <is>
          <t xml:space="preserve">OUR QC STAGE: inspected the 9 blocks Jordan passed — 8 pass / 1 fail (visit's 10 total rejects: 8 lung lacerations, 2 heart; stage split not itemized on the sheet). HARVEST STAGE: Jordan rejected 9 of 18 received before tissue reached QC. 2 upper-vessel-damage blocks passed &amp; labeled for the usability study; rebound credited to Francisco's team.</t>
        </is>
      </c>
      <c r="N68" s="60" t="inlineStr">
        <is>
          <t xml:space="preserve">Two-stage — QC of harvest-passed</t>
        </is>
      </c>
    </row>
    <row r="69" ht="27.0" customHeight="1">
      <c r="A69" s="54" t="inlineStr">
        <is>
          <t xml:space="preserve">2026-08-31</t>
        </is>
      </c>
      <c r="B69" s="54" t="inlineStr">
        <is>
          <t xml:space="preserve">Martins</t>
        </is>
      </c>
      <c r="C69" s="54" t="inlineStr">
        <is>
          <t xml:space="preserve">Toni</t>
        </is>
      </c>
      <c r="D69" s="54" t="inlineStr">
        <is>
          <t xml:space="preserve">Jesus</t>
        </is>
      </c>
      <c r="E69" s="54" t="inlineStr">
        <is>
          <t xml:space="preserve">Pelvic</t>
        </is>
      </c>
      <c r="F69" s="54" t="inlineStr">
        <is>
          <t xml:space="preserve">666541</t>
        </is>
      </c>
      <c r="G69" s="54" t="inlineStr">
        <is>
          <t xml:space="preserve">Intact</t>
        </is>
      </c>
      <c r="H69" s="54" t="inlineStr">
        <is>
          <t xml:space="preserve">5502550271</t>
        </is>
      </c>
      <c r="I69" s="55" t="n">
        <v>31</v>
      </c>
      <c r="J69" s="55" t="n">
        <v>30</v>
      </c>
      <c r="K69" s="55" t="n">
        <v>1</v>
      </c>
      <c r="L69" s="56" t="n">
        <f aca="false">IFERROR(J69/I69,0)</f>
      </c>
      <c r="M69" s="57" t="inlineStr">
        <is>
          <t xml:space="preserve">1 damaged membrane (SH finished early; 2.5-hr truck wait)</t>
        </is>
      </c>
      <c r="N69" s="54" t="inlineStr">
        <is>
          <t xml:space="preserve">Standard</t>
        </is>
      </c>
    </row>
    <row r="70" ht="54.0" customHeight="1">
      <c r="A70" s="54" t="inlineStr">
        <is>
          <t xml:space="preserve">2026-09-09</t>
        </is>
      </c>
      <c r="B70" s="54" t="inlineStr">
        <is>
          <t xml:space="preserve">Nahunta</t>
        </is>
      </c>
      <c r="C70" s="54" t="inlineStr">
        <is>
          <t xml:space="preserve">Kris</t>
        </is>
      </c>
      <c r="D70" s="54" t="inlineStr">
        <is>
          <t xml:space="preserve">Jordan</t>
        </is>
      </c>
      <c r="E70" s="54" t="inlineStr">
        <is>
          <t xml:space="preserve">Thoracic</t>
        </is>
      </c>
      <c r="F70" s="54" t="inlineStr">
        <is>
          <t xml:space="preserve">666521</t>
        </is>
      </c>
      <c r="G70" s="54" t="inlineStr">
        <is>
          <t xml:space="preserve">Lung / heart</t>
        </is>
      </c>
      <c r="H70" s="54" t="inlineStr">
        <is>
          <t xml:space="preserve">5502550281</t>
        </is>
      </c>
      <c r="I70" s="55" t="n">
        <v>2</v>
      </c>
      <c r="J70" s="55" t="n">
        <v>2</v>
      </c>
      <c r="K70" s="55" t="n">
        <v>0</v>
      </c>
      <c r="L70" s="56" t="n">
        <f aca="false">IFERROR(J70/I70,0)</f>
      </c>
      <c r="M70" s="57" t="inlineStr">
        <is>
          <t xml:space="preserve">OUR QC STAGE: inspected the 2 blocks Jordan passed — both pass. HARVEST STAGE: Jordan rejected 17 of 19 received — 8 left-lung lacerations, 9 missing trachea (SH harvesting tracheas for another buyer). One passed unit labeled for a high head-vessel laceration.</t>
        </is>
      </c>
      <c r="N70" s="60" t="inlineStr">
        <is>
          <t xml:space="preserve">Two-stage — QC of harvest-passed</t>
        </is>
      </c>
    </row>
    <row r="71"/>
    <row r="72" ht="20" customHeight="1">
      <c r="A72" s="52" t="inlineStr">
        <is>
          <t xml:space="preserve">TOTALS BY TISSUE TYPE</t>
        </is>
      </c>
    </row>
    <row r="73">
      <c r="A73" s="53" t="inlineStr">
        <is>
          <t xml:space="preserve">Tissue Type</t>
        </is>
      </c>
      <c r="I73" s="53" t="inlineStr">
        <is>
          <t xml:space="preserve"># Inspected</t>
        </is>
      </c>
      <c r="J73" s="53" t="inlineStr">
        <is>
          <t xml:space="preserve"># Pass</t>
        </is>
      </c>
      <c r="K73" s="53" t="inlineStr">
        <is>
          <t xml:space="preserve"># Fail</t>
        </is>
      </c>
      <c r="L73" s="53" t="inlineStr">
        <is>
          <t xml:space="preserve">First-Pass Yield</t>
        </is>
      </c>
    </row>
    <row r="74">
      <c r="A74" s="58" t="inlineStr">
        <is>
          <t xml:space="preserve">Pelvic</t>
        </is>
      </c>
      <c r="I74" s="55" t="n">
        <f aca="false">SUMIF($E$6:$E$70,"Pelvic",$I$6:$I$70)</f>
      </c>
      <c r="J74" s="55" t="n">
        <f aca="false">SUMIF($E$6:$E$70,"Pelvic",$J$6:$J$70)</f>
      </c>
      <c r="K74" s="55" t="n">
        <f aca="false">SUMIF($E$6:$E$70,"Pelvic",$K$6:$K$70)</f>
      </c>
      <c r="L74" s="56" t="n">
        <f aca="false">IFERROR(J74/I74,0)</f>
      </c>
    </row>
    <row r="75">
      <c r="A75" s="58" t="inlineStr">
        <is>
          <t xml:space="preserve">Thoracic</t>
        </is>
      </c>
      <c r="I75" s="55" t="n">
        <f aca="false">SUMIF($E$6:$E$70,"Thoracic",$I$6:$I$70)</f>
      </c>
      <c r="J75" s="55" t="n">
        <f aca="false">SUMIF($E$6:$E$70,"Thoracic",$J$6:$J$70)</f>
      </c>
      <c r="K75" s="55" t="n">
        <f aca="false">SUMIF($E$6:$E$70,"Thoracic",$K$6:$K$70)</f>
      </c>
      <c r="L75" s="56" t="n">
        <f aca="false">IFERROR(J75/I75,0)</f>
      </c>
    </row>
    <row r="76">
      <c r="A76" s="58" t="inlineStr">
        <is>
          <t xml:space="preserve">GRAND TOTAL (all tissue types)</t>
        </is>
      </c>
      <c r="I76" s="55" t="n">
        <f aca="false">SUM($I$6:$I$70)</f>
      </c>
      <c r="J76" s="55" t="n">
        <f aca="false">SUM($J$6:$J$70)</f>
      </c>
      <c r="K76" s="55" t="n">
        <f aca="false">SUM($K$6:$K$70)</f>
      </c>
      <c r="L76" s="56" t="n">
        <f aca="false">IFERROR(J76/I76,0)</f>
      </c>
    </row>
    <row r="77"/>
    <row r="78" ht="20" customHeight="1">
      <c r="A78" s="52" t="inlineStr">
        <is>
          <t xml:space="preserve">NAHUNTA — TWO INSPECTIONS PER VISIT (unique to Nahunta, since 08/26)</t>
        </is>
      </c>
    </row>
    <row r="79" ht="44" customHeight="1">
      <c r="A79" s="60" t="inlineStr">
        <is>
          <t xml:space="preserve">Nahunta is the only slaughterhouse running two inspections. (1) BEFORE we receive the tissue: the harvesting tech (Jordan) inspects and rejects blocks as he harvests. (2) AFTER: our QC tech inspects the tissue passed to us. On the log rows above, # Inspected / # Pass / # Fail are OUR QC inspection only; harvest-stage rejections are recorded here and in each row's notes.</t>
        </is>
      </c>
    </row>
    <row r="80" ht="40" customHeight="1">
      <c r="A80" s="53" t="inlineStr">
        <is>
          <t xml:space="preserve">Harvest Date</t>
        </is>
      </c>
      <c r="B80" s="53" t="inlineStr">
        <is>
          <t xml:space="preserve">Lot</t>
        </is>
      </c>
      <c r="C80" s="53" t="inlineStr">
        <is>
          <t xml:space="preserve">Part #</t>
        </is>
      </c>
      <c r="D80" s="53" t="inlineStr">
        <is>
          <t xml:space="preserve">QC Pass</t>
        </is>
      </c>
      <c r="E80" s="53" t="inlineStr">
        <is>
          <t xml:space="preserve">QC Fail</t>
        </is>
      </c>
      <c r="F80" s="53" t="inlineStr">
        <is>
          <t xml:space="preserve">QC FPY (log basis)</t>
        </is>
      </c>
      <c r="G80" s="53" t="inlineStr">
        <is>
          <t xml:space="preserve"># Received at harvest</t>
        </is>
      </c>
      <c r="H80" s="53" t="inlineStr">
        <is>
          <t xml:space="preserve">Rejected by harvest tech</t>
        </is>
      </c>
      <c r="I80" s="53" t="inlineStr">
        <is>
          <t xml:space="preserve">Passed to our QC</t>
        </is>
      </c>
      <c r="J80" s="53" t="inlineStr">
        <is>
          <t xml:space="preserve">What it took to get the good ones</t>
        </is>
      </c>
    </row>
    <row r="81" ht="54" customHeight="1">
      <c r="A81" s="54" t="inlineStr">
        <is>
          <t xml:space="preserve">2026-08-26</t>
        </is>
      </c>
      <c r="B81" s="54" t="inlineStr">
        <is>
          <t xml:space="preserve">5502539375</t>
        </is>
      </c>
      <c r="C81" s="54" t="inlineStr">
        <is>
          <t xml:space="preserve">666521</t>
        </is>
      </c>
      <c r="D81" s="55" t="n">
        <v>8</v>
      </c>
      <c r="E81" s="55" t="n">
        <v>1</v>
      </c>
      <c r="F81" s="56" t="n">
        <v>0.8889</v>
      </c>
      <c r="G81" s="55" t="n">
        <v>18</v>
      </c>
      <c r="H81" s="55" t="n">
        <v>9</v>
      </c>
      <c r="I81" s="55" t="n">
        <v>9</v>
      </c>
      <c r="J81" s="57" t="inlineStr">
        <is>
          <t xml:space="preserve">It took 18 blocks at harvest to get 8 good ones: Jordan rejected 9 while harvesting (lung/heart lacerations; visit totals 8 lung, 2 heart), passed 9 to our QC, and QC rejected 1 more. 2 upper-vessel-damage blocks passed &amp; labeled for the usability study; rebound credited to Francisco's team.</t>
        </is>
      </c>
    </row>
    <row r="82" ht="54" customHeight="1">
      <c r="A82" s="54" t="inlineStr">
        <is>
          <t xml:space="preserve">2026-09-09</t>
        </is>
      </c>
      <c r="B82" s="54" t="inlineStr">
        <is>
          <t xml:space="preserve">5502550281</t>
        </is>
      </c>
      <c r="C82" s="54" t="inlineStr">
        <is>
          <t xml:space="preserve">666521</t>
        </is>
      </c>
      <c r="D82" s="55" t="n">
        <v>2</v>
      </c>
      <c r="E82" s="55" t="n">
        <v>0</v>
      </c>
      <c r="F82" s="56" t="n">
        <v>1.0</v>
      </c>
      <c r="G82" s="55" t="n">
        <v>19</v>
      </c>
      <c r="H82" s="55" t="n">
        <v>17</v>
      </c>
      <c r="I82" s="55" t="n">
        <v>2</v>
      </c>
      <c r="J82" s="57" t="inlineStr">
        <is>
          <t xml:space="preserve">It took 19 blocks at harvest to get 2 good ones: Jordan rejected 17 — 8 left-lung lacerations + 9 missing trachea (SH harvesting tracheas for another buyer). Both blocks passed to our QC were accepted (one labeled for a high head-vessel laceration).</t>
        </is>
      </c>
    </row>
    <row r="83" ht="30" customHeight="1">
      <c r="A83" s="59" t="inlineStr">
        <is>
          <t xml:space="preserve">Earlier Nahunta visits (7/29, 8/5, 8/12, 8/19) used the standard single-stage tally: our tech inspected everything received, so those rows are directly comparable to Martins and Parks. The harvest-tech reject rate (9/18, then 17/19) is the leading indicator of harvesting quality.</t>
        </is>
      </c>
    </row>
    <row r="84"/>
    <row r="85" ht="20" customHeight="1">
      <c r="A85" s="52" t="inlineStr">
        <is>
          <t xml:space="preserve">ATM RECEIPT COMPARISON</t>
        </is>
      </c>
    </row>
    <row r="86" ht="24" customHeight="1">
      <c r="A86" s="59" t="inlineStr">
        <is>
          <t xml:space="preserve">See the 'SH vs ATM by Batch' and 'SH vs ATM Issues' tabs. The current ATM (SAP) extract runs through 09/16.</t>
        </is>
      </c>
    </row>
    <row r="87"/>
    <row r="88" ht="20" customHeight="1">
      <c r="A88" s="52" t="inlineStr">
        <is>
          <t xml:space="preserve">NOTES &amp; DATA CONVENTIONS</t>
        </is>
      </c>
    </row>
    <row r="89" ht="62.0" customHeight="1">
      <c r="A89" s="58" t="inlineStr">
        <is>
          <t xml:space="preserve">1. 666506 = non-intact</t>
        </is>
      </c>
      <c r="B89" s="59"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90" ht="62.0" customHeight="1">
      <c r="A90" s="58" t="inlineStr">
        <is>
          <t xml:space="preserve">2. Different lot suffixes for intact vs non-intact</t>
        </is>
      </c>
      <c r="B90" s="59"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91" ht="62.0" customHeight="1">
      <c r="A91" s="58" t="inlineStr">
        <is>
          <t xml:space="preserve">3. 'Ran out of time' event on 04/20</t>
        </is>
      </c>
      <c r="B91" s="59"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92" ht="62.0" customHeight="1">
      <c r="A92" s="58" t="inlineStr">
        <is>
          <t xml:space="preserve">4. 'Damaged urethra' dominates Visit 3</t>
        </is>
      </c>
      <c r="B92" s="59"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93" ht="62.0" customHeight="1">
      <c r="A93" s="58" t="inlineStr">
        <is>
          <t xml:space="preserve">5. Long truck wait on 05/04 (Visit 3)</t>
        </is>
      </c>
      <c r="B93" s="59"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94" ht="62.0" customHeight="1">
      <c r="A94" s="58" t="inlineStr">
        <is>
          <t xml:space="preserve">6. Source file typos</t>
        </is>
      </c>
      <c r="B94" s="59" t="inlineStr">
        <is>
          <t xml:space="preserve">Source tally sheets carry '25026' instead of '2026' in the Date and Kill Date fields (Harvest Date is correct). Not reflected here — clean dates used throughout. One-line correction in the tally-sheet template would fix it going forward.</t>
        </is>
      </c>
    </row>
    <row r="95" ht="62.0" customHeight="1">
      <c r="A95" s="58" t="inlineStr">
        <is>
          <t xml:space="preserve">7. Stage-to-stage scope</t>
        </is>
      </c>
      <c r="B95" s="59"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96" ht="62.0" customHeight="1">
      <c r="A96" s="58" t="inlineStr">
        <is>
          <t xml:space="preserve">8. Inspection coverage</t>
        </is>
      </c>
      <c r="B96" s="59" t="inlineStr">
        <is>
          <t xml:space="preserve">65 part-inspections across 44 visit-days and 3 slaughterhouses (Martins ×25, Parks ×13, Nahunta ×6), Apr 13 – Sep 9 2026. Tissue types: Pelvic (666541/666506/666518) and Thoracic (666521). To extend, append rows to the log; the SUMIF/SUM ranges auto-cover them.</t>
        </is>
      </c>
    </row>
    <row r="97" ht="62.0" customHeight="1">
      <c r="A97" s="58" t="inlineStr">
        <is>
          <t xml:space="preserve">9. Lot 5502421192 reused on the 05/27 sheet</t>
        </is>
      </c>
      <c r="B97" s="59"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98" ht="62.0" customHeight="1">
      <c r="A98" s="58" t="inlineStr">
        <is>
          <t xml:space="preserve">10. New slaughterhouse &amp; inspection team (Parks, 05/28)</t>
        </is>
      </c>
      <c r="B98" s="59" t="inlineStr">
        <is>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99" ht="62.0" customHeight="1">
      <c r="A99" s="58" t="inlineStr">
        <is>
          <t xml:space="preserve">11. Visit 7 harvest-date split (06/01 vs 06/03)</t>
        </is>
      </c>
      <c r="B99" s="59"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100" ht="62.0" customHeight="1">
      <c r="A100" s="58" t="inlineStr">
        <is>
          <t xml:space="preserve">12. New visits 7 (Martins) &amp; 8 (Parks)</t>
        </is>
      </c>
      <c r="B100" s="59"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101" ht="62.0" customHeight="1">
      <c r="A101" s="58" t="inlineStr">
        <is>
          <t xml:space="preserve">13. New visits 9–12 (06/08–06/24)</t>
        </is>
      </c>
      <c r="B101" s="59"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102" ht="62.0" customHeight="1">
      <c r="A102" s="58" t="inlineStr">
        <is>
          <t xml:space="preserve">14. Lot-number carry-over recurs (Visits 9 &amp; 12)</t>
        </is>
      </c>
      <c r="B102" s="59"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103" ht="62.0" customHeight="1">
      <c r="A103" s="58" t="inlineStr">
        <is>
          <t xml:space="preserve">15. Visit 10 (06/15) — two intact tally lines combined; no non-intact</t>
        </is>
      </c>
      <c r="B103" s="59"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104" ht="62.0" customHeight="1">
      <c r="A104" s="58" t="inlineStr">
        <is>
          <t xml:space="preserve">16. Visit 11 (06/16 Parks) — heavy upstream miscut losses</t>
        </is>
      </c>
      <c r="B104" s="59"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105" ht="62.0" customHeight="1">
      <c r="A105" s="58" t="inlineStr">
        <is>
          <t xml:space="preserve">17. New Parks visits 13 (06/22) &amp; 14 (06/25)</t>
        </is>
      </c>
      <c r="B105" s="59"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106" ht="62.0" customHeight="1">
      <c r="A106" s="58" t="inlineStr">
        <is>
          <t xml:space="preserve">18. New visits 15–19 (06/29–07/13); two Parks fail-count corrections</t>
        </is>
      </c>
      <c r="B106" s="59"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is>
      </c>
    </row>
    <row r="107" ht="62.0" customHeight="1">
      <c r="A107" s="58" t="inlineStr">
        <is>
          <t xml:space="preserve">19. Visit 19 (Parks) harvest-date ambiguity</t>
        </is>
      </c>
      <c r="B107" s="59"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108" ht="62.0" customHeight="1">
      <c r="A108" s="58" t="inlineStr">
        <is>
          <t xml:space="preserve">20. New visits 20–23 (07/20–07/30); first thoracic &amp; new slaughterhouse</t>
        </is>
      </c>
      <c r="B108" s="59"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109" ht="62.0" customHeight="1">
      <c r="A109" s="58" t="inlineStr">
        <is>
          <t xml:space="preserve">21. Visit 20 (07/20 Martins 666541) count discrepancy</t>
        </is>
      </c>
      <c r="B109" s="59"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110" ht="62.0" customHeight="1">
      <c r="A110" s="58" t="inlineStr">
        <is>
          <t xml:space="preserve">22. Workbook redesign</t>
        </is>
      </c>
      <c r="B110" s="59"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111" ht="62.0" customHeight="1">
      <c r="A111" s="58" t="inlineStr">
        <is>
          <t xml:space="preserve">23. August batch (07/16–08/19) &amp; de-duplication</t>
        </is>
      </c>
      <c r="B111" s="59"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112" ht="46.0" customHeight="1">
      <c r="A112" s="58" t="inlineStr">
        <is>
          <t xml:space="preserve">24. Parks spec transition 666518 → 666541</t>
        </is>
      </c>
      <c r="B112" s="59" t="inlineStr">
        <is>
          <t xml:space="preserve">Parks pelvic blocks are now received under PN 666541 (from 08/10); earlier Parks visits used 668518 → 666518. Both are Pelvic tissue; the by-part view now shows 666541 at Martins, Parks and Nahunta.</t>
        </is>
      </c>
    </row>
    <row r="113" ht="62.0" customHeight="1">
      <c r="A113" s="58" t="inlineStr">
        <is>
          <t xml:space="preserve">25. Nahunta thoracic (666521) trend &amp; pelvic line</t>
        </is>
      </c>
      <c r="B113" s="59" t="inlineStr">
        <is>
          <t xml:space="preserve">First-pass yield fell 32% (7/29) → 0% (8/5) → 15% (8/12) → 21% (8/19); right-lung perimeter and increasingly heart lacerations dominate (harvesting-side; escalated with Ricardo). The 8/12 pelvic 666541 line (13/1/12) was a PRE-RECEIPT SCREEN: the blocks were inspected prior to receiving them, before the harvesting tech got the tissue (pelvics deprioritized — Jordan harvests other components first). Its 12 rejects are not incoming-QC failures and the line is not FPY-graded; no reasons itemized on the source sheet, so it is excluded from defect-profile views.</t>
        </is>
      </c>
    </row>
    <row r="114" ht="62.0" customHeight="1">
      <c r="A114" s="58" t="inlineStr">
        <is>
          <t xml:space="preserve">26. Late-Aug / Sep batch (08/20–09/09)</t>
        </is>
      </c>
      <c r="B114" s="59" t="inlineStr">
        <is>
          <t xml:space="preserve">Five new sheets, no duplicates. Flags: the Parks file was named 08_21 but every date field reads 08/20 — recorded 08/20. Nahunta 8/26 lot read '55025239375' (11 digits) — recorded 5502539375. Nahunta switched to a two-stage process (see note 27); for those visits the log records OUR QC inspection of the tissue the harvesting tech passed, with harvest-stage rejects in the row notes. 08/31 Martins listed 666506 with 0 inspected and no non-intact lot — omitted. 9/9 introduces a new defect, MISSING TRACHEA (9 units): the SH is harvesting tracheas for another buyer. 8/26 shows a sharp thoracic rebound (44%) after Francisco's team engagement.</t>
        </is>
      </c>
    </row>
    <row r="115" ht="62.0" customHeight="1">
      <c r="A115" s="58" t="inlineStr">
        <is>
          <t xml:space="preserve">27. Nahunta two-inspection process</t>
        </is>
      </c>
      <c r="B115" s="59" t="inlineStr">
        <is>
          <t xml:space="preserve">Unique to Nahunta (from 08/26): the harvesting tech inspects the tissue BEFORE we receive it and rejects at harvest; our QC tech then inspects what was passed to us. Log convention for these visits: # Inspected / # Pass / # Fail = OUR QC inspection of the harvest-passed tissue (8/26: 9 → 8/1; 9/9: 2 → 2/0); harvest-stage rejections (8/26: 9 of 18; 9/9: 17 of 19, incl. 9 missing trachea) live in the two-inspection section and row notes and are NOT counted in log totals, dashboards or monthly tabs. The harvest-tech reject rate is tracked as a leading indicator of harvesting quality.</t>
        </is>
      </c>
    </row>
    <row r="116" ht="62.0" customHeight="1">
      <c r="A116" s="58" t="inlineStr">
        <is>
          <t xml:space="preserve">29. Nahunta standardization</t>
        </is>
      </c>
      <c r="B116" s="59" t="inlineStr">
        <is>
          <t xml:space="preserve">Nahunta's numbers have been collected on three different bases: single-stage whole-harvest tallies (7/29-8/19), two-stage QC-of-harvest-passed tallies (8/26, 9/9), and one pre-receipt screen (8/12 pelvic). The 'Nahunta Standard' tab restates every visit on two standard metrics — Harvest yield (usable blocks / blocks at harvest) and QC accept rate (QC pass / presented to our QC) — defines the standard tally for future visits, and lists the open data gaps.</t>
        </is>
      </c>
    </row>
    <row r="117" ht="62.0" customHeight="1">
      <c r="A117" s="58" t="inlineStr">
        <is>
          <t xml:space="preserve">28. Defect categories cleaned; no more 'Other'</t>
        </is>
      </c>
      <c r="B117" s="59" t="inlineStr">
        <is>
          <t xml:space="preserve">Former 'Other / unspecified' items now carry their real reasons as named categories: Blood clots (2, 4/15), Handling damage (cleaning) (2, 4/20), Deformed ligaments (1, 5/18), Undocumented / not itemized (7/20 count discrepancy: 1; 8/26 QC-stage fail not stage-itemized: 1). The Nahunta 8/12 pelvic line (13/1/12) was a PRE-RECEIPT SCREEN — inspected prior to receiving them, before the harvesting tech got the tissue; its 12 rejects are not incoming-QC failures, the line is not FPY-graded, and with no reasons itemized it is excluded from all defect-profile views (Monthly, month tabs, SH vs ATM Issues); it remains in the log and totals, flagged in yellow.</t>
        </is>
      </c>
    </row>
  </sheetData>
  <mergeCells count="42">
    <mergeCell ref="A1:N1"/>
    <mergeCell ref="A2:N2"/>
    <mergeCell ref="A4:N4"/>
    <mergeCell ref="A72:N72"/>
    <mergeCell ref="A78:N78"/>
    <mergeCell ref="A79:N79"/>
    <mergeCell ref="J80:N80"/>
    <mergeCell ref="J81:N81"/>
    <mergeCell ref="J82:N82"/>
    <mergeCell ref="A83:N83"/>
    <mergeCell ref="A85:N85"/>
    <mergeCell ref="A86:N86"/>
    <mergeCell ref="A88:N88"/>
    <mergeCell ref="B89:N89"/>
    <mergeCell ref="B90:N90"/>
    <mergeCell ref="B91:N91"/>
    <mergeCell ref="B92:N92"/>
    <mergeCell ref="B93:N93"/>
    <mergeCell ref="B94:N94"/>
    <mergeCell ref="B95:N95"/>
    <mergeCell ref="B96:N96"/>
    <mergeCell ref="B97:N97"/>
    <mergeCell ref="B98:N98"/>
    <mergeCell ref="B99:N99"/>
    <mergeCell ref="B100:N100"/>
    <mergeCell ref="B101:N101"/>
    <mergeCell ref="B102:N102"/>
    <mergeCell ref="B103:N103"/>
    <mergeCell ref="B104:N104"/>
    <mergeCell ref="B105:N105"/>
    <mergeCell ref="B106:N106"/>
    <mergeCell ref="B107:N107"/>
    <mergeCell ref="B108:N108"/>
    <mergeCell ref="B109:N109"/>
    <mergeCell ref="B110:N110"/>
    <mergeCell ref="B111:N111"/>
    <mergeCell ref="B112:N112"/>
    <mergeCell ref="B113:N113"/>
    <mergeCell ref="B114:N114"/>
    <mergeCell ref="B115:N115"/>
    <mergeCell ref="B116:N116"/>
    <mergeCell ref="B117:N117"/>
  </mergeCells>
  <conditionalFormatting sqref="L6:L59 L61:L70">
    <cfRule type="colorScale" priority="1">
      <colorScale>
        <cfvo type="num" val="0.3"/>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4" customHeight="1">
      <c r="A1" s="50" t="inlineStr">
        <is>
          <t xml:space="preserve">Quality Dashboard — by Tissue Type, Part &amp; Slaughterhouse</t>
        </is>
      </c>
    </row>
    <row r="2" ht="44" customHeight="1">
      <c r="A2" s="51" t="inlineStr">
        <is>
          <t xml:space="preserve">First-pass yield across all SH-floor incoming inspections (pre-freeze), Apr–Sep 2026. Live from the Inspection Log on the Slaughterhouse IQC tab. FPY = Pass / Inspected; Scrap % = Fail / Inspected. Nahunta two-stage visits (from 08/26) count our QC inspection of harvest-passed tissue — see the log tab.</t>
        </is>
      </c>
    </row>
    <row r="3"/>
    <row r="4" ht="20" customHeight="1">
      <c r="A4" s="52" t="inlineStr">
        <is>
          <t xml:space="preserve">BY TISSUE TYPE</t>
        </is>
      </c>
    </row>
    <row r="5">
      <c r="A5" s="53" t="inlineStr">
        <is>
          <t xml:space="preserve">Tissue Type</t>
        </is>
      </c>
      <c r="B5" s="53" t="inlineStr">
        <is>
          <t xml:space="preserve"># Inspected</t>
        </is>
      </c>
      <c r="C5" s="53" t="inlineStr">
        <is>
          <t xml:space="preserve"># Pass</t>
        </is>
      </c>
      <c r="D5" s="53" t="inlineStr">
        <is>
          <t xml:space="preserve"># Fail</t>
        </is>
      </c>
      <c r="E5" s="53" t="inlineStr">
        <is>
          <t xml:space="preserve">First-Pass Yield</t>
        </is>
      </c>
      <c r="F5" s="53" t="inlineStr">
        <is>
          <t xml:space="preserve">Scrap %</t>
        </is>
      </c>
    </row>
    <row r="6">
      <c r="A6" s="54" t="inlineStr">
        <is>
          <t xml:space="preserve">Pelvic</t>
        </is>
      </c>
      <c r="B6" s="55" t="n">
        <f aca="false">SUMIF('Slaughterhouse IQC'!$E$6:$E$70,"Pelvic",'Slaughterhouse IQC'!$I$6:$I$70)</f>
      </c>
      <c r="C6" s="55" t="n">
        <f aca="false">SUMIF('Slaughterhouse IQC'!$E$6:$E$70,"Pelvic",'Slaughterhouse IQC'!$J$6:$J$70)</f>
      </c>
      <c r="D6" s="55" t="n">
        <f aca="false">SUMIF('Slaughterhouse IQC'!$E$6:$E$70,"Pelvic",'Slaughterhouse IQC'!$K$6:$K$70)</f>
      </c>
      <c r="E6" s="56" t="n">
        <f aca="false">IFERROR(C6/B6,0)</f>
      </c>
      <c r="F6" s="56" t="n">
        <f aca="false">IFERROR(D6/B6,0)</f>
      </c>
    </row>
    <row r="7">
      <c r="A7" s="54" t="inlineStr">
        <is>
          <t xml:space="preserve">Thoracic</t>
        </is>
      </c>
      <c r="B7" s="55" t="n">
        <f aca="false">SUMIF('Slaughterhouse IQC'!$E$6:$E$70,"Thoracic",'Slaughterhouse IQC'!$I$6:$I$70)</f>
      </c>
      <c r="C7" s="55" t="n">
        <f aca="false">SUMIF('Slaughterhouse IQC'!$E$6:$E$70,"Thoracic",'Slaughterhouse IQC'!$J$6:$J$70)</f>
      </c>
      <c r="D7" s="55" t="n">
        <f aca="false">SUMIF('Slaughterhouse IQC'!$E$6:$E$70,"Thoracic",'Slaughterhouse IQC'!$K$6:$K$70)</f>
      </c>
      <c r="E7" s="56" t="n">
        <f aca="false">IFERROR(C7/B7,0)</f>
      </c>
      <c r="F7" s="56" t="n">
        <f aca="false">IFERROR(D7/B7,0)</f>
      </c>
    </row>
    <row r="8">
      <c r="A8" s="58" t="inlineStr">
        <is>
          <t xml:space="preserve">GRAND TOTAL</t>
        </is>
      </c>
      <c r="B8" s="55" t="n">
        <f aca="false">SUM(B6:B7)</f>
      </c>
      <c r="C8" s="55" t="n">
        <f aca="false">SUM(C6:C7)</f>
      </c>
      <c r="D8" s="55" t="n">
        <f aca="false">SUM(D6:D7)</f>
      </c>
      <c r="E8" s="56" t="n">
        <f aca="false">IFERROR(C8/B8,0)</f>
      </c>
      <c r="F8" s="56" t="n">
        <f aca="false">IFERROR(D8/B8,0)</f>
      </c>
    </row>
    <row r="9"/>
    <row r="10" ht="20" customHeight="1">
      <c r="A10" s="52" t="inlineStr">
        <is>
          <t xml:space="preserve">BY PART</t>
        </is>
      </c>
    </row>
    <row r="11">
      <c r="A11" s="53" t="inlineStr">
        <is>
          <t xml:space="preserve">Part #</t>
        </is>
      </c>
      <c r="B11" s="53" t="inlineStr">
        <is>
          <t xml:space="preserve">Description</t>
        </is>
      </c>
      <c r="C11" s="53" t="inlineStr">
        <is>
          <t xml:space="preserve">Slaughterhouse</t>
        </is>
      </c>
      <c r="D11" s="53" t="inlineStr">
        <is>
          <t xml:space="preserve"># Inspected</t>
        </is>
      </c>
      <c r="E11" s="53" t="inlineStr">
        <is>
          <t xml:space="preserve"># Pass</t>
        </is>
      </c>
      <c r="F11" s="53" t="inlineStr">
        <is>
          <t xml:space="preserve"># Fail</t>
        </is>
      </c>
      <c r="G11" s="53" t="inlineStr">
        <is>
          <t xml:space="preserve">First-Pass Yield</t>
        </is>
      </c>
      <c r="H11" s="53" t="inlineStr">
        <is>
          <t xml:space="preserve">Scrap %</t>
        </is>
      </c>
      <c r="I11" s="53" t="inlineStr">
        <is>
          <t xml:space="preserve">Date span</t>
        </is>
      </c>
    </row>
    <row r="12">
      <c r="A12" s="54" t="inlineStr">
        <is>
          <t xml:space="preserve">666541</t>
        </is>
      </c>
      <c r="B12" s="54" t="inlineStr">
        <is>
          <t xml:space="preserve">Pelvic block, intact</t>
        </is>
      </c>
      <c r="C12" s="54" t="inlineStr">
        <is>
          <t xml:space="preserve">Martins / Parks / Nahunta</t>
        </is>
      </c>
      <c r="D12" s="55" t="n">
        <f aca="false">SUMIF('Slaughterhouse IQC'!$F$6:$F$70,"666541",'Slaughterhouse IQC'!$I$6:$I$70)</f>
      </c>
      <c r="E12" s="55" t="n">
        <f aca="false">SUMIF('Slaughterhouse IQC'!$F$6:$F$70,"666541",'Slaughterhouse IQC'!$J$6:$J$70)</f>
      </c>
      <c r="F12" s="55" t="n">
        <f aca="false">SUMIF('Slaughterhouse IQC'!$F$6:$F$70,"666541",'Slaughterhouse IQC'!$K$6:$K$70)</f>
      </c>
      <c r="G12" s="56" t="n">
        <f aca="false">IFERROR(E12/D12,0)</f>
      </c>
      <c r="H12" s="56" t="n">
        <f aca="false">IFERROR(F12/D12,0)</f>
      </c>
      <c r="I12" s="54" t="inlineStr">
        <is>
          <t xml:space="preserve">4/13 – 8/31</t>
        </is>
      </c>
    </row>
    <row r="13">
      <c r="A13" s="54" t="inlineStr">
        <is>
          <t xml:space="preserve">666506</t>
        </is>
      </c>
      <c r="B13" s="54" t="inlineStr">
        <is>
          <t xml:space="preserve">Pelvic block, non-intact</t>
        </is>
      </c>
      <c r="C13" s="54" t="inlineStr">
        <is>
          <t xml:space="preserve">Martins</t>
        </is>
      </c>
      <c r="D13" s="55" t="n">
        <f aca="false">SUMIF('Slaughterhouse IQC'!$F$6:$F$70,"666506",'Slaughterhouse IQC'!$I$6:$I$70)</f>
      </c>
      <c r="E13" s="55" t="n">
        <f aca="false">SUMIF('Slaughterhouse IQC'!$F$6:$F$70,"666506",'Slaughterhouse IQC'!$J$6:$J$70)</f>
      </c>
      <c r="F13" s="55" t="n">
        <f aca="false">SUMIF('Slaughterhouse IQC'!$F$6:$F$70,"666506",'Slaughterhouse IQC'!$K$6:$K$70)</f>
      </c>
      <c r="G13" s="56" t="n">
        <f aca="false">IFERROR(E13/D13,0)</f>
      </c>
      <c r="H13" s="56" t="n">
        <f aca="false">IFERROR(F13/D13,0)</f>
      </c>
      <c r="I13" s="54" t="inlineStr">
        <is>
          <t xml:space="preserve">4/13 – 8/24</t>
        </is>
      </c>
    </row>
    <row r="14">
      <c r="A14" s="54" t="inlineStr">
        <is>
          <t xml:space="preserve">666518</t>
        </is>
      </c>
      <c r="B14" s="54" t="inlineStr">
        <is>
          <t xml:space="preserve">Pelvic block, intact (SM)</t>
        </is>
      </c>
      <c r="C14" s="54" t="inlineStr">
        <is>
          <t xml:space="preserve">Parks</t>
        </is>
      </c>
      <c r="D14" s="55" t="n">
        <f aca="false">SUMIF('Slaughterhouse IQC'!$F$6:$F$70,"666518",'Slaughterhouse IQC'!$I$6:$I$70)</f>
      </c>
      <c r="E14" s="55" t="n">
        <f aca="false">SUMIF('Slaughterhouse IQC'!$F$6:$F$70,"666518",'Slaughterhouse IQC'!$J$6:$J$70)</f>
      </c>
      <c r="F14" s="55" t="n">
        <f aca="false">SUMIF('Slaughterhouse IQC'!$F$6:$F$70,"666518",'Slaughterhouse IQC'!$K$6:$K$70)</f>
      </c>
      <c r="G14" s="56" t="n">
        <f aca="false">IFERROR(E14/D14,0)</f>
      </c>
      <c r="H14" s="56" t="n">
        <f aca="false">IFERROR(F14/D14,0)</f>
      </c>
      <c r="I14" s="54" t="inlineStr">
        <is>
          <t xml:space="preserve">5/28 – 7/30</t>
        </is>
      </c>
    </row>
    <row r="15">
      <c r="A15" s="54" t="inlineStr">
        <is>
          <t xml:space="preserve">666521</t>
        </is>
      </c>
      <c r="B15" s="54" t="inlineStr">
        <is>
          <t xml:space="preserve">Thoracic (lung / heart)</t>
        </is>
      </c>
      <c r="C15" s="54" t="inlineStr">
        <is>
          <t xml:space="preserve">Nahunta</t>
        </is>
      </c>
      <c r="D15" s="55" t="n">
        <f aca="false">SUMIF('Slaughterhouse IQC'!$F$6:$F$70,"666521",'Slaughterhouse IQC'!$I$6:$I$70)</f>
      </c>
      <c r="E15" s="55" t="n">
        <f aca="false">SUMIF('Slaughterhouse IQC'!$F$6:$F$70,"666521",'Slaughterhouse IQC'!$J$6:$J$70)</f>
      </c>
      <c r="F15" s="55" t="n">
        <f aca="false">SUMIF('Slaughterhouse IQC'!$F$6:$F$70,"666521",'Slaughterhouse IQC'!$K$6:$K$70)</f>
      </c>
      <c r="G15" s="56" t="n">
        <f aca="false">IFERROR(E15/D15,0)</f>
      </c>
      <c r="H15" s="56" t="n">
        <f aca="false">IFERROR(F15/D15,0)</f>
      </c>
      <c r="I15" s="54" t="inlineStr">
        <is>
          <t xml:space="preserve">7/29 – 9/9</t>
        </is>
      </c>
    </row>
    <row r="16"/>
    <row r="17" ht="20" customHeight="1">
      <c r="A17" s="52" t="inlineStr">
        <is>
          <t xml:space="preserve">BY SLAUGHTERHOUSE</t>
        </is>
      </c>
    </row>
    <row r="18">
      <c r="A18" s="53" t="inlineStr">
        <is>
          <t xml:space="preserve">Slaughterhouse</t>
        </is>
      </c>
      <c r="B18" s="53" t="inlineStr">
        <is>
          <t xml:space="preserve">Tissue / parts</t>
        </is>
      </c>
      <c r="C18" s="53" t="inlineStr">
        <is>
          <t xml:space="preserve"># Inspected</t>
        </is>
      </c>
      <c r="D18" s="53" t="inlineStr">
        <is>
          <t xml:space="preserve"># Pass</t>
        </is>
      </c>
      <c r="E18" s="53" t="inlineStr">
        <is>
          <t xml:space="preserve"># Fail</t>
        </is>
      </c>
      <c r="F18" s="53" t="inlineStr">
        <is>
          <t xml:space="preserve">First-Pass Yield</t>
        </is>
      </c>
      <c r="G18" s="53" t="inlineStr">
        <is>
          <t xml:space="preserve">Scrap %</t>
        </is>
      </c>
    </row>
    <row r="19">
      <c r="A19" s="54" t="inlineStr">
        <is>
          <t xml:space="preserve">Martins</t>
        </is>
      </c>
      <c r="B19" s="54" t="inlineStr">
        <is>
          <t xml:space="preserve">Pelvic 541 / 506</t>
        </is>
      </c>
      <c r="C19" s="55" t="n">
        <f aca="false">SUMIF('Slaughterhouse IQC'!$B$6:$B$70,"Martins",'Slaughterhouse IQC'!$I$6:$I$70)</f>
      </c>
      <c r="D19" s="55" t="n">
        <f aca="false">SUMIF('Slaughterhouse IQC'!$B$6:$B$70,"Martins",'Slaughterhouse IQC'!$J$6:$J$70)</f>
      </c>
      <c r="E19" s="55" t="n">
        <f aca="false">SUMIF('Slaughterhouse IQC'!$B$6:$B$70,"Martins",'Slaughterhouse IQC'!$K$6:$K$70)</f>
      </c>
      <c r="F19" s="56" t="n">
        <f aca="false">IFERROR(D19/C19,0)</f>
      </c>
      <c r="G19" s="56" t="n">
        <f aca="false">IFERROR(E19/C19,0)</f>
      </c>
    </row>
    <row r="20">
      <c r="A20" s="54" t="inlineStr">
        <is>
          <t xml:space="preserve">Parks Family Meats</t>
        </is>
      </c>
      <c r="B20" s="54" t="inlineStr">
        <is>
          <t xml:space="preserve">Pelvic 518 → 541</t>
        </is>
      </c>
      <c r="C20" s="55" t="n">
        <f aca="false">SUMIF('Slaughterhouse IQC'!$B$6:$B$70,"Parks Family Meats",'Slaughterhouse IQC'!$I$6:$I$70)</f>
      </c>
      <c r="D20" s="55" t="n">
        <f aca="false">SUMIF('Slaughterhouse IQC'!$B$6:$B$70,"Parks Family Meats",'Slaughterhouse IQC'!$J$6:$J$70)</f>
      </c>
      <c r="E20" s="55" t="n">
        <f aca="false">SUMIF('Slaughterhouse IQC'!$B$6:$B$70,"Parks Family Meats",'Slaughterhouse IQC'!$K$6:$K$70)</f>
      </c>
      <c r="F20" s="56" t="n">
        <f aca="false">IFERROR(D20/C20,0)</f>
      </c>
      <c r="G20" s="56" t="n">
        <f aca="false">IFERROR(E20/C20,0)</f>
      </c>
    </row>
    <row r="21">
      <c r="A21" s="54" t="inlineStr">
        <is>
          <t xml:space="preserve">Nahunta</t>
        </is>
      </c>
      <c r="B21" s="54" t="inlineStr">
        <is>
          <t xml:space="preserve">Thoracic 521 + pelvic 541</t>
        </is>
      </c>
      <c r="C21" s="55" t="n">
        <f aca="false">SUMIF('Slaughterhouse IQC'!$B$6:$B$70,"Nahunta",'Slaughterhouse IQC'!$I$6:$I$70)</f>
      </c>
      <c r="D21" s="55" t="n">
        <f aca="false">SUMIF('Slaughterhouse IQC'!$B$6:$B$70,"Nahunta",'Slaughterhouse IQC'!$J$6:$J$70)</f>
      </c>
      <c r="E21" s="55" t="n">
        <f aca="false">SUMIF('Slaughterhouse IQC'!$B$6:$B$70,"Nahunta",'Slaughterhouse IQC'!$K$6:$K$70)</f>
      </c>
      <c r="F21" s="56" t="n">
        <f aca="false">IFERROR(D21/C21,0)</f>
      </c>
      <c r="G21" s="56" t="n">
        <f aca="false">IFERROR(E21/C21,0)</f>
      </c>
    </row>
    <row r="22"/>
    <row r="23" ht="20" customHeight="1">
      <c r="A23" s="52" t="inlineStr">
        <is>
          <t xml:space="preserve">TISSUE / PART READ</t>
        </is>
      </c>
    </row>
    <row r="24" ht="16" customHeight="1">
      <c r="A24" s="58" t="inlineStr">
        <is>
          <t xml:space="preserve">666541 — Pelvic, intact · 93.8% FPY (Martins / Parks / Nahunta)</t>
        </is>
      </c>
    </row>
    <row r="25" ht="58" customHeight="1">
      <c r="A25" s="59" t="inlineStr">
        <is>
          <t xml:space="preserve">Performance-goal part. Steady 94–98% at Martins through August; Parks runs 666541 since 08/10 (95.7% in August). The Nahunta 8/12 line (13/1/12) was a PRE-RECEIPT SCREEN — inspected prior to receiving them, before the harvesting tech got the tissue; its 12 rejects are not incoming-QC fails and the line is not FPY-graded (excluded from defect profiles). Verified rejects: urethra/bladder &amp; membrane damage, short blocks.</t>
        </is>
      </c>
    </row>
    <row r="26" ht="16" customHeight="1">
      <c r="A26" s="58" t="inlineStr">
        <is>
          <t xml:space="preserve">666506 — Pelvic, non-intact · 96.0% FPY (Martins)</t>
        </is>
      </c>
    </row>
    <row r="27" ht="44" customHeight="1">
      <c r="A27" s="59" t="inlineStr">
        <is>
          <t xml:space="preserve">Tighter spec, best yield of the group. Clean since July (last fail 7/20).</t>
        </is>
      </c>
    </row>
    <row r="28" ht="16" customHeight="1">
      <c r="A28" s="58" t="inlineStr">
        <is>
          <t xml:space="preserve">666518 — Pelvic, intact SM · 84.4% FPY (Parks)</t>
        </is>
      </c>
    </row>
    <row r="29" ht="44" customHeight="1">
      <c r="A29" s="59" t="inlineStr">
        <is>
          <t xml:space="preserve">Batch-less Parks pelvic; retired at the 518 → 541 spec transition (last visit 07/30). Through 07/30, driven by short blocks and mesentery/ureter damage.</t>
        </is>
      </c>
    </row>
    <row r="30" ht="16" customHeight="1">
      <c r="A30" s="58" t="inlineStr">
        <is>
          <t xml:space="preserve">666521 — Thoracic · 27.6% QC FPY (Nahunta) — HARVESTING-SIDE ISSUE</t>
        </is>
      </c>
    </row>
    <row r="31" ht="58" customHeight="1">
      <c r="A31" s="59" t="inlineStr">
        <is>
          <t xml:space="preserve">Single-stage visits (7/29–8/19) ran 32% → 0% → 15% → 21%, on lung/heart lacerations. From 08/26 Nahunta runs two inspections — the harvest tech (Jordan) rejects at harvest (9 of 18, then 17 of 19, incl. 9 MISSING TRACHEA: tracheas harvested for another buyer), then our QC inspects what he passes (8/9, then 2/2). Log rows for those visits are the QC stage only, so the FPY above understates total harvest losses — the harvest-tech reject rate is the leading indicator.</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dimension ref="A1:H102"/>
  <sheetViews>
    <sheetView workbookViewId="0">
      <selection activeCell="A1" sqref="A1"/>
    </sheetView>
  </sheetViews>
  <sheetFormatPr defaultRowHeight="15"/>
  <cols>
    <col min="1" max="1" width="34" customWidth="1"/>
    <col min="2" max="7" width="10" customWidth="1"/>
    <col min="8" max="8" width="11" customWidth="1"/>
  </cols>
  <sheetData>
    <row r="1" ht="24" customHeight="1">
      <c r="A1" s="50" t="inlineStr">
        <is>
          <t xml:space="preserve">Monthly Breakdown — Inspections by Tissue × Slaughterhouse</t>
        </is>
      </c>
    </row>
    <row r="2" ht="58" customHeight="1">
      <c r="A2" s="51" t="inlineStr">
        <is>
          <t xml:space="preserve">Month-by-month view of every tissue-type / slaughterhouse / part combination: volumes, first-pass yield, and the issues found (scrap reasons normalized into named defect categories — no 'Other' bucket). Apr–Sep 2026. Volume rows are live formulas over the Inspection Log; defect counts are analyst-categorized from the scrap notes (see notes at bottom).</t>
        </is>
      </c>
    </row>
    <row r="3"/>
    <row r="4" ht="20" customHeight="1">
      <c r="A4" s="52" t="inlineStr">
        <is>
          <t xml:space="preserve">OVERVIEW — FIRST-PASS YIELD BY MONTH</t>
        </is>
      </c>
    </row>
    <row r="5">
      <c r="A5" s="53" t="inlineStr">
        <is>
          <t xml:space="preserve">Tissue @ SH · Part</t>
        </is>
      </c>
      <c r="B5" s="53" t="inlineStr">
        <is>
          <t xml:space="preserve">April</t>
        </is>
      </c>
      <c r="C5" s="53" t="inlineStr">
        <is>
          <t xml:space="preserve">May</t>
        </is>
      </c>
      <c r="D5" s="53" t="inlineStr">
        <is>
          <t xml:space="preserve">June</t>
        </is>
      </c>
      <c r="E5" s="53" t="inlineStr">
        <is>
          <t xml:space="preserve">July</t>
        </is>
      </c>
      <c r="F5" s="53" t="inlineStr">
        <is>
          <t xml:space="preserve">August</t>
        </is>
      </c>
      <c r="G5" s="53" t="inlineStr">
        <is>
          <t xml:space="preserve">September</t>
        </is>
      </c>
      <c r="H5" s="53" t="inlineStr">
        <is>
          <t xml:space="preserve">Total</t>
        </is>
      </c>
    </row>
    <row r="6">
      <c r="A6" s="54" t="inlineStr">
        <is>
          <t xml:space="preserve">Pelvic @ Martins · 666541</t>
        </is>
      </c>
      <c r="B6" s="56" t="n">
        <f aca="false">IF(SUMPRODUCT((LEFT('Slaughterhouse IQC'!$A$6:$A$70,7)="2026-04")*('Slaughterhouse IQC'!$B$6:$B$70="Martins")*('Slaughterhouse IQC'!$F$6:$F$70="666541")*'Slaughterhouse IQC'!$I$6:$I$70)=0,"",SUMPRODUCT((LEFT('Slaughterhouse IQC'!$A$6:$A$70,7)="2026-04")*('Slaughterhouse IQC'!$B$6:$B$70="Martins")*('Slaughterhouse IQC'!$F$6:$F$70="666541")*'Slaughterhouse IQC'!$J$6:$J$70)/SUMPRODUCT((LEFT('Slaughterhouse IQC'!$A$6:$A$70,7)="2026-04")*('Slaughterhouse IQC'!$B$6:$B$70="Martins")*('Slaughterhouse IQC'!$F$6:$F$70="666541")*'Slaughterhouse IQC'!$I$6:$I$70))</f>
      </c>
      <c r="C6" s="56" t="n">
        <f aca="false">IF(SUMPRODUCT((LEFT('Slaughterhouse IQC'!$A$6:$A$70,7)="2026-05")*('Slaughterhouse IQC'!$B$6:$B$70="Martins")*('Slaughterhouse IQC'!$F$6:$F$70="666541")*'Slaughterhouse IQC'!$I$6:$I$70)=0,"",SUMPRODUCT((LEFT('Slaughterhouse IQC'!$A$6:$A$70,7)="2026-05")*('Slaughterhouse IQC'!$B$6:$B$70="Martins")*('Slaughterhouse IQC'!$F$6:$F$70="666541")*'Slaughterhouse IQC'!$J$6:$J$70)/SUMPRODUCT((LEFT('Slaughterhouse IQC'!$A$6:$A$70,7)="2026-05")*('Slaughterhouse IQC'!$B$6:$B$70="Martins")*('Slaughterhouse IQC'!$F$6:$F$70="666541")*'Slaughterhouse IQC'!$I$6:$I$70))</f>
      </c>
      <c r="D6" s="56" t="n">
        <f aca="false">IF(SUMPRODUCT((LEFT('Slaughterhouse IQC'!$A$6:$A$70,7)="2026-06")*('Slaughterhouse IQC'!$B$6:$B$70="Martins")*('Slaughterhouse IQC'!$F$6:$F$70="666541")*'Slaughterhouse IQC'!$I$6:$I$70)=0,"",SUMPRODUCT((LEFT('Slaughterhouse IQC'!$A$6:$A$70,7)="2026-06")*('Slaughterhouse IQC'!$B$6:$B$70="Martins")*('Slaughterhouse IQC'!$F$6:$F$70="666541")*'Slaughterhouse IQC'!$J$6:$J$70)/SUMPRODUCT((LEFT('Slaughterhouse IQC'!$A$6:$A$70,7)="2026-06")*('Slaughterhouse IQC'!$B$6:$B$70="Martins")*('Slaughterhouse IQC'!$F$6:$F$70="666541")*'Slaughterhouse IQC'!$I$6:$I$70))</f>
      </c>
      <c r="E6" s="56" t="n">
        <f aca="false">IF(SUMPRODUCT((LEFT('Slaughterhouse IQC'!$A$6:$A$70,7)="2026-07")*('Slaughterhouse IQC'!$B$6:$B$70="Martins")*('Slaughterhouse IQC'!$F$6:$F$70="666541")*'Slaughterhouse IQC'!$I$6:$I$70)=0,"",SUMPRODUCT((LEFT('Slaughterhouse IQC'!$A$6:$A$70,7)="2026-07")*('Slaughterhouse IQC'!$B$6:$B$70="Martins")*('Slaughterhouse IQC'!$F$6:$F$70="666541")*'Slaughterhouse IQC'!$J$6:$J$70)/SUMPRODUCT((LEFT('Slaughterhouse IQC'!$A$6:$A$70,7)="2026-07")*('Slaughterhouse IQC'!$B$6:$B$70="Martins")*('Slaughterhouse IQC'!$F$6:$F$70="666541")*'Slaughterhouse IQC'!$I$6:$I$70))</f>
      </c>
      <c r="F6" s="56" t="n">
        <f aca="false">IF(SUMPRODUCT((LEFT('Slaughterhouse IQC'!$A$6:$A$70,7)="2026-08")*('Slaughterhouse IQC'!$B$6:$B$70="Martins")*('Slaughterhouse IQC'!$F$6:$F$70="666541")*'Slaughterhouse IQC'!$I$6:$I$70)=0,"",SUMPRODUCT((LEFT('Slaughterhouse IQC'!$A$6:$A$70,7)="2026-08")*('Slaughterhouse IQC'!$B$6:$B$70="Martins")*('Slaughterhouse IQC'!$F$6:$F$70="666541")*'Slaughterhouse IQC'!$J$6:$J$70)/SUMPRODUCT((LEFT('Slaughterhouse IQC'!$A$6:$A$70,7)="2026-08")*('Slaughterhouse IQC'!$B$6:$B$70="Martins")*('Slaughterhouse IQC'!$F$6:$F$70="666541")*'Slaughterhouse IQC'!$I$6:$I$70))</f>
      </c>
      <c r="G6" s="56" t="n">
        <f aca="false">IF(SUMPRODUCT((LEFT('Slaughterhouse IQC'!$A$6:$A$70,7)="2026-09")*('Slaughterhouse IQC'!$B$6:$B$70="Martins")*('Slaughterhouse IQC'!$F$6:$F$70="666541")*'Slaughterhouse IQC'!$I$6:$I$70)=0,"",SUMPRODUCT((LEFT('Slaughterhouse IQC'!$A$6:$A$70,7)="2026-09")*('Slaughterhouse IQC'!$B$6:$B$70="Martins")*('Slaughterhouse IQC'!$F$6:$F$70="666541")*'Slaughterhouse IQC'!$J$6:$J$70)/SUMPRODUCT((LEFT('Slaughterhouse IQC'!$A$6:$A$70,7)="2026-09")*('Slaughterhouse IQC'!$B$6:$B$70="Martins")*('Slaughterhouse IQC'!$F$6:$F$70="666541")*'Slaughterhouse IQC'!$I$6:$I$70))</f>
      </c>
      <c r="H6" s="56" t="n">
        <f aca="false">IF(SUMPRODUCT(('Slaughterhouse IQC'!$B$6:$B$70="Martins")*('Slaughterhouse IQC'!$F$6:$F$70="666541")*'Slaughterhouse IQC'!$I$6:$I$70)=0,"",SUMPRODUCT(('Slaughterhouse IQC'!$B$6:$B$70="Martins")*('Slaughterhouse IQC'!$F$6:$F$70="666541")*'Slaughterhouse IQC'!$J$6:$J$70)/SUMPRODUCT(('Slaughterhouse IQC'!$B$6:$B$70="Martins")*('Slaughterhouse IQC'!$F$6:$F$70="666541")*'Slaughterhouse IQC'!$I$6:$I$70))</f>
      </c>
    </row>
    <row r="7">
      <c r="A7" s="54" t="inlineStr">
        <is>
          <t xml:space="preserve">Pelvic @ Martins · 666506</t>
        </is>
      </c>
      <c r="B7" s="56" t="n">
        <f aca="false">IF(SUMPRODUCT((LEFT('Slaughterhouse IQC'!$A$6:$A$70,7)="2026-04")*('Slaughterhouse IQC'!$B$6:$B$70="Martins")*('Slaughterhouse IQC'!$F$6:$F$70="666506")*'Slaughterhouse IQC'!$I$6:$I$70)=0,"",SUMPRODUCT((LEFT('Slaughterhouse IQC'!$A$6:$A$70,7)="2026-04")*('Slaughterhouse IQC'!$B$6:$B$70="Martins")*('Slaughterhouse IQC'!$F$6:$F$70="666506")*'Slaughterhouse IQC'!$J$6:$J$70)/SUMPRODUCT((LEFT('Slaughterhouse IQC'!$A$6:$A$70,7)="2026-04")*('Slaughterhouse IQC'!$B$6:$B$70="Martins")*('Slaughterhouse IQC'!$F$6:$F$70="666506")*'Slaughterhouse IQC'!$I$6:$I$70))</f>
      </c>
      <c r="C7" s="56" t="n">
        <f aca="false">IF(SUMPRODUCT((LEFT('Slaughterhouse IQC'!$A$6:$A$70,7)="2026-05")*('Slaughterhouse IQC'!$B$6:$B$70="Martins")*('Slaughterhouse IQC'!$F$6:$F$70="666506")*'Slaughterhouse IQC'!$I$6:$I$70)=0,"",SUMPRODUCT((LEFT('Slaughterhouse IQC'!$A$6:$A$70,7)="2026-05")*('Slaughterhouse IQC'!$B$6:$B$70="Martins")*('Slaughterhouse IQC'!$F$6:$F$70="666506")*'Slaughterhouse IQC'!$J$6:$J$70)/SUMPRODUCT((LEFT('Slaughterhouse IQC'!$A$6:$A$70,7)="2026-05")*('Slaughterhouse IQC'!$B$6:$B$70="Martins")*('Slaughterhouse IQC'!$F$6:$F$70="666506")*'Slaughterhouse IQC'!$I$6:$I$70))</f>
      </c>
      <c r="D7" s="56" t="n">
        <f aca="false">IF(SUMPRODUCT((LEFT('Slaughterhouse IQC'!$A$6:$A$70,7)="2026-06")*('Slaughterhouse IQC'!$B$6:$B$70="Martins")*('Slaughterhouse IQC'!$F$6:$F$70="666506")*'Slaughterhouse IQC'!$I$6:$I$70)=0,"",SUMPRODUCT((LEFT('Slaughterhouse IQC'!$A$6:$A$70,7)="2026-06")*('Slaughterhouse IQC'!$B$6:$B$70="Martins")*('Slaughterhouse IQC'!$F$6:$F$70="666506")*'Slaughterhouse IQC'!$J$6:$J$70)/SUMPRODUCT((LEFT('Slaughterhouse IQC'!$A$6:$A$70,7)="2026-06")*('Slaughterhouse IQC'!$B$6:$B$70="Martins")*('Slaughterhouse IQC'!$F$6:$F$70="666506")*'Slaughterhouse IQC'!$I$6:$I$70))</f>
      </c>
      <c r="E7" s="56" t="n">
        <f aca="false">IF(SUMPRODUCT((LEFT('Slaughterhouse IQC'!$A$6:$A$70,7)="2026-07")*('Slaughterhouse IQC'!$B$6:$B$70="Martins")*('Slaughterhouse IQC'!$F$6:$F$70="666506")*'Slaughterhouse IQC'!$I$6:$I$70)=0,"",SUMPRODUCT((LEFT('Slaughterhouse IQC'!$A$6:$A$70,7)="2026-07")*('Slaughterhouse IQC'!$B$6:$B$70="Martins")*('Slaughterhouse IQC'!$F$6:$F$70="666506")*'Slaughterhouse IQC'!$J$6:$J$70)/SUMPRODUCT((LEFT('Slaughterhouse IQC'!$A$6:$A$70,7)="2026-07")*('Slaughterhouse IQC'!$B$6:$B$70="Martins")*('Slaughterhouse IQC'!$F$6:$F$70="666506")*'Slaughterhouse IQC'!$I$6:$I$70))</f>
      </c>
      <c r="F7" s="56" t="n">
        <f aca="false">IF(SUMPRODUCT((LEFT('Slaughterhouse IQC'!$A$6:$A$70,7)="2026-08")*('Slaughterhouse IQC'!$B$6:$B$70="Martins")*('Slaughterhouse IQC'!$F$6:$F$70="666506")*'Slaughterhouse IQC'!$I$6:$I$70)=0,"",SUMPRODUCT((LEFT('Slaughterhouse IQC'!$A$6:$A$70,7)="2026-08")*('Slaughterhouse IQC'!$B$6:$B$70="Martins")*('Slaughterhouse IQC'!$F$6:$F$70="666506")*'Slaughterhouse IQC'!$J$6:$J$70)/SUMPRODUCT((LEFT('Slaughterhouse IQC'!$A$6:$A$70,7)="2026-08")*('Slaughterhouse IQC'!$B$6:$B$70="Martins")*('Slaughterhouse IQC'!$F$6:$F$70="666506")*'Slaughterhouse IQC'!$I$6:$I$70))</f>
      </c>
      <c r="G7" s="56" t="n">
        <f aca="false">IF(SUMPRODUCT((LEFT('Slaughterhouse IQC'!$A$6:$A$70,7)="2026-09")*('Slaughterhouse IQC'!$B$6:$B$70="Martins")*('Slaughterhouse IQC'!$F$6:$F$70="666506")*'Slaughterhouse IQC'!$I$6:$I$70)=0,"",SUMPRODUCT((LEFT('Slaughterhouse IQC'!$A$6:$A$70,7)="2026-09")*('Slaughterhouse IQC'!$B$6:$B$70="Martins")*('Slaughterhouse IQC'!$F$6:$F$70="666506")*'Slaughterhouse IQC'!$J$6:$J$70)/SUMPRODUCT((LEFT('Slaughterhouse IQC'!$A$6:$A$70,7)="2026-09")*('Slaughterhouse IQC'!$B$6:$B$70="Martins")*('Slaughterhouse IQC'!$F$6:$F$70="666506")*'Slaughterhouse IQC'!$I$6:$I$70))</f>
      </c>
      <c r="H7" s="56" t="n">
        <f aca="false">IF(SUMPRODUCT(('Slaughterhouse IQC'!$B$6:$B$70="Martins")*('Slaughterhouse IQC'!$F$6:$F$70="666506")*'Slaughterhouse IQC'!$I$6:$I$70)=0,"",SUMPRODUCT(('Slaughterhouse IQC'!$B$6:$B$70="Martins")*('Slaughterhouse IQC'!$F$6:$F$70="666506")*'Slaughterhouse IQC'!$J$6:$J$70)/SUMPRODUCT(('Slaughterhouse IQC'!$B$6:$B$70="Martins")*('Slaughterhouse IQC'!$F$6:$F$70="666506")*'Slaughterhouse IQC'!$I$6:$I$70))</f>
      </c>
    </row>
    <row r="8">
      <c r="A8" s="54" t="inlineStr">
        <is>
          <t xml:space="preserve">Pelvic @ Parks · 666518</t>
        </is>
      </c>
      <c r="B8" s="5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IQC'!$J$6:$J$70)/SUMPRODUCT((LEFT('Slaughterhouse IQC'!$A$6:$A$70,7)="2026-04")*('Slaughterhouse IQC'!$B$6:$B$70="Parks Family Meats")*('Slaughterhouse IQC'!$F$6:$F$70="666518")*'Slaughterhouse IQC'!$I$6:$I$70))</f>
      </c>
      <c r="C8" s="5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IQC'!$J$6:$J$70)/SUMPRODUCT((LEFT('Slaughterhouse IQC'!$A$6:$A$70,7)="2026-05")*('Slaughterhouse IQC'!$B$6:$B$70="Parks Family Meats")*('Slaughterhouse IQC'!$F$6:$F$70="666518")*'Slaughterhouse IQC'!$I$6:$I$70))</f>
      </c>
      <c r="D8" s="5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IQC'!$J$6:$J$70)/SUMPRODUCT((LEFT('Slaughterhouse IQC'!$A$6:$A$70,7)="2026-06")*('Slaughterhouse IQC'!$B$6:$B$70="Parks Family Meats")*('Slaughterhouse IQC'!$F$6:$F$70="666518")*'Slaughterhouse IQC'!$I$6:$I$70))</f>
      </c>
      <c r="E8" s="5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IQC'!$J$6:$J$70)/SUMPRODUCT((LEFT('Slaughterhouse IQC'!$A$6:$A$70,7)="2026-07")*('Slaughterhouse IQC'!$B$6:$B$70="Parks Family Meats")*('Slaughterhouse IQC'!$F$6:$F$70="666518")*'Slaughterhouse IQC'!$I$6:$I$70))</f>
      </c>
      <c r="F8" s="5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IQC'!$J$6:$J$70)/SUMPRODUCT((LEFT('Slaughterhouse IQC'!$A$6:$A$70,7)="2026-08")*('Slaughterhouse IQC'!$B$6:$B$70="Parks Family Meats")*('Slaughterhouse IQC'!$F$6:$F$70="666518")*'Slaughterhouse IQC'!$I$6:$I$70))</f>
      </c>
      <c r="G8" s="5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IQC'!$J$6:$J$70)/SUMPRODUCT((LEFT('Slaughterhouse IQC'!$A$6:$A$70,7)="2026-09")*('Slaughterhouse IQC'!$B$6:$B$70="Parks Family Meats")*('Slaughterhouse IQC'!$F$6:$F$70="666518")*'Slaughterhouse IQC'!$I$6:$I$70))</f>
      </c>
      <c r="H8" s="56" t="n">
        <f aca="false">IF(SUMPRODUCT(('Slaughterhouse IQC'!$B$6:$B$70="Parks Family Meats")*('Slaughterhouse IQC'!$F$6:$F$70="666518")*'Slaughterhouse IQC'!$I$6:$I$70)=0,"",SUMPRODUCT(('Slaughterhouse IQC'!$B$6:$B$70="Parks Family Meats")*('Slaughterhouse IQC'!$F$6:$F$70="666518")*'Slaughterhouse IQC'!$J$6:$J$70)/SUMPRODUCT(('Slaughterhouse IQC'!$B$6:$B$70="Parks Family Meats")*('Slaughterhouse IQC'!$F$6:$F$70="666518")*'Slaughterhouse IQC'!$I$6:$I$70))</f>
      </c>
    </row>
    <row r="9">
      <c r="A9" s="54" t="inlineStr">
        <is>
          <t xml:space="preserve">Pelvic @ Parks · 666541</t>
        </is>
      </c>
      <c r="B9" s="5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IQC'!$J$6:$J$70)/SUMPRODUCT((LEFT('Slaughterhouse IQC'!$A$6:$A$70,7)="2026-04")*('Slaughterhouse IQC'!$B$6:$B$70="Parks Family Meats")*('Slaughterhouse IQC'!$F$6:$F$70="666541")*'Slaughterhouse IQC'!$I$6:$I$70))</f>
      </c>
      <c r="C9" s="5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IQC'!$J$6:$J$70)/SUMPRODUCT((LEFT('Slaughterhouse IQC'!$A$6:$A$70,7)="2026-05")*('Slaughterhouse IQC'!$B$6:$B$70="Parks Family Meats")*('Slaughterhouse IQC'!$F$6:$F$70="666541")*'Slaughterhouse IQC'!$I$6:$I$70))</f>
      </c>
      <c r="D9" s="5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IQC'!$J$6:$J$70)/SUMPRODUCT((LEFT('Slaughterhouse IQC'!$A$6:$A$70,7)="2026-06")*('Slaughterhouse IQC'!$B$6:$B$70="Parks Family Meats")*('Slaughterhouse IQC'!$F$6:$F$70="666541")*'Slaughterhouse IQC'!$I$6:$I$70))</f>
      </c>
      <c r="E9" s="5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IQC'!$J$6:$J$70)/SUMPRODUCT((LEFT('Slaughterhouse IQC'!$A$6:$A$70,7)="2026-07")*('Slaughterhouse IQC'!$B$6:$B$70="Parks Family Meats")*('Slaughterhouse IQC'!$F$6:$F$70="666541")*'Slaughterhouse IQC'!$I$6:$I$70))</f>
      </c>
      <c r="F9" s="5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IQC'!$J$6:$J$70)/SUMPRODUCT((LEFT('Slaughterhouse IQC'!$A$6:$A$70,7)="2026-08")*('Slaughterhouse IQC'!$B$6:$B$70="Parks Family Meats")*('Slaughterhouse IQC'!$F$6:$F$70="666541")*'Slaughterhouse IQC'!$I$6:$I$70))</f>
      </c>
      <c r="G9" s="5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IQC'!$J$6:$J$70)/SUMPRODUCT((LEFT('Slaughterhouse IQC'!$A$6:$A$70,7)="2026-09")*('Slaughterhouse IQC'!$B$6:$B$70="Parks Family Meats")*('Slaughterhouse IQC'!$F$6:$F$70="666541")*'Slaughterhouse IQC'!$I$6:$I$70))</f>
      </c>
      <c r="H9" s="56" t="n">
        <f aca="false">IF(SUMPRODUCT(('Slaughterhouse IQC'!$B$6:$B$70="Parks Family Meats")*('Slaughterhouse IQC'!$F$6:$F$70="666541")*'Slaughterhouse IQC'!$I$6:$I$70)=0,"",SUMPRODUCT(('Slaughterhouse IQC'!$B$6:$B$70="Parks Family Meats")*('Slaughterhouse IQC'!$F$6:$F$70="666541")*'Slaughterhouse IQC'!$J$6:$J$70)/SUMPRODUCT(('Slaughterhouse IQC'!$B$6:$B$70="Parks Family Meats")*('Slaughterhouse IQC'!$F$6:$F$70="666541")*'Slaughterhouse IQC'!$I$6:$I$70))</f>
      </c>
    </row>
    <row r="10">
      <c r="A10" s="54" t="inlineStr">
        <is>
          <t xml:space="preserve">Pelvic @ Nahunta · 666541</t>
        </is>
      </c>
      <c r="B10" s="56" t="n">
        <f aca="false">IF(SUMPRODUCT((LEFT('Slaughterhouse IQC'!$A$6:$A$70,7)="2026-04")*('Slaughterhouse IQC'!$B$6:$B$70="Nahunta")*('Slaughterhouse IQC'!$F$6:$F$70="666541")*'Slaughterhouse IQC'!$I$6:$I$70)=0,"",SUMPRODUCT((LEFT('Slaughterhouse IQC'!$A$6:$A$70,7)="2026-04")*('Slaughterhouse IQC'!$B$6:$B$70="Nahunta")*('Slaughterhouse IQC'!$F$6:$F$70="666541")*'Slaughterhouse IQC'!$J$6:$J$70)/SUMPRODUCT((LEFT('Slaughterhouse IQC'!$A$6:$A$70,7)="2026-04")*('Slaughterhouse IQC'!$B$6:$B$70="Nahunta")*('Slaughterhouse IQC'!$F$6:$F$70="666541")*'Slaughterhouse IQC'!$I$6:$I$70))</f>
      </c>
      <c r="C10" s="56" t="n">
        <f aca="false">IF(SUMPRODUCT((LEFT('Slaughterhouse IQC'!$A$6:$A$70,7)="2026-05")*('Slaughterhouse IQC'!$B$6:$B$70="Nahunta")*('Slaughterhouse IQC'!$F$6:$F$70="666541")*'Slaughterhouse IQC'!$I$6:$I$70)=0,"",SUMPRODUCT((LEFT('Slaughterhouse IQC'!$A$6:$A$70,7)="2026-05")*('Slaughterhouse IQC'!$B$6:$B$70="Nahunta")*('Slaughterhouse IQC'!$F$6:$F$70="666541")*'Slaughterhouse IQC'!$J$6:$J$70)/SUMPRODUCT((LEFT('Slaughterhouse IQC'!$A$6:$A$70,7)="2026-05")*('Slaughterhouse IQC'!$B$6:$B$70="Nahunta")*('Slaughterhouse IQC'!$F$6:$F$70="666541")*'Slaughterhouse IQC'!$I$6:$I$70))</f>
      </c>
      <c r="D10" s="56" t="n">
        <f aca="false">IF(SUMPRODUCT((LEFT('Slaughterhouse IQC'!$A$6:$A$70,7)="2026-06")*('Slaughterhouse IQC'!$B$6:$B$70="Nahunta")*('Slaughterhouse IQC'!$F$6:$F$70="666541")*'Slaughterhouse IQC'!$I$6:$I$70)=0,"",SUMPRODUCT((LEFT('Slaughterhouse IQC'!$A$6:$A$70,7)="2026-06")*('Slaughterhouse IQC'!$B$6:$B$70="Nahunta")*('Slaughterhouse IQC'!$F$6:$F$70="666541")*'Slaughterhouse IQC'!$J$6:$J$70)/SUMPRODUCT((LEFT('Slaughterhouse IQC'!$A$6:$A$70,7)="2026-06")*('Slaughterhouse IQC'!$B$6:$B$70="Nahunta")*('Slaughterhouse IQC'!$F$6:$F$70="666541")*'Slaughterhouse IQC'!$I$6:$I$70))</f>
      </c>
      <c r="E10" s="56" t="n">
        <f aca="false">IF(SUMPRODUCT((LEFT('Slaughterhouse IQC'!$A$6:$A$70,7)="2026-07")*('Slaughterhouse IQC'!$B$6:$B$70="Nahunta")*('Slaughterhouse IQC'!$F$6:$F$70="666541")*'Slaughterhouse IQC'!$I$6:$I$70)=0,"",SUMPRODUCT((LEFT('Slaughterhouse IQC'!$A$6:$A$70,7)="2026-07")*('Slaughterhouse IQC'!$B$6:$B$70="Nahunta")*('Slaughterhouse IQC'!$F$6:$F$70="666541")*'Slaughterhouse IQC'!$J$6:$J$70)/SUMPRODUCT((LEFT('Slaughterhouse IQC'!$A$6:$A$70,7)="2026-07")*('Slaughterhouse IQC'!$B$6:$B$70="Nahunta")*('Slaughterhouse IQC'!$F$6:$F$70="666541")*'Slaughterhouse IQC'!$I$6:$I$70))</f>
      </c>
      <c r="F10" s="56" t="n">
        <f aca="false">IF(SUMPRODUCT((LEFT('Slaughterhouse IQC'!$A$6:$A$70,7)="2026-08")*('Slaughterhouse IQC'!$B$6:$B$70="Nahunta")*('Slaughterhouse IQC'!$F$6:$F$70="666541")*'Slaughterhouse IQC'!$I$6:$I$70)=0,"",SUMPRODUCT((LEFT('Slaughterhouse IQC'!$A$6:$A$70,7)="2026-08")*('Slaughterhouse IQC'!$B$6:$B$70="Nahunta")*('Slaughterhouse IQC'!$F$6:$F$70="666541")*'Slaughterhouse IQC'!$J$6:$J$70)/SUMPRODUCT((LEFT('Slaughterhouse IQC'!$A$6:$A$70,7)="2026-08")*('Slaughterhouse IQC'!$B$6:$B$70="Nahunta")*('Slaughterhouse IQC'!$F$6:$F$70="666541")*'Slaughterhouse IQC'!$I$6:$I$70))</f>
      </c>
      <c r="G10" s="56" t="n">
        <f aca="false">IF(SUMPRODUCT((LEFT('Slaughterhouse IQC'!$A$6:$A$70,7)="2026-09")*('Slaughterhouse IQC'!$B$6:$B$70="Nahunta")*('Slaughterhouse IQC'!$F$6:$F$70="666541")*'Slaughterhouse IQC'!$I$6:$I$70)=0,"",SUMPRODUCT((LEFT('Slaughterhouse IQC'!$A$6:$A$70,7)="2026-09")*('Slaughterhouse IQC'!$B$6:$B$70="Nahunta")*('Slaughterhouse IQC'!$F$6:$F$70="666541")*'Slaughterhouse IQC'!$J$6:$J$70)/SUMPRODUCT((LEFT('Slaughterhouse IQC'!$A$6:$A$70,7)="2026-09")*('Slaughterhouse IQC'!$B$6:$B$70="Nahunta")*('Slaughterhouse IQC'!$F$6:$F$70="666541")*'Slaughterhouse IQC'!$I$6:$I$70))</f>
      </c>
      <c r="H10" s="56" t="n">
        <f aca="false">IF(SUMPRODUCT(('Slaughterhouse IQC'!$B$6:$B$70="Nahunta")*('Slaughterhouse IQC'!$F$6:$F$70="666541")*'Slaughterhouse IQC'!$I$6:$I$70)=0,"",SUMPRODUCT(('Slaughterhouse IQC'!$B$6:$B$70="Nahunta")*('Slaughterhouse IQC'!$F$6:$F$70="666541")*'Slaughterhouse IQC'!$J$6:$J$70)/SUMPRODUCT(('Slaughterhouse IQC'!$B$6:$B$70="Nahunta")*('Slaughterhouse IQC'!$F$6:$F$70="666541")*'Slaughterhouse IQC'!$I$6:$I$70))</f>
      </c>
    </row>
    <row r="11">
      <c r="A11" s="54" t="inlineStr">
        <is>
          <t xml:space="preserve">Thoracic @ Nahunta · 666521</t>
        </is>
      </c>
      <c r="B11" s="56" t="n">
        <f aca="false">IF(SUMPRODUCT((LEFT('Slaughterhouse IQC'!$A$6:$A$70,7)="2026-04")*('Slaughterhouse IQC'!$B$6:$B$70="Nahunta")*('Slaughterhouse IQC'!$F$6:$F$70="666521")*'Slaughterhouse IQC'!$I$6:$I$70)=0,"",SUMPRODUCT((LEFT('Slaughterhouse IQC'!$A$6:$A$70,7)="2026-04")*('Slaughterhouse IQC'!$B$6:$B$70="Nahunta")*('Slaughterhouse IQC'!$F$6:$F$70="666521")*'Slaughterhouse IQC'!$J$6:$J$70)/SUMPRODUCT((LEFT('Slaughterhouse IQC'!$A$6:$A$70,7)="2026-04")*('Slaughterhouse IQC'!$B$6:$B$70="Nahunta")*('Slaughterhouse IQC'!$F$6:$F$70="666521")*'Slaughterhouse IQC'!$I$6:$I$70))</f>
      </c>
      <c r="C11" s="56" t="n">
        <f aca="false">IF(SUMPRODUCT((LEFT('Slaughterhouse IQC'!$A$6:$A$70,7)="2026-05")*('Slaughterhouse IQC'!$B$6:$B$70="Nahunta")*('Slaughterhouse IQC'!$F$6:$F$70="666521")*'Slaughterhouse IQC'!$I$6:$I$70)=0,"",SUMPRODUCT((LEFT('Slaughterhouse IQC'!$A$6:$A$70,7)="2026-05")*('Slaughterhouse IQC'!$B$6:$B$70="Nahunta")*('Slaughterhouse IQC'!$F$6:$F$70="666521")*'Slaughterhouse IQC'!$J$6:$J$70)/SUMPRODUCT((LEFT('Slaughterhouse IQC'!$A$6:$A$70,7)="2026-05")*('Slaughterhouse IQC'!$B$6:$B$70="Nahunta")*('Slaughterhouse IQC'!$F$6:$F$70="666521")*'Slaughterhouse IQC'!$I$6:$I$70))</f>
      </c>
      <c r="D11" s="56" t="n">
        <f aca="false">IF(SUMPRODUCT((LEFT('Slaughterhouse IQC'!$A$6:$A$70,7)="2026-06")*('Slaughterhouse IQC'!$B$6:$B$70="Nahunta")*('Slaughterhouse IQC'!$F$6:$F$70="666521")*'Slaughterhouse IQC'!$I$6:$I$70)=0,"",SUMPRODUCT((LEFT('Slaughterhouse IQC'!$A$6:$A$70,7)="2026-06")*('Slaughterhouse IQC'!$B$6:$B$70="Nahunta")*('Slaughterhouse IQC'!$F$6:$F$70="666521")*'Slaughterhouse IQC'!$J$6:$J$70)/SUMPRODUCT((LEFT('Slaughterhouse IQC'!$A$6:$A$70,7)="2026-06")*('Slaughterhouse IQC'!$B$6:$B$70="Nahunta")*('Slaughterhouse IQC'!$F$6:$F$70="666521")*'Slaughterhouse IQC'!$I$6:$I$70))</f>
      </c>
      <c r="E11" s="56" t="n">
        <f aca="false">IF(SUMPRODUCT((LEFT('Slaughterhouse IQC'!$A$6:$A$70,7)="2026-07")*('Slaughterhouse IQC'!$B$6:$B$70="Nahunta")*('Slaughterhouse IQC'!$F$6:$F$70="666521")*'Slaughterhouse IQC'!$I$6:$I$70)=0,"",SUMPRODUCT((LEFT('Slaughterhouse IQC'!$A$6:$A$70,7)="2026-07")*('Slaughterhouse IQC'!$B$6:$B$70="Nahunta")*('Slaughterhouse IQC'!$F$6:$F$70="666521")*'Slaughterhouse IQC'!$J$6:$J$70)/SUMPRODUCT((LEFT('Slaughterhouse IQC'!$A$6:$A$70,7)="2026-07")*('Slaughterhouse IQC'!$B$6:$B$70="Nahunta")*('Slaughterhouse IQC'!$F$6:$F$70="666521")*'Slaughterhouse IQC'!$I$6:$I$70))</f>
      </c>
      <c r="F11" s="56" t="n">
        <f aca="false">IF(SUMPRODUCT((LEFT('Slaughterhouse IQC'!$A$6:$A$70,7)="2026-08")*('Slaughterhouse IQC'!$B$6:$B$70="Nahunta")*('Slaughterhouse IQC'!$F$6:$F$70="666521")*'Slaughterhouse IQC'!$I$6:$I$70)=0,"",SUMPRODUCT((LEFT('Slaughterhouse IQC'!$A$6:$A$70,7)="2026-08")*('Slaughterhouse IQC'!$B$6:$B$70="Nahunta")*('Slaughterhouse IQC'!$F$6:$F$70="666521")*'Slaughterhouse IQC'!$J$6:$J$70)/SUMPRODUCT((LEFT('Slaughterhouse IQC'!$A$6:$A$70,7)="2026-08")*('Slaughterhouse IQC'!$B$6:$B$70="Nahunta")*('Slaughterhouse IQC'!$F$6:$F$70="666521")*'Slaughterhouse IQC'!$I$6:$I$70))</f>
      </c>
      <c r="G11" s="56" t="n">
        <f aca="false">IF(SUMPRODUCT((LEFT('Slaughterhouse IQC'!$A$6:$A$70,7)="2026-09")*('Slaughterhouse IQC'!$B$6:$B$70="Nahunta")*('Slaughterhouse IQC'!$F$6:$F$70="666521")*'Slaughterhouse IQC'!$I$6:$I$70)=0,"",SUMPRODUCT((LEFT('Slaughterhouse IQC'!$A$6:$A$70,7)="2026-09")*('Slaughterhouse IQC'!$B$6:$B$70="Nahunta")*('Slaughterhouse IQC'!$F$6:$F$70="666521")*'Slaughterhouse IQC'!$J$6:$J$70)/SUMPRODUCT((LEFT('Slaughterhouse IQC'!$A$6:$A$70,7)="2026-09")*('Slaughterhouse IQC'!$B$6:$B$70="Nahunta")*('Slaughterhouse IQC'!$F$6:$F$70="666521")*'Slaughterhouse IQC'!$I$6:$I$70))</f>
      </c>
      <c r="H11" s="56" t="n">
        <f aca="false">IF(SUMPRODUCT(('Slaughterhouse IQC'!$B$6:$B$70="Nahunta")*('Slaughterhouse IQC'!$F$6:$F$70="666521")*'Slaughterhouse IQC'!$I$6:$I$70)=0,"",SUMPRODUCT(('Slaughterhouse IQC'!$B$6:$B$70="Nahunta")*('Slaughterhouse IQC'!$F$6:$F$70="666521")*'Slaughterhouse IQC'!$J$6:$J$70)/SUMPRODUCT(('Slaughterhouse IQC'!$B$6:$B$70="Nahunta")*('Slaughterhouse IQC'!$F$6:$F$70="666521")*'Slaughterhouse IQC'!$I$6:$I$70))</f>
      </c>
    </row>
    <row r="12"/>
    <row r="13" ht="20" customHeight="1">
      <c r="A13" s="52" t="inlineStr">
        <is>
          <t xml:space="preserve">OVERVIEW — ISSUES FOUND (# FAILED) BY MONTH</t>
        </is>
      </c>
    </row>
    <row r="14">
      <c r="A14" s="53" t="inlineStr">
        <is>
          <t xml:space="preserve">Tissue @ SH · Part</t>
        </is>
      </c>
      <c r="B14" s="53" t="inlineStr">
        <is>
          <t xml:space="preserve">April</t>
        </is>
      </c>
      <c r="C14" s="53" t="inlineStr">
        <is>
          <t xml:space="preserve">May</t>
        </is>
      </c>
      <c r="D14" s="53" t="inlineStr">
        <is>
          <t xml:space="preserve">June</t>
        </is>
      </c>
      <c r="E14" s="53" t="inlineStr">
        <is>
          <t xml:space="preserve">July</t>
        </is>
      </c>
      <c r="F14" s="53" t="inlineStr">
        <is>
          <t xml:space="preserve">August</t>
        </is>
      </c>
      <c r="G14" s="53" t="inlineStr">
        <is>
          <t xml:space="preserve">September</t>
        </is>
      </c>
      <c r="H14" s="53" t="inlineStr">
        <is>
          <t xml:space="preserve">Total</t>
        </is>
      </c>
    </row>
    <row r="15">
      <c r="A15" s="54" t="inlineStr">
        <is>
          <t xml:space="preserve">Pelvic @ Martins · 666541</t>
        </is>
      </c>
      <c r="B15" s="55" t="n">
        <f aca="false">IF(SUMPRODUCT((LEFT('Slaughterhouse IQC'!$A$6:$A$70,7)="2026-04")*('Slaughterhouse IQC'!$B$6:$B$70="Martins")*('Slaughterhouse IQC'!$F$6:$F$70="666541")*'Slaughterhouse IQC'!$I$6:$I$70)=0,"",SUMPRODUCT((LEFT('Slaughterhouse IQC'!$A$6:$A$70,7)="2026-04")*('Slaughterhouse IQC'!$B$6:$B$70="Martins")*('Slaughterhouse IQC'!$F$6:$F$70="666541")*'Slaughterhouse IQC'!$K$6:$K$70))</f>
      </c>
      <c r="C15" s="55" t="n">
        <f aca="false">IF(SUMPRODUCT((LEFT('Slaughterhouse IQC'!$A$6:$A$70,7)="2026-05")*('Slaughterhouse IQC'!$B$6:$B$70="Martins")*('Slaughterhouse IQC'!$F$6:$F$70="666541")*'Slaughterhouse IQC'!$I$6:$I$70)=0,"",SUMPRODUCT((LEFT('Slaughterhouse IQC'!$A$6:$A$70,7)="2026-05")*('Slaughterhouse IQC'!$B$6:$B$70="Martins")*('Slaughterhouse IQC'!$F$6:$F$70="666541")*'Slaughterhouse IQC'!$K$6:$K$70))</f>
      </c>
      <c r="D15" s="55" t="n">
        <f aca="false">IF(SUMPRODUCT((LEFT('Slaughterhouse IQC'!$A$6:$A$70,7)="2026-06")*('Slaughterhouse IQC'!$B$6:$B$70="Martins")*('Slaughterhouse IQC'!$F$6:$F$70="666541")*'Slaughterhouse IQC'!$I$6:$I$70)=0,"",SUMPRODUCT((LEFT('Slaughterhouse IQC'!$A$6:$A$70,7)="2026-06")*('Slaughterhouse IQC'!$B$6:$B$70="Martins")*('Slaughterhouse IQC'!$F$6:$F$70="666541")*'Slaughterhouse IQC'!$K$6:$K$70))</f>
      </c>
      <c r="E15" s="55" t="n">
        <f aca="false">IF(SUMPRODUCT((LEFT('Slaughterhouse IQC'!$A$6:$A$70,7)="2026-07")*('Slaughterhouse IQC'!$B$6:$B$70="Martins")*('Slaughterhouse IQC'!$F$6:$F$70="666541")*'Slaughterhouse IQC'!$I$6:$I$70)=0,"",SUMPRODUCT((LEFT('Slaughterhouse IQC'!$A$6:$A$70,7)="2026-07")*('Slaughterhouse IQC'!$B$6:$B$70="Martins")*('Slaughterhouse IQC'!$F$6:$F$70="666541")*'Slaughterhouse IQC'!$K$6:$K$70))</f>
      </c>
      <c r="F15" s="55" t="n">
        <f aca="false">IF(SUMPRODUCT((LEFT('Slaughterhouse IQC'!$A$6:$A$70,7)="2026-08")*('Slaughterhouse IQC'!$B$6:$B$70="Martins")*('Slaughterhouse IQC'!$F$6:$F$70="666541")*'Slaughterhouse IQC'!$I$6:$I$70)=0,"",SUMPRODUCT((LEFT('Slaughterhouse IQC'!$A$6:$A$70,7)="2026-08")*('Slaughterhouse IQC'!$B$6:$B$70="Martins")*('Slaughterhouse IQC'!$F$6:$F$70="666541")*'Slaughterhouse IQC'!$K$6:$K$70))</f>
      </c>
      <c r="G15" s="55" t="n">
        <f aca="false">IF(SUMPRODUCT((LEFT('Slaughterhouse IQC'!$A$6:$A$70,7)="2026-09")*('Slaughterhouse IQC'!$B$6:$B$70="Martins")*('Slaughterhouse IQC'!$F$6:$F$70="666541")*'Slaughterhouse IQC'!$I$6:$I$70)=0,"",SUMPRODUCT((LEFT('Slaughterhouse IQC'!$A$6:$A$70,7)="2026-09")*('Slaughterhouse IQC'!$B$6:$B$70="Martins")*('Slaughterhouse IQC'!$F$6:$F$70="666541")*'Slaughterhouse IQC'!$K$6:$K$70))</f>
      </c>
      <c r="H15" s="55" t="n">
        <f aca="false">SUMPRODUCT(('Slaughterhouse IQC'!$B$6:$B$70="Martins")*('Slaughterhouse IQC'!$F$6:$F$70="666541")*'Slaughterhouse IQC'!$K$6:$K$70)</f>
      </c>
    </row>
    <row r="16">
      <c r="A16" s="54" t="inlineStr">
        <is>
          <t xml:space="preserve">Pelvic @ Martins · 666506</t>
        </is>
      </c>
      <c r="B16" s="55" t="n">
        <f aca="false">IF(SUMPRODUCT((LEFT('Slaughterhouse IQC'!$A$6:$A$70,7)="2026-04")*('Slaughterhouse IQC'!$B$6:$B$70="Martins")*('Slaughterhouse IQC'!$F$6:$F$70="666506")*'Slaughterhouse IQC'!$I$6:$I$70)=0,"",SUMPRODUCT((LEFT('Slaughterhouse IQC'!$A$6:$A$70,7)="2026-04")*('Slaughterhouse IQC'!$B$6:$B$70="Martins")*('Slaughterhouse IQC'!$F$6:$F$70="666506")*'Slaughterhouse IQC'!$K$6:$K$70))</f>
      </c>
      <c r="C16" s="55" t="n">
        <f aca="false">IF(SUMPRODUCT((LEFT('Slaughterhouse IQC'!$A$6:$A$70,7)="2026-05")*('Slaughterhouse IQC'!$B$6:$B$70="Martins")*('Slaughterhouse IQC'!$F$6:$F$70="666506")*'Slaughterhouse IQC'!$I$6:$I$70)=0,"",SUMPRODUCT((LEFT('Slaughterhouse IQC'!$A$6:$A$70,7)="2026-05")*('Slaughterhouse IQC'!$B$6:$B$70="Martins")*('Slaughterhouse IQC'!$F$6:$F$70="666506")*'Slaughterhouse IQC'!$K$6:$K$70))</f>
      </c>
      <c r="D16" s="55" t="n">
        <f aca="false">IF(SUMPRODUCT((LEFT('Slaughterhouse IQC'!$A$6:$A$70,7)="2026-06")*('Slaughterhouse IQC'!$B$6:$B$70="Martins")*('Slaughterhouse IQC'!$F$6:$F$70="666506")*'Slaughterhouse IQC'!$I$6:$I$70)=0,"",SUMPRODUCT((LEFT('Slaughterhouse IQC'!$A$6:$A$70,7)="2026-06")*('Slaughterhouse IQC'!$B$6:$B$70="Martins")*('Slaughterhouse IQC'!$F$6:$F$70="666506")*'Slaughterhouse IQC'!$K$6:$K$70))</f>
      </c>
      <c r="E16" s="55" t="n">
        <f aca="false">IF(SUMPRODUCT((LEFT('Slaughterhouse IQC'!$A$6:$A$70,7)="2026-07")*('Slaughterhouse IQC'!$B$6:$B$70="Martins")*('Slaughterhouse IQC'!$F$6:$F$70="666506")*'Slaughterhouse IQC'!$I$6:$I$70)=0,"",SUMPRODUCT((LEFT('Slaughterhouse IQC'!$A$6:$A$70,7)="2026-07")*('Slaughterhouse IQC'!$B$6:$B$70="Martins")*('Slaughterhouse IQC'!$F$6:$F$70="666506")*'Slaughterhouse IQC'!$K$6:$K$70))</f>
      </c>
      <c r="F16" s="55" t="n">
        <f aca="false">IF(SUMPRODUCT((LEFT('Slaughterhouse IQC'!$A$6:$A$70,7)="2026-08")*('Slaughterhouse IQC'!$B$6:$B$70="Martins")*('Slaughterhouse IQC'!$F$6:$F$70="666506")*'Slaughterhouse IQC'!$I$6:$I$70)=0,"",SUMPRODUCT((LEFT('Slaughterhouse IQC'!$A$6:$A$70,7)="2026-08")*('Slaughterhouse IQC'!$B$6:$B$70="Martins")*('Slaughterhouse IQC'!$F$6:$F$70="666506")*'Slaughterhouse IQC'!$K$6:$K$70))</f>
      </c>
      <c r="G16" s="55" t="n">
        <f aca="false">IF(SUMPRODUCT((LEFT('Slaughterhouse IQC'!$A$6:$A$70,7)="2026-09")*('Slaughterhouse IQC'!$B$6:$B$70="Martins")*('Slaughterhouse IQC'!$F$6:$F$70="666506")*'Slaughterhouse IQC'!$I$6:$I$70)=0,"",SUMPRODUCT((LEFT('Slaughterhouse IQC'!$A$6:$A$70,7)="2026-09")*('Slaughterhouse IQC'!$B$6:$B$70="Martins")*('Slaughterhouse IQC'!$F$6:$F$70="666506")*'Slaughterhouse IQC'!$K$6:$K$70))</f>
      </c>
      <c r="H16" s="55" t="n">
        <f aca="false">SUMPRODUCT(('Slaughterhouse IQC'!$B$6:$B$70="Martins")*('Slaughterhouse IQC'!$F$6:$F$70="666506")*'Slaughterhouse IQC'!$K$6:$K$70)</f>
      </c>
    </row>
    <row r="17">
      <c r="A17" s="54" t="inlineStr">
        <is>
          <t xml:space="preserve">Pelvic @ Parks · 666518</t>
        </is>
      </c>
      <c r="B17"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17"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17"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17"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17"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17"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17" s="55" t="n">
        <f aca="false">SUMPRODUCT(('Slaughterhouse IQC'!$B$6:$B$70="Parks Family Meats")*('Slaughterhouse IQC'!$F$6:$F$70="666518")*'Slaughterhouse IQC'!$K$6:$K$70)</f>
      </c>
    </row>
    <row r="18">
      <c r="A18" s="54" t="inlineStr">
        <is>
          <t xml:space="preserve">Pelvic @ Parks · 666541</t>
        </is>
      </c>
      <c r="B18"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18"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18"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18"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18"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18"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18" s="55" t="n">
        <f aca="false">SUMPRODUCT(('Slaughterhouse IQC'!$B$6:$B$70="Parks Family Meats")*('Slaughterhouse IQC'!$F$6:$F$70="666541")*'Slaughterhouse IQC'!$K$6:$K$70)</f>
      </c>
    </row>
    <row r="19">
      <c r="A19" s="54" t="inlineStr">
        <is>
          <t xml:space="preserve">Pelvic @ Nahunta · 666541</t>
        </is>
      </c>
      <c r="B19" s="55" t="n">
        <f aca="false">IF(SUMPRODUCT((LEFT('Slaughterhouse IQC'!$A$6:$A$70,7)="2026-04")*('Slaughterhouse IQC'!$B$6:$B$70="Nahunta")*('Slaughterhouse IQC'!$F$6:$F$70="666541")*'Slaughterhouse IQC'!$I$6:$I$70)=0,"",SUMPRODUCT((LEFT('Slaughterhouse IQC'!$A$6:$A$70,7)="2026-04")*('Slaughterhouse IQC'!$B$6:$B$70="Nahunta")*('Slaughterhouse IQC'!$F$6:$F$70="666541")*'Slaughterhouse IQC'!$K$6:$K$70))</f>
      </c>
      <c r="C19" s="55" t="n">
        <f aca="false">IF(SUMPRODUCT((LEFT('Slaughterhouse IQC'!$A$6:$A$70,7)="2026-05")*('Slaughterhouse IQC'!$B$6:$B$70="Nahunta")*('Slaughterhouse IQC'!$F$6:$F$70="666541")*'Slaughterhouse IQC'!$I$6:$I$70)=0,"",SUMPRODUCT((LEFT('Slaughterhouse IQC'!$A$6:$A$70,7)="2026-05")*('Slaughterhouse IQC'!$B$6:$B$70="Nahunta")*('Slaughterhouse IQC'!$F$6:$F$70="666541")*'Slaughterhouse IQC'!$K$6:$K$70))</f>
      </c>
      <c r="D19" s="55" t="n">
        <f aca="false">IF(SUMPRODUCT((LEFT('Slaughterhouse IQC'!$A$6:$A$70,7)="2026-06")*('Slaughterhouse IQC'!$B$6:$B$70="Nahunta")*('Slaughterhouse IQC'!$F$6:$F$70="666541")*'Slaughterhouse IQC'!$I$6:$I$70)=0,"",SUMPRODUCT((LEFT('Slaughterhouse IQC'!$A$6:$A$70,7)="2026-06")*('Slaughterhouse IQC'!$B$6:$B$70="Nahunta")*('Slaughterhouse IQC'!$F$6:$F$70="666541")*'Slaughterhouse IQC'!$K$6:$K$70))</f>
      </c>
      <c r="E19" s="55" t="n">
        <f aca="false">IF(SUMPRODUCT((LEFT('Slaughterhouse IQC'!$A$6:$A$70,7)="2026-07")*('Slaughterhouse IQC'!$B$6:$B$70="Nahunta")*('Slaughterhouse IQC'!$F$6:$F$70="666541")*'Slaughterhouse IQC'!$I$6:$I$70)=0,"",SUMPRODUCT((LEFT('Slaughterhouse IQC'!$A$6:$A$70,7)="2026-07")*('Slaughterhouse IQC'!$B$6:$B$70="Nahunta")*('Slaughterhouse IQC'!$F$6:$F$70="666541")*'Slaughterhouse IQC'!$K$6:$K$70))</f>
      </c>
      <c r="F19" s="55" t="n">
        <f aca="false">IF(SUMPRODUCT((LEFT('Slaughterhouse IQC'!$A$6:$A$70,7)="2026-08")*('Slaughterhouse IQC'!$B$6:$B$70="Nahunta")*('Slaughterhouse IQC'!$F$6:$F$70="666541")*'Slaughterhouse IQC'!$I$6:$I$70)=0,"",SUMPRODUCT((LEFT('Slaughterhouse IQC'!$A$6:$A$70,7)="2026-08")*('Slaughterhouse IQC'!$B$6:$B$70="Nahunta")*('Slaughterhouse IQC'!$F$6:$F$70="666541")*'Slaughterhouse IQC'!$K$6:$K$70))</f>
      </c>
      <c r="G19" s="55" t="n">
        <f aca="false">IF(SUMPRODUCT((LEFT('Slaughterhouse IQC'!$A$6:$A$70,7)="2026-09")*('Slaughterhouse IQC'!$B$6:$B$70="Nahunta")*('Slaughterhouse IQC'!$F$6:$F$70="666541")*'Slaughterhouse IQC'!$I$6:$I$70)=0,"",SUMPRODUCT((LEFT('Slaughterhouse IQC'!$A$6:$A$70,7)="2026-09")*('Slaughterhouse IQC'!$B$6:$B$70="Nahunta")*('Slaughterhouse IQC'!$F$6:$F$70="666541")*'Slaughterhouse IQC'!$K$6:$K$70))</f>
      </c>
      <c r="H19" s="55" t="n">
        <f aca="false">SUMPRODUCT(('Slaughterhouse IQC'!$B$6:$B$70="Nahunta")*('Slaughterhouse IQC'!$F$6:$F$70="666541")*'Slaughterhouse IQC'!$K$6:$K$70)</f>
      </c>
    </row>
    <row r="20">
      <c r="A20" s="54" t="inlineStr">
        <is>
          <t xml:space="preserve">Thoracic @ Nahunta · 666521</t>
        </is>
      </c>
      <c r="B20" s="55" t="n">
        <f aca="false">IF(SUMPRODUCT((LEFT('Slaughterhouse IQC'!$A$6:$A$70,7)="2026-04")*('Slaughterhouse IQC'!$B$6:$B$70="Nahunta")*('Slaughterhouse IQC'!$F$6:$F$70="666521")*'Slaughterhouse IQC'!$I$6:$I$70)=0,"",SUMPRODUCT((LEFT('Slaughterhouse IQC'!$A$6:$A$70,7)="2026-04")*('Slaughterhouse IQC'!$B$6:$B$70="Nahunta")*('Slaughterhouse IQC'!$F$6:$F$70="666521")*'Slaughterhouse IQC'!$K$6:$K$70))</f>
      </c>
      <c r="C20" s="55" t="n">
        <f aca="false">IF(SUMPRODUCT((LEFT('Slaughterhouse IQC'!$A$6:$A$70,7)="2026-05")*('Slaughterhouse IQC'!$B$6:$B$70="Nahunta")*('Slaughterhouse IQC'!$F$6:$F$70="666521")*'Slaughterhouse IQC'!$I$6:$I$70)=0,"",SUMPRODUCT((LEFT('Slaughterhouse IQC'!$A$6:$A$70,7)="2026-05")*('Slaughterhouse IQC'!$B$6:$B$70="Nahunta")*('Slaughterhouse IQC'!$F$6:$F$70="666521")*'Slaughterhouse IQC'!$K$6:$K$70))</f>
      </c>
      <c r="D20" s="55" t="n">
        <f aca="false">IF(SUMPRODUCT((LEFT('Slaughterhouse IQC'!$A$6:$A$70,7)="2026-06")*('Slaughterhouse IQC'!$B$6:$B$70="Nahunta")*('Slaughterhouse IQC'!$F$6:$F$70="666521")*'Slaughterhouse IQC'!$I$6:$I$70)=0,"",SUMPRODUCT((LEFT('Slaughterhouse IQC'!$A$6:$A$70,7)="2026-06")*('Slaughterhouse IQC'!$B$6:$B$70="Nahunta")*('Slaughterhouse IQC'!$F$6:$F$70="666521")*'Slaughterhouse IQC'!$K$6:$K$70))</f>
      </c>
      <c r="E20" s="55" t="n">
        <f aca="false">IF(SUMPRODUCT((LEFT('Slaughterhouse IQC'!$A$6:$A$70,7)="2026-07")*('Slaughterhouse IQC'!$B$6:$B$70="Nahunta")*('Slaughterhouse IQC'!$F$6:$F$70="666521")*'Slaughterhouse IQC'!$I$6:$I$70)=0,"",SUMPRODUCT((LEFT('Slaughterhouse IQC'!$A$6:$A$70,7)="2026-07")*('Slaughterhouse IQC'!$B$6:$B$70="Nahunta")*('Slaughterhouse IQC'!$F$6:$F$70="666521")*'Slaughterhouse IQC'!$K$6:$K$70))</f>
      </c>
      <c r="F20" s="55" t="n">
        <f aca="false">IF(SUMPRODUCT((LEFT('Slaughterhouse IQC'!$A$6:$A$70,7)="2026-08")*('Slaughterhouse IQC'!$B$6:$B$70="Nahunta")*('Slaughterhouse IQC'!$F$6:$F$70="666521")*'Slaughterhouse IQC'!$I$6:$I$70)=0,"",SUMPRODUCT((LEFT('Slaughterhouse IQC'!$A$6:$A$70,7)="2026-08")*('Slaughterhouse IQC'!$B$6:$B$70="Nahunta")*('Slaughterhouse IQC'!$F$6:$F$70="666521")*'Slaughterhouse IQC'!$K$6:$K$70))</f>
      </c>
      <c r="G20" s="55" t="n">
        <f aca="false">IF(SUMPRODUCT((LEFT('Slaughterhouse IQC'!$A$6:$A$70,7)="2026-09")*('Slaughterhouse IQC'!$B$6:$B$70="Nahunta")*('Slaughterhouse IQC'!$F$6:$F$70="666521")*'Slaughterhouse IQC'!$I$6:$I$70)=0,"",SUMPRODUCT((LEFT('Slaughterhouse IQC'!$A$6:$A$70,7)="2026-09")*('Slaughterhouse IQC'!$B$6:$B$70="Nahunta")*('Slaughterhouse IQC'!$F$6:$F$70="666521")*'Slaughterhouse IQC'!$K$6:$K$70))</f>
      </c>
      <c r="H20" s="55" t="n">
        <f aca="false">SUMPRODUCT(('Slaughterhouse IQC'!$B$6:$B$70="Nahunta")*('Slaughterhouse IQC'!$F$6:$F$70="666521")*'Slaughterhouse IQC'!$K$6:$K$70)</f>
      </c>
    </row>
    <row r="21"/>
    <row r="22" ht="20" customHeight="1">
      <c r="A22" s="52" t="inlineStr">
        <is>
          <t xml:space="preserve">PELVIC @ MARTINS — 666541 (intact)</t>
        </is>
      </c>
    </row>
    <row r="23">
      <c r="A23" s="53" t="inlineStr">
        <is>
          <t xml:space="preserve">Metric</t>
        </is>
      </c>
      <c r="B23" s="53" t="inlineStr">
        <is>
          <t xml:space="preserve">April</t>
        </is>
      </c>
      <c r="C23" s="53" t="inlineStr">
        <is>
          <t xml:space="preserve">May</t>
        </is>
      </c>
      <c r="D23" s="53" t="inlineStr">
        <is>
          <t xml:space="preserve">June</t>
        </is>
      </c>
      <c r="E23" s="53" t="inlineStr">
        <is>
          <t xml:space="preserve">July</t>
        </is>
      </c>
      <c r="F23" s="53" t="inlineStr">
        <is>
          <t xml:space="preserve">August</t>
        </is>
      </c>
      <c r="G23" s="53" t="inlineStr">
        <is>
          <t xml:space="preserve">September</t>
        </is>
      </c>
      <c r="H23" s="53" t="inlineStr">
        <is>
          <t xml:space="preserve">Total</t>
        </is>
      </c>
    </row>
    <row r="24">
      <c r="A24" s="54" t="inlineStr">
        <is>
          <t xml:space="preserve"># Inspected</t>
        </is>
      </c>
      <c r="B24" s="55" t="n">
        <f aca="false">IF(SUMPRODUCT((LEFT('Slaughterhouse IQC'!$A$6:$A$70,7)="2026-04")*('Slaughterhouse IQC'!$B$6:$B$70="Martins")*('Slaughterhouse IQC'!$F$6:$F$70="666541")*'Slaughterhouse IQC'!$I$6:$I$70)=0,"",SUMPRODUCT((LEFT('Slaughterhouse IQC'!$A$6:$A$70,7)="2026-04")*('Slaughterhouse IQC'!$B$6:$B$70="Martins")*('Slaughterhouse IQC'!$F$6:$F$70="666541")*'Slaughterhouse IQC'!$I$6:$I$70))</f>
      </c>
      <c r="C24" s="55" t="n">
        <f aca="false">IF(SUMPRODUCT((LEFT('Slaughterhouse IQC'!$A$6:$A$70,7)="2026-05")*('Slaughterhouse IQC'!$B$6:$B$70="Martins")*('Slaughterhouse IQC'!$F$6:$F$70="666541")*'Slaughterhouse IQC'!$I$6:$I$70)=0,"",SUMPRODUCT((LEFT('Slaughterhouse IQC'!$A$6:$A$70,7)="2026-05")*('Slaughterhouse IQC'!$B$6:$B$70="Martins")*('Slaughterhouse IQC'!$F$6:$F$70="666541")*'Slaughterhouse IQC'!$I$6:$I$70))</f>
      </c>
      <c r="D24" s="55" t="n">
        <f aca="false">IF(SUMPRODUCT((LEFT('Slaughterhouse IQC'!$A$6:$A$70,7)="2026-06")*('Slaughterhouse IQC'!$B$6:$B$70="Martins")*('Slaughterhouse IQC'!$F$6:$F$70="666541")*'Slaughterhouse IQC'!$I$6:$I$70)=0,"",SUMPRODUCT((LEFT('Slaughterhouse IQC'!$A$6:$A$70,7)="2026-06")*('Slaughterhouse IQC'!$B$6:$B$70="Martins")*('Slaughterhouse IQC'!$F$6:$F$70="666541")*'Slaughterhouse IQC'!$I$6:$I$70))</f>
      </c>
      <c r="E24" s="55" t="n">
        <f aca="false">IF(SUMPRODUCT((LEFT('Slaughterhouse IQC'!$A$6:$A$70,7)="2026-07")*('Slaughterhouse IQC'!$B$6:$B$70="Martins")*('Slaughterhouse IQC'!$F$6:$F$70="666541")*'Slaughterhouse IQC'!$I$6:$I$70)=0,"",SUMPRODUCT((LEFT('Slaughterhouse IQC'!$A$6:$A$70,7)="2026-07")*('Slaughterhouse IQC'!$B$6:$B$70="Martins")*('Slaughterhouse IQC'!$F$6:$F$70="666541")*'Slaughterhouse IQC'!$I$6:$I$70))</f>
      </c>
      <c r="F24" s="55" t="n">
        <f aca="false">IF(SUMPRODUCT((LEFT('Slaughterhouse IQC'!$A$6:$A$70,7)="2026-08")*('Slaughterhouse IQC'!$B$6:$B$70="Martins")*('Slaughterhouse IQC'!$F$6:$F$70="666541")*'Slaughterhouse IQC'!$I$6:$I$70)=0,"",SUMPRODUCT((LEFT('Slaughterhouse IQC'!$A$6:$A$70,7)="2026-08")*('Slaughterhouse IQC'!$B$6:$B$70="Martins")*('Slaughterhouse IQC'!$F$6:$F$70="666541")*'Slaughterhouse IQC'!$I$6:$I$70))</f>
      </c>
      <c r="G24" s="55" t="n">
        <f aca="false">IF(SUMPRODUCT((LEFT('Slaughterhouse IQC'!$A$6:$A$70,7)="2026-09")*('Slaughterhouse IQC'!$B$6:$B$70="Martins")*('Slaughterhouse IQC'!$F$6:$F$70="666541")*'Slaughterhouse IQC'!$I$6:$I$70)=0,"",SUMPRODUCT((LEFT('Slaughterhouse IQC'!$A$6:$A$70,7)="2026-09")*('Slaughterhouse IQC'!$B$6:$B$70="Martins")*('Slaughterhouse IQC'!$F$6:$F$70="666541")*'Slaughterhouse IQC'!$I$6:$I$70))</f>
      </c>
      <c r="H24" s="55" t="n">
        <f aca="false">SUM(B24:G24)</f>
      </c>
    </row>
    <row r="25">
      <c r="A25" s="54" t="inlineStr">
        <is>
          <t xml:space="preserve"># Pass</t>
        </is>
      </c>
      <c r="B25" s="55" t="n">
        <f aca="false">IF(SUMPRODUCT((LEFT('Slaughterhouse IQC'!$A$6:$A$70,7)="2026-04")*('Slaughterhouse IQC'!$B$6:$B$70="Martins")*('Slaughterhouse IQC'!$F$6:$F$70="666541")*'Slaughterhouse IQC'!$I$6:$I$70)=0,"",SUMPRODUCT((LEFT('Slaughterhouse IQC'!$A$6:$A$70,7)="2026-04")*('Slaughterhouse IQC'!$B$6:$B$70="Martins")*('Slaughterhouse IQC'!$F$6:$F$70="666541")*'Slaughterhouse IQC'!$J$6:$J$70))</f>
      </c>
      <c r="C25" s="55" t="n">
        <f aca="false">IF(SUMPRODUCT((LEFT('Slaughterhouse IQC'!$A$6:$A$70,7)="2026-05")*('Slaughterhouse IQC'!$B$6:$B$70="Martins")*('Slaughterhouse IQC'!$F$6:$F$70="666541")*'Slaughterhouse IQC'!$I$6:$I$70)=0,"",SUMPRODUCT((LEFT('Slaughterhouse IQC'!$A$6:$A$70,7)="2026-05")*('Slaughterhouse IQC'!$B$6:$B$70="Martins")*('Slaughterhouse IQC'!$F$6:$F$70="666541")*'Slaughterhouse IQC'!$J$6:$J$70))</f>
      </c>
      <c r="D25" s="55" t="n">
        <f aca="false">IF(SUMPRODUCT((LEFT('Slaughterhouse IQC'!$A$6:$A$70,7)="2026-06")*('Slaughterhouse IQC'!$B$6:$B$70="Martins")*('Slaughterhouse IQC'!$F$6:$F$70="666541")*'Slaughterhouse IQC'!$I$6:$I$70)=0,"",SUMPRODUCT((LEFT('Slaughterhouse IQC'!$A$6:$A$70,7)="2026-06")*('Slaughterhouse IQC'!$B$6:$B$70="Martins")*('Slaughterhouse IQC'!$F$6:$F$70="666541")*'Slaughterhouse IQC'!$J$6:$J$70))</f>
      </c>
      <c r="E25" s="55" t="n">
        <f aca="false">IF(SUMPRODUCT((LEFT('Slaughterhouse IQC'!$A$6:$A$70,7)="2026-07")*('Slaughterhouse IQC'!$B$6:$B$70="Martins")*('Slaughterhouse IQC'!$F$6:$F$70="666541")*'Slaughterhouse IQC'!$I$6:$I$70)=0,"",SUMPRODUCT((LEFT('Slaughterhouse IQC'!$A$6:$A$70,7)="2026-07")*('Slaughterhouse IQC'!$B$6:$B$70="Martins")*('Slaughterhouse IQC'!$F$6:$F$70="666541")*'Slaughterhouse IQC'!$J$6:$J$70))</f>
      </c>
      <c r="F25" s="55" t="n">
        <f aca="false">IF(SUMPRODUCT((LEFT('Slaughterhouse IQC'!$A$6:$A$70,7)="2026-08")*('Slaughterhouse IQC'!$B$6:$B$70="Martins")*('Slaughterhouse IQC'!$F$6:$F$70="666541")*'Slaughterhouse IQC'!$I$6:$I$70)=0,"",SUMPRODUCT((LEFT('Slaughterhouse IQC'!$A$6:$A$70,7)="2026-08")*('Slaughterhouse IQC'!$B$6:$B$70="Martins")*('Slaughterhouse IQC'!$F$6:$F$70="666541")*'Slaughterhouse IQC'!$J$6:$J$70))</f>
      </c>
      <c r="G25" s="55" t="n">
        <f aca="false">IF(SUMPRODUCT((LEFT('Slaughterhouse IQC'!$A$6:$A$70,7)="2026-09")*('Slaughterhouse IQC'!$B$6:$B$70="Martins")*('Slaughterhouse IQC'!$F$6:$F$70="666541")*'Slaughterhouse IQC'!$I$6:$I$70)=0,"",SUMPRODUCT((LEFT('Slaughterhouse IQC'!$A$6:$A$70,7)="2026-09")*('Slaughterhouse IQC'!$B$6:$B$70="Martins")*('Slaughterhouse IQC'!$F$6:$F$70="666541")*'Slaughterhouse IQC'!$J$6:$J$70))</f>
      </c>
      <c r="H25" s="55" t="n">
        <f aca="false">SUM(B25:G25)</f>
      </c>
    </row>
    <row r="26">
      <c r="A26" s="54" t="inlineStr">
        <is>
          <t xml:space="preserve"># Fail</t>
        </is>
      </c>
      <c r="B26" s="55" t="n">
        <f aca="false">IF(SUMPRODUCT((LEFT('Slaughterhouse IQC'!$A$6:$A$70,7)="2026-04")*('Slaughterhouse IQC'!$B$6:$B$70="Martins")*('Slaughterhouse IQC'!$F$6:$F$70="666541")*'Slaughterhouse IQC'!$I$6:$I$70)=0,"",SUMPRODUCT((LEFT('Slaughterhouse IQC'!$A$6:$A$70,7)="2026-04")*('Slaughterhouse IQC'!$B$6:$B$70="Martins")*('Slaughterhouse IQC'!$F$6:$F$70="666541")*'Slaughterhouse IQC'!$K$6:$K$70))</f>
      </c>
      <c r="C26" s="55" t="n">
        <f aca="false">IF(SUMPRODUCT((LEFT('Slaughterhouse IQC'!$A$6:$A$70,7)="2026-05")*('Slaughterhouse IQC'!$B$6:$B$70="Martins")*('Slaughterhouse IQC'!$F$6:$F$70="666541")*'Slaughterhouse IQC'!$I$6:$I$70)=0,"",SUMPRODUCT((LEFT('Slaughterhouse IQC'!$A$6:$A$70,7)="2026-05")*('Slaughterhouse IQC'!$B$6:$B$70="Martins")*('Slaughterhouse IQC'!$F$6:$F$70="666541")*'Slaughterhouse IQC'!$K$6:$K$70))</f>
      </c>
      <c r="D26" s="55" t="n">
        <f aca="false">IF(SUMPRODUCT((LEFT('Slaughterhouse IQC'!$A$6:$A$70,7)="2026-06")*('Slaughterhouse IQC'!$B$6:$B$70="Martins")*('Slaughterhouse IQC'!$F$6:$F$70="666541")*'Slaughterhouse IQC'!$I$6:$I$70)=0,"",SUMPRODUCT((LEFT('Slaughterhouse IQC'!$A$6:$A$70,7)="2026-06")*('Slaughterhouse IQC'!$B$6:$B$70="Martins")*('Slaughterhouse IQC'!$F$6:$F$70="666541")*'Slaughterhouse IQC'!$K$6:$K$70))</f>
      </c>
      <c r="E26" s="55" t="n">
        <f aca="false">IF(SUMPRODUCT((LEFT('Slaughterhouse IQC'!$A$6:$A$70,7)="2026-07")*('Slaughterhouse IQC'!$B$6:$B$70="Martins")*('Slaughterhouse IQC'!$F$6:$F$70="666541")*'Slaughterhouse IQC'!$I$6:$I$70)=0,"",SUMPRODUCT((LEFT('Slaughterhouse IQC'!$A$6:$A$70,7)="2026-07")*('Slaughterhouse IQC'!$B$6:$B$70="Martins")*('Slaughterhouse IQC'!$F$6:$F$70="666541")*'Slaughterhouse IQC'!$K$6:$K$70))</f>
      </c>
      <c r="F26" s="55" t="n">
        <f aca="false">IF(SUMPRODUCT((LEFT('Slaughterhouse IQC'!$A$6:$A$70,7)="2026-08")*('Slaughterhouse IQC'!$B$6:$B$70="Martins")*('Slaughterhouse IQC'!$F$6:$F$70="666541")*'Slaughterhouse IQC'!$I$6:$I$70)=0,"",SUMPRODUCT((LEFT('Slaughterhouse IQC'!$A$6:$A$70,7)="2026-08")*('Slaughterhouse IQC'!$B$6:$B$70="Martins")*('Slaughterhouse IQC'!$F$6:$F$70="666541")*'Slaughterhouse IQC'!$K$6:$K$70))</f>
      </c>
      <c r="G26" s="55" t="n">
        <f aca="false">IF(SUMPRODUCT((LEFT('Slaughterhouse IQC'!$A$6:$A$70,7)="2026-09")*('Slaughterhouse IQC'!$B$6:$B$70="Martins")*('Slaughterhouse IQC'!$F$6:$F$70="666541")*'Slaughterhouse IQC'!$I$6:$I$70)=0,"",SUMPRODUCT((LEFT('Slaughterhouse IQC'!$A$6:$A$70,7)="2026-09")*('Slaughterhouse IQC'!$B$6:$B$70="Martins")*('Slaughterhouse IQC'!$F$6:$F$70="666541")*'Slaughterhouse IQC'!$K$6:$K$70))</f>
      </c>
      <c r="H26" s="55" t="n">
        <f aca="false">SUM(B26:G26)</f>
      </c>
    </row>
    <row r="27">
      <c r="A27" s="58" t="inlineStr">
        <is>
          <t xml:space="preserve">First-Pass Yield</t>
        </is>
      </c>
      <c r="B27" s="56" t="n">
        <f aca="false">IF(B24="","",IF(B24=0,"",B25/B24))</f>
      </c>
      <c r="C27" s="56" t="n">
        <f aca="false">IF(C24="","",IF(C24=0,"",C25/C24))</f>
      </c>
      <c r="D27" s="56" t="n">
        <f aca="false">IF(D24="","",IF(D24=0,"",D25/D24))</f>
      </c>
      <c r="E27" s="56" t="n">
        <f aca="false">IF(E24="","",IF(E24=0,"",E25/E24))</f>
      </c>
      <c r="F27" s="56" t="n">
        <f aca="false">IF(F24="","",IF(F24=0,"",F25/F24))</f>
      </c>
      <c r="G27" s="56" t="n">
        <f aca="false">IF(G24="","",IF(G24=0,"",G25/G24))</f>
      </c>
      <c r="H27" s="56" t="n">
        <f aca="false">IF(H24=0,"",H25/H24)</f>
      </c>
    </row>
    <row r="28" ht="15" customHeight="1">
      <c r="A28" s="58" t="inlineStr">
        <is>
          <t xml:space="preserve">Issues found (defect category counts)</t>
        </is>
      </c>
    </row>
    <row r="29">
      <c r="A29" s="57" t="inlineStr">
        <is>
          <t xml:space="preserve">   Urethra / bladder damage</t>
        </is>
      </c>
      <c r="B29" s="55" t="n">
        <v>2</v>
      </c>
      <c r="C29" s="55" t="n">
        <v>9</v>
      </c>
      <c r="D29" s="55" t="n">
        <v>4</v>
      </c>
      <c r="E29" s="55" t="n">
        <v>3</v>
      </c>
      <c r="F29" s="55" t="n">
        <v>3</v>
      </c>
      <c r="H29" s="55" t="n">
        <v>21</v>
      </c>
    </row>
    <row r="30">
      <c r="A30" s="57" t="inlineStr">
        <is>
          <t xml:space="preserve">   Membrane damage</t>
        </is>
      </c>
      <c r="C30" s="55" t="n">
        <v>2</v>
      </c>
      <c r="D30" s="55" t="n">
        <v>3</v>
      </c>
      <c r="E30" s="55" t="n">
        <v>2</v>
      </c>
      <c r="F30" s="55" t="n">
        <v>3</v>
      </c>
      <c r="H30" s="55" t="n">
        <v>10</v>
      </c>
    </row>
    <row r="31">
      <c r="A31" s="57" t="inlineStr">
        <is>
          <t xml:space="preserve">   Bowel damage / separation</t>
        </is>
      </c>
      <c r="B31" s="55" t="n">
        <v>2</v>
      </c>
      <c r="C31" s="55" t="n">
        <v>1</v>
      </c>
      <c r="D31" s="55" t="n">
        <v>1</v>
      </c>
      <c r="F31" s="55" t="n">
        <v>2</v>
      </c>
      <c r="H31" s="55" t="n">
        <v>6</v>
      </c>
    </row>
    <row r="32">
      <c r="A32" s="57" t="inlineStr">
        <is>
          <t xml:space="preserve">   Short block / mesentery length</t>
        </is>
      </c>
      <c r="C32" s="55" t="n">
        <v>1</v>
      </c>
      <c r="H32" s="55" t="n">
        <v>1</v>
      </c>
    </row>
    <row r="33">
      <c r="A33" s="57" t="inlineStr">
        <is>
          <t xml:space="preserve">   Blood clots</t>
        </is>
      </c>
      <c r="B33" s="55" t="n">
        <v>2</v>
      </c>
      <c r="H33" s="55" t="n">
        <v>2</v>
      </c>
    </row>
    <row r="34">
      <c r="A34" s="57" t="inlineStr">
        <is>
          <t xml:space="preserve">   Undocumented / not itemized</t>
        </is>
      </c>
      <c r="E34" s="55" t="n">
        <v>1</v>
      </c>
      <c r="H34" s="55" t="n">
        <v>1</v>
      </c>
    </row>
    <row r="35">
      <c r="A35" s="58" t="inlineStr">
        <is>
          <t xml:space="preserve">   Total issues</t>
        </is>
      </c>
      <c r="B35" s="55" t="n">
        <f aca="false">IF(SUM(B29:B34)=0,"",SUM(B29:B34))</f>
      </c>
      <c r="C35" s="55" t="n">
        <f aca="false">IF(SUM(C29:C34)=0,"",SUM(C29:C34))</f>
      </c>
      <c r="D35" s="55" t="n">
        <f aca="false">IF(SUM(D29:D34)=0,"",SUM(D29:D34))</f>
      </c>
      <c r="E35" s="55" t="n">
        <f aca="false">IF(SUM(E29:E34)=0,"",SUM(E29:E34))</f>
      </c>
      <c r="F35" s="55" t="n">
        <f aca="false">IF(SUM(F29:F34)=0,"",SUM(F29:F34))</f>
      </c>
      <c r="G35" s="55" t="n">
        <f aca="false">IF(SUM(G29:G34)=0,"",SUM(G29:G34))</f>
      </c>
      <c r="H35" s="55" t="n">
        <f aca="false">SUM(H29:H34)</f>
      </c>
    </row>
    <row r="36"/>
    <row r="37" ht="20" customHeight="1">
      <c r="A37" s="52" t="inlineStr">
        <is>
          <t xml:space="preserve">PELVIC @ MARTINS — 666506 (non-intact)</t>
        </is>
      </c>
    </row>
    <row r="38">
      <c r="A38" s="53" t="inlineStr">
        <is>
          <t xml:space="preserve">Metric</t>
        </is>
      </c>
      <c r="B38" s="53" t="inlineStr">
        <is>
          <t xml:space="preserve">April</t>
        </is>
      </c>
      <c r="C38" s="53" t="inlineStr">
        <is>
          <t xml:space="preserve">May</t>
        </is>
      </c>
      <c r="D38" s="53" t="inlineStr">
        <is>
          <t xml:space="preserve">June</t>
        </is>
      </c>
      <c r="E38" s="53" t="inlineStr">
        <is>
          <t xml:space="preserve">July</t>
        </is>
      </c>
      <c r="F38" s="53" t="inlineStr">
        <is>
          <t xml:space="preserve">August</t>
        </is>
      </c>
      <c r="G38" s="53" t="inlineStr">
        <is>
          <t xml:space="preserve">September</t>
        </is>
      </c>
      <c r="H38" s="53" t="inlineStr">
        <is>
          <t xml:space="preserve">Total</t>
        </is>
      </c>
    </row>
    <row r="39">
      <c r="A39" s="54" t="inlineStr">
        <is>
          <t xml:space="preserve"># Inspected</t>
        </is>
      </c>
      <c r="B39" s="55" t="n">
        <f aca="false">IF(SUMPRODUCT((LEFT('Slaughterhouse IQC'!$A$6:$A$70,7)="2026-04")*('Slaughterhouse IQC'!$B$6:$B$70="Martins")*('Slaughterhouse IQC'!$F$6:$F$70="666506")*'Slaughterhouse IQC'!$I$6:$I$70)=0,"",SUMPRODUCT((LEFT('Slaughterhouse IQC'!$A$6:$A$70,7)="2026-04")*('Slaughterhouse IQC'!$B$6:$B$70="Martins")*('Slaughterhouse IQC'!$F$6:$F$70="666506")*'Slaughterhouse IQC'!$I$6:$I$70))</f>
      </c>
      <c r="C39" s="55" t="n">
        <f aca="false">IF(SUMPRODUCT((LEFT('Slaughterhouse IQC'!$A$6:$A$70,7)="2026-05")*('Slaughterhouse IQC'!$B$6:$B$70="Martins")*('Slaughterhouse IQC'!$F$6:$F$70="666506")*'Slaughterhouse IQC'!$I$6:$I$70)=0,"",SUMPRODUCT((LEFT('Slaughterhouse IQC'!$A$6:$A$70,7)="2026-05")*('Slaughterhouse IQC'!$B$6:$B$70="Martins")*('Slaughterhouse IQC'!$F$6:$F$70="666506")*'Slaughterhouse IQC'!$I$6:$I$70))</f>
      </c>
      <c r="D39" s="55" t="n">
        <f aca="false">IF(SUMPRODUCT((LEFT('Slaughterhouse IQC'!$A$6:$A$70,7)="2026-06")*('Slaughterhouse IQC'!$B$6:$B$70="Martins")*('Slaughterhouse IQC'!$F$6:$F$70="666506")*'Slaughterhouse IQC'!$I$6:$I$70)=0,"",SUMPRODUCT((LEFT('Slaughterhouse IQC'!$A$6:$A$70,7)="2026-06")*('Slaughterhouse IQC'!$B$6:$B$70="Martins")*('Slaughterhouse IQC'!$F$6:$F$70="666506")*'Slaughterhouse IQC'!$I$6:$I$70))</f>
      </c>
      <c r="E39" s="55" t="n">
        <f aca="false">IF(SUMPRODUCT((LEFT('Slaughterhouse IQC'!$A$6:$A$70,7)="2026-07")*('Slaughterhouse IQC'!$B$6:$B$70="Martins")*('Slaughterhouse IQC'!$F$6:$F$70="666506")*'Slaughterhouse IQC'!$I$6:$I$70)=0,"",SUMPRODUCT((LEFT('Slaughterhouse IQC'!$A$6:$A$70,7)="2026-07")*('Slaughterhouse IQC'!$B$6:$B$70="Martins")*('Slaughterhouse IQC'!$F$6:$F$70="666506")*'Slaughterhouse IQC'!$I$6:$I$70))</f>
      </c>
      <c r="F39" s="55" t="n">
        <f aca="false">IF(SUMPRODUCT((LEFT('Slaughterhouse IQC'!$A$6:$A$70,7)="2026-08")*('Slaughterhouse IQC'!$B$6:$B$70="Martins")*('Slaughterhouse IQC'!$F$6:$F$70="666506")*'Slaughterhouse IQC'!$I$6:$I$70)=0,"",SUMPRODUCT((LEFT('Slaughterhouse IQC'!$A$6:$A$70,7)="2026-08")*('Slaughterhouse IQC'!$B$6:$B$70="Martins")*('Slaughterhouse IQC'!$F$6:$F$70="666506")*'Slaughterhouse IQC'!$I$6:$I$70))</f>
      </c>
      <c r="G39" s="55" t="n">
        <f aca="false">IF(SUMPRODUCT((LEFT('Slaughterhouse IQC'!$A$6:$A$70,7)="2026-09")*('Slaughterhouse IQC'!$B$6:$B$70="Martins")*('Slaughterhouse IQC'!$F$6:$F$70="666506")*'Slaughterhouse IQC'!$I$6:$I$70)=0,"",SUMPRODUCT((LEFT('Slaughterhouse IQC'!$A$6:$A$70,7)="2026-09")*('Slaughterhouse IQC'!$B$6:$B$70="Martins")*('Slaughterhouse IQC'!$F$6:$F$70="666506")*'Slaughterhouse IQC'!$I$6:$I$70))</f>
      </c>
      <c r="H39" s="55" t="n">
        <f aca="false">SUM(B39:G39)</f>
      </c>
    </row>
    <row r="40">
      <c r="A40" s="54" t="inlineStr">
        <is>
          <t xml:space="preserve"># Pass</t>
        </is>
      </c>
      <c r="B40" s="55" t="n">
        <f aca="false">IF(SUMPRODUCT((LEFT('Slaughterhouse IQC'!$A$6:$A$70,7)="2026-04")*('Slaughterhouse IQC'!$B$6:$B$70="Martins")*('Slaughterhouse IQC'!$F$6:$F$70="666506")*'Slaughterhouse IQC'!$I$6:$I$70)=0,"",SUMPRODUCT((LEFT('Slaughterhouse IQC'!$A$6:$A$70,7)="2026-04")*('Slaughterhouse IQC'!$B$6:$B$70="Martins")*('Slaughterhouse IQC'!$F$6:$F$70="666506")*'Slaughterhouse IQC'!$J$6:$J$70))</f>
      </c>
      <c r="C40" s="55" t="n">
        <f aca="false">IF(SUMPRODUCT((LEFT('Slaughterhouse IQC'!$A$6:$A$70,7)="2026-05")*('Slaughterhouse IQC'!$B$6:$B$70="Martins")*('Slaughterhouse IQC'!$F$6:$F$70="666506")*'Slaughterhouse IQC'!$I$6:$I$70)=0,"",SUMPRODUCT((LEFT('Slaughterhouse IQC'!$A$6:$A$70,7)="2026-05")*('Slaughterhouse IQC'!$B$6:$B$70="Martins")*('Slaughterhouse IQC'!$F$6:$F$70="666506")*'Slaughterhouse IQC'!$J$6:$J$70))</f>
      </c>
      <c r="D40" s="55" t="n">
        <f aca="false">IF(SUMPRODUCT((LEFT('Slaughterhouse IQC'!$A$6:$A$70,7)="2026-06")*('Slaughterhouse IQC'!$B$6:$B$70="Martins")*('Slaughterhouse IQC'!$F$6:$F$70="666506")*'Slaughterhouse IQC'!$I$6:$I$70)=0,"",SUMPRODUCT((LEFT('Slaughterhouse IQC'!$A$6:$A$70,7)="2026-06")*('Slaughterhouse IQC'!$B$6:$B$70="Martins")*('Slaughterhouse IQC'!$F$6:$F$70="666506")*'Slaughterhouse IQC'!$J$6:$J$70))</f>
      </c>
      <c r="E40" s="55" t="n">
        <f aca="false">IF(SUMPRODUCT((LEFT('Slaughterhouse IQC'!$A$6:$A$70,7)="2026-07")*('Slaughterhouse IQC'!$B$6:$B$70="Martins")*('Slaughterhouse IQC'!$F$6:$F$70="666506")*'Slaughterhouse IQC'!$I$6:$I$70)=0,"",SUMPRODUCT((LEFT('Slaughterhouse IQC'!$A$6:$A$70,7)="2026-07")*('Slaughterhouse IQC'!$B$6:$B$70="Martins")*('Slaughterhouse IQC'!$F$6:$F$70="666506")*'Slaughterhouse IQC'!$J$6:$J$70))</f>
      </c>
      <c r="F40" s="55" t="n">
        <f aca="false">IF(SUMPRODUCT((LEFT('Slaughterhouse IQC'!$A$6:$A$70,7)="2026-08")*('Slaughterhouse IQC'!$B$6:$B$70="Martins")*('Slaughterhouse IQC'!$F$6:$F$70="666506")*'Slaughterhouse IQC'!$I$6:$I$70)=0,"",SUMPRODUCT((LEFT('Slaughterhouse IQC'!$A$6:$A$70,7)="2026-08")*('Slaughterhouse IQC'!$B$6:$B$70="Martins")*('Slaughterhouse IQC'!$F$6:$F$70="666506")*'Slaughterhouse IQC'!$J$6:$J$70))</f>
      </c>
      <c r="G40" s="55" t="n">
        <f aca="false">IF(SUMPRODUCT((LEFT('Slaughterhouse IQC'!$A$6:$A$70,7)="2026-09")*('Slaughterhouse IQC'!$B$6:$B$70="Martins")*('Slaughterhouse IQC'!$F$6:$F$70="666506")*'Slaughterhouse IQC'!$I$6:$I$70)=0,"",SUMPRODUCT((LEFT('Slaughterhouse IQC'!$A$6:$A$70,7)="2026-09")*('Slaughterhouse IQC'!$B$6:$B$70="Martins")*('Slaughterhouse IQC'!$F$6:$F$70="666506")*'Slaughterhouse IQC'!$J$6:$J$70))</f>
      </c>
      <c r="H40" s="55" t="n">
        <f aca="false">SUM(B40:G40)</f>
      </c>
    </row>
    <row r="41">
      <c r="A41" s="54" t="inlineStr">
        <is>
          <t xml:space="preserve"># Fail</t>
        </is>
      </c>
      <c r="B41" s="55" t="n">
        <f aca="false">IF(SUMPRODUCT((LEFT('Slaughterhouse IQC'!$A$6:$A$70,7)="2026-04")*('Slaughterhouse IQC'!$B$6:$B$70="Martins")*('Slaughterhouse IQC'!$F$6:$F$70="666506")*'Slaughterhouse IQC'!$I$6:$I$70)=0,"",SUMPRODUCT((LEFT('Slaughterhouse IQC'!$A$6:$A$70,7)="2026-04")*('Slaughterhouse IQC'!$B$6:$B$70="Martins")*('Slaughterhouse IQC'!$F$6:$F$70="666506")*'Slaughterhouse IQC'!$K$6:$K$70))</f>
      </c>
      <c r="C41" s="55" t="n">
        <f aca="false">IF(SUMPRODUCT((LEFT('Slaughterhouse IQC'!$A$6:$A$70,7)="2026-05")*('Slaughterhouse IQC'!$B$6:$B$70="Martins")*('Slaughterhouse IQC'!$F$6:$F$70="666506")*'Slaughterhouse IQC'!$I$6:$I$70)=0,"",SUMPRODUCT((LEFT('Slaughterhouse IQC'!$A$6:$A$70,7)="2026-05")*('Slaughterhouse IQC'!$B$6:$B$70="Martins")*('Slaughterhouse IQC'!$F$6:$F$70="666506")*'Slaughterhouse IQC'!$K$6:$K$70))</f>
      </c>
      <c r="D41" s="55" t="n">
        <f aca="false">IF(SUMPRODUCT((LEFT('Slaughterhouse IQC'!$A$6:$A$70,7)="2026-06")*('Slaughterhouse IQC'!$B$6:$B$70="Martins")*('Slaughterhouse IQC'!$F$6:$F$70="666506")*'Slaughterhouse IQC'!$I$6:$I$70)=0,"",SUMPRODUCT((LEFT('Slaughterhouse IQC'!$A$6:$A$70,7)="2026-06")*('Slaughterhouse IQC'!$B$6:$B$70="Martins")*('Slaughterhouse IQC'!$F$6:$F$70="666506")*'Slaughterhouse IQC'!$K$6:$K$70))</f>
      </c>
      <c r="E41" s="55" t="n">
        <f aca="false">IF(SUMPRODUCT((LEFT('Slaughterhouse IQC'!$A$6:$A$70,7)="2026-07")*('Slaughterhouse IQC'!$B$6:$B$70="Martins")*('Slaughterhouse IQC'!$F$6:$F$70="666506")*'Slaughterhouse IQC'!$I$6:$I$70)=0,"",SUMPRODUCT((LEFT('Slaughterhouse IQC'!$A$6:$A$70,7)="2026-07")*('Slaughterhouse IQC'!$B$6:$B$70="Martins")*('Slaughterhouse IQC'!$F$6:$F$70="666506")*'Slaughterhouse IQC'!$K$6:$K$70))</f>
      </c>
      <c r="F41" s="55" t="n">
        <f aca="false">IF(SUMPRODUCT((LEFT('Slaughterhouse IQC'!$A$6:$A$70,7)="2026-08")*('Slaughterhouse IQC'!$B$6:$B$70="Martins")*('Slaughterhouse IQC'!$F$6:$F$70="666506")*'Slaughterhouse IQC'!$I$6:$I$70)=0,"",SUMPRODUCT((LEFT('Slaughterhouse IQC'!$A$6:$A$70,7)="2026-08")*('Slaughterhouse IQC'!$B$6:$B$70="Martins")*('Slaughterhouse IQC'!$F$6:$F$70="666506")*'Slaughterhouse IQC'!$K$6:$K$70))</f>
      </c>
      <c r="G41" s="55" t="n">
        <f aca="false">IF(SUMPRODUCT((LEFT('Slaughterhouse IQC'!$A$6:$A$70,7)="2026-09")*('Slaughterhouse IQC'!$B$6:$B$70="Martins")*('Slaughterhouse IQC'!$F$6:$F$70="666506")*'Slaughterhouse IQC'!$I$6:$I$70)=0,"",SUMPRODUCT((LEFT('Slaughterhouse IQC'!$A$6:$A$70,7)="2026-09")*('Slaughterhouse IQC'!$B$6:$B$70="Martins")*('Slaughterhouse IQC'!$F$6:$F$70="666506")*'Slaughterhouse IQC'!$K$6:$K$70))</f>
      </c>
      <c r="H41" s="55" t="n">
        <f aca="false">SUM(B41:G41)</f>
      </c>
    </row>
    <row r="42">
      <c r="A42" s="58" t="inlineStr">
        <is>
          <t xml:space="preserve">First-Pass Yield</t>
        </is>
      </c>
      <c r="B42" s="56" t="n">
        <f aca="false">IF(B39="","",IF(B39=0,"",B40/B39))</f>
      </c>
      <c r="C42" s="56" t="n">
        <f aca="false">IF(C39="","",IF(C39=0,"",C40/C39))</f>
      </c>
      <c r="D42" s="56" t="n">
        <f aca="false">IF(D39="","",IF(D39=0,"",D40/D39))</f>
      </c>
      <c r="E42" s="56" t="n">
        <f aca="false">IF(E39="","",IF(E39=0,"",E40/E39))</f>
      </c>
      <c r="F42" s="56" t="n">
        <f aca="false">IF(F39="","",IF(F39=0,"",F40/F39))</f>
      </c>
      <c r="G42" s="56" t="n">
        <f aca="false">IF(G39="","",IF(G39=0,"",G40/G39))</f>
      </c>
      <c r="H42" s="56" t="n">
        <f aca="false">IF(H39=0,"",H40/H39)</f>
      </c>
    </row>
    <row r="43" ht="15" customHeight="1">
      <c r="A43" s="58" t="inlineStr">
        <is>
          <t xml:space="preserve">Issues found (defect category counts)</t>
        </is>
      </c>
    </row>
    <row r="44">
      <c r="A44" s="57" t="inlineStr">
        <is>
          <t xml:space="preserve">   Urethra / bladder damage</t>
        </is>
      </c>
      <c r="C44" s="55" t="n">
        <v>4</v>
      </c>
      <c r="H44" s="55" t="n">
        <v>4</v>
      </c>
    </row>
    <row r="45">
      <c r="A45" s="57" t="inlineStr">
        <is>
          <t xml:space="preserve">   Membrane damage</t>
        </is>
      </c>
      <c r="C45" s="55" t="n">
        <v>1</v>
      </c>
      <c r="E45" s="55" t="n">
        <v>2</v>
      </c>
      <c r="H45" s="55" t="n">
        <v>3</v>
      </c>
    </row>
    <row r="46">
      <c r="A46" s="57" t="inlineStr">
        <is>
          <t xml:space="preserve">   Bowel damage / separation</t>
        </is>
      </c>
      <c r="B46" s="55" t="n">
        <v>2</v>
      </c>
      <c r="H46" s="55" t="n">
        <v>2</v>
      </c>
    </row>
    <row r="47">
      <c r="A47" s="57" t="inlineStr">
        <is>
          <t xml:space="preserve">   Short block / mesentery length</t>
        </is>
      </c>
      <c r="D47" s="55" t="n">
        <v>1</v>
      </c>
      <c r="H47" s="55" t="n">
        <v>1</v>
      </c>
    </row>
    <row r="48">
      <c r="A48" s="57" t="inlineStr">
        <is>
          <t xml:space="preserve">   Handling damage (cleaning)</t>
        </is>
      </c>
      <c r="B48" s="55" t="n">
        <v>2</v>
      </c>
      <c r="H48" s="55" t="n">
        <v>2</v>
      </c>
    </row>
    <row r="49">
      <c r="A49" s="57" t="inlineStr">
        <is>
          <t xml:space="preserve">   Deformed ligaments</t>
        </is>
      </c>
      <c r="C49" s="55" t="n">
        <v>1</v>
      </c>
      <c r="H49" s="55" t="n">
        <v>1</v>
      </c>
    </row>
    <row r="50">
      <c r="A50" s="58" t="inlineStr">
        <is>
          <t xml:space="preserve">   Total issues</t>
        </is>
      </c>
      <c r="B50" s="55" t="n">
        <f aca="false">IF(SUM(B44:B49)=0,"",SUM(B44:B49))</f>
      </c>
      <c r="C50" s="55" t="n">
        <f aca="false">IF(SUM(C44:C49)=0,"",SUM(C44:C49))</f>
      </c>
      <c r="D50" s="55" t="n">
        <f aca="false">IF(SUM(D44:D49)=0,"",SUM(D44:D49))</f>
      </c>
      <c r="E50" s="55" t="n">
        <f aca="false">IF(SUM(E44:E49)=0,"",SUM(E44:E49))</f>
      </c>
      <c r="F50" s="55" t="n">
        <f aca="false">IF(SUM(F44:F49)=0,"",SUM(F44:F49))</f>
      </c>
      <c r="G50" s="55" t="n">
        <f aca="false">IF(SUM(G44:G49)=0,"",SUM(G44:G49))</f>
      </c>
      <c r="H50" s="55" t="n">
        <f aca="false">SUM(H44:H49)</f>
      </c>
    </row>
    <row r="51"/>
    <row r="52" ht="20" customHeight="1">
      <c r="A52" s="52" t="inlineStr">
        <is>
          <t xml:space="preserve">PELVIC @ PARKS — 666518 (intact, SM)</t>
        </is>
      </c>
    </row>
    <row r="53">
      <c r="A53" s="53" t="inlineStr">
        <is>
          <t xml:space="preserve">Metric</t>
        </is>
      </c>
      <c r="B53" s="53" t="inlineStr">
        <is>
          <t xml:space="preserve">April</t>
        </is>
      </c>
      <c r="C53" s="53" t="inlineStr">
        <is>
          <t xml:space="preserve">May</t>
        </is>
      </c>
      <c r="D53" s="53" t="inlineStr">
        <is>
          <t xml:space="preserve">June</t>
        </is>
      </c>
      <c r="E53" s="53" t="inlineStr">
        <is>
          <t xml:space="preserve">July</t>
        </is>
      </c>
      <c r="F53" s="53" t="inlineStr">
        <is>
          <t xml:space="preserve">August</t>
        </is>
      </c>
      <c r="G53" s="53" t="inlineStr">
        <is>
          <t xml:space="preserve">September</t>
        </is>
      </c>
      <c r="H53" s="53" t="inlineStr">
        <is>
          <t xml:space="preserve">Total</t>
        </is>
      </c>
    </row>
    <row r="54">
      <c r="A54" s="54" t="inlineStr">
        <is>
          <t xml:space="preserve"># Inspected</t>
        </is>
      </c>
      <c r="B54"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IQC'!$I$6:$I$70))</f>
      </c>
      <c r="C54"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IQC'!$I$6:$I$70))</f>
      </c>
      <c r="D54"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IQC'!$I$6:$I$70))</f>
      </c>
      <c r="E54"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IQC'!$I$6:$I$70))</f>
      </c>
      <c r="F54"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IQC'!$I$6:$I$70))</f>
      </c>
      <c r="G54"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IQC'!$I$6:$I$70))</f>
      </c>
      <c r="H54" s="55" t="n">
        <f aca="false">SUM(B54:G54)</f>
      </c>
    </row>
    <row r="55">
      <c r="A55" s="54" t="inlineStr">
        <is>
          <t xml:space="preserve"># Pass</t>
        </is>
      </c>
      <c r="B55"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f>
      </c>
      <c r="C55"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f>
      </c>
      <c r="D55"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f>
      </c>
      <c r="E55"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f>
      </c>
      <c r="F55"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f>
      </c>
      <c r="G55"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f>
      </c>
      <c r="H55" s="55" t="n">
        <f aca="false">SUM(B55:G55)</f>
      </c>
    </row>
    <row r="56">
      <c r="A56" s="54" t="inlineStr">
        <is>
          <t xml:space="preserve"># Fail</t>
        </is>
      </c>
      <c r="B56" s="5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56" s="5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56" s="5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56" s="5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56" s="5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56" s="5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56" s="55" t="n">
        <f aca="false">SUM(B56:G56)</f>
      </c>
    </row>
    <row r="57">
      <c r="A57" s="58" t="inlineStr">
        <is>
          <t xml:space="preserve">First-Pass Yield</t>
        </is>
      </c>
      <c r="B57" s="56" t="n">
        <f aca="false">IF(B54="","",IF(B54=0,"",B55/B54))</f>
      </c>
      <c r="C57" s="56" t="n">
        <f aca="false">IF(C54="","",IF(C54=0,"",C55/C54))</f>
      </c>
      <c r="D57" s="56" t="n">
        <f aca="false">IF(D54="","",IF(D54=0,"",D55/D54))</f>
      </c>
      <c r="E57" s="56" t="n">
        <f aca="false">IF(E54="","",IF(E54=0,"",E55/E54))</f>
      </c>
      <c r="F57" s="56" t="n">
        <f aca="false">IF(F54="","",IF(F54=0,"",F55/F54))</f>
      </c>
      <c r="G57" s="56" t="n">
        <f aca="false">IF(G54="","",IF(G54=0,"",G55/G54))</f>
      </c>
      <c r="H57" s="56" t="n">
        <f aca="false">IF(H54=0,"",H55/H54)</f>
      </c>
    </row>
    <row r="58" ht="15" customHeight="1">
      <c r="A58" s="58" t="inlineStr">
        <is>
          <t xml:space="preserve">Issues found (defect category counts)</t>
        </is>
      </c>
    </row>
    <row r="59">
      <c r="A59" s="57" t="inlineStr">
        <is>
          <t xml:space="preserve">   Urethra / bladder damage</t>
        </is>
      </c>
      <c r="C59" s="55" t="n">
        <v>1</v>
      </c>
      <c r="D59" s="55" t="n">
        <v>10</v>
      </c>
      <c r="H59" s="55" t="n">
        <v>11</v>
      </c>
    </row>
    <row r="60">
      <c r="A60" s="57" t="inlineStr">
        <is>
          <t xml:space="preserve">   Bowel damage / separation</t>
        </is>
      </c>
      <c r="D60" s="55" t="n">
        <v>2</v>
      </c>
      <c r="E60" s="55" t="n">
        <v>3</v>
      </c>
      <c r="H60" s="55" t="n">
        <v>5</v>
      </c>
    </row>
    <row r="61">
      <c r="A61" s="57" t="inlineStr">
        <is>
          <t xml:space="preserve">   Short block / mesentery length</t>
        </is>
      </c>
      <c r="C61" s="55" t="n">
        <v>4</v>
      </c>
      <c r="D61" s="55" t="n">
        <v>5</v>
      </c>
      <c r="E61" s="55" t="n">
        <v>6</v>
      </c>
      <c r="H61" s="55" t="n">
        <v>15</v>
      </c>
    </row>
    <row r="62">
      <c r="A62" s="57" t="inlineStr">
        <is>
          <t xml:space="preserve">   Critical-area laceration</t>
        </is>
      </c>
      <c r="D62" s="55" t="n">
        <v>3</v>
      </c>
      <c r="E62" s="55" t="n">
        <v>3</v>
      </c>
      <c r="H62" s="55" t="n">
        <v>6</v>
      </c>
    </row>
    <row r="63">
      <c r="A63" s="57" t="inlineStr">
        <is>
          <t xml:space="preserve">   Ureter damage</t>
        </is>
      </c>
      <c r="D63" s="55" t="n">
        <v>2</v>
      </c>
      <c r="E63" s="55" t="n">
        <v>1</v>
      </c>
      <c r="H63" s="55" t="n">
        <v>3</v>
      </c>
    </row>
    <row r="64">
      <c r="A64" s="58" t="inlineStr">
        <is>
          <t xml:space="preserve">   Total issues</t>
        </is>
      </c>
      <c r="B64" s="55" t="n">
        <f aca="false">IF(SUM(B59:B63)=0,"",SUM(B59:B63))</f>
      </c>
      <c r="C64" s="55" t="n">
        <f aca="false">IF(SUM(C59:C63)=0,"",SUM(C59:C63))</f>
      </c>
      <c r="D64" s="55" t="n">
        <f aca="false">IF(SUM(D59:D63)=0,"",SUM(D59:D63))</f>
      </c>
      <c r="E64" s="55" t="n">
        <f aca="false">IF(SUM(E59:E63)=0,"",SUM(E59:E63))</f>
      </c>
      <c r="F64" s="55" t="n">
        <f aca="false">IF(SUM(F59:F63)=0,"",SUM(F59:F63))</f>
      </c>
      <c r="G64" s="55" t="n">
        <f aca="false">IF(SUM(G59:G63)=0,"",SUM(G59:G63))</f>
      </c>
      <c r="H64" s="55" t="n">
        <f aca="false">SUM(H59:H63)</f>
      </c>
    </row>
    <row r="65"/>
    <row r="66" ht="20" customHeight="1">
      <c r="A66" s="52" t="inlineStr">
        <is>
          <t xml:space="preserve">PELVIC @ PARKS — 666541 (intact — spec transition, from 08/10)</t>
        </is>
      </c>
    </row>
    <row r="67">
      <c r="A67" s="53" t="inlineStr">
        <is>
          <t xml:space="preserve">Metric</t>
        </is>
      </c>
      <c r="B67" s="53" t="inlineStr">
        <is>
          <t xml:space="preserve">April</t>
        </is>
      </c>
      <c r="C67" s="53" t="inlineStr">
        <is>
          <t xml:space="preserve">May</t>
        </is>
      </c>
      <c r="D67" s="53" t="inlineStr">
        <is>
          <t xml:space="preserve">June</t>
        </is>
      </c>
      <c r="E67" s="53" t="inlineStr">
        <is>
          <t xml:space="preserve">July</t>
        </is>
      </c>
      <c r="F67" s="53" t="inlineStr">
        <is>
          <t xml:space="preserve">August</t>
        </is>
      </c>
      <c r="G67" s="53" t="inlineStr">
        <is>
          <t xml:space="preserve">September</t>
        </is>
      </c>
      <c r="H67" s="53" t="inlineStr">
        <is>
          <t xml:space="preserve">Total</t>
        </is>
      </c>
    </row>
    <row r="68">
      <c r="A68" s="54" t="inlineStr">
        <is>
          <t xml:space="preserve"># Inspected</t>
        </is>
      </c>
      <c r="B68"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IQC'!$I$6:$I$70))</f>
      </c>
      <c r="C68"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IQC'!$I$6:$I$70))</f>
      </c>
      <c r="D68"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IQC'!$I$6:$I$70))</f>
      </c>
      <c r="E68"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IQC'!$I$6:$I$70))</f>
      </c>
      <c r="F68"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IQC'!$I$6:$I$70))</f>
      </c>
      <c r="G68"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IQC'!$I$6:$I$70))</f>
      </c>
      <c r="H68" s="55" t="n">
        <f aca="false">SUM(B68:G68)</f>
      </c>
    </row>
    <row r="69">
      <c r="A69" s="54" t="inlineStr">
        <is>
          <t xml:space="preserve"># Pass</t>
        </is>
      </c>
      <c r="B69"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f>
      </c>
      <c r="C69"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f>
      </c>
      <c r="D69"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f>
      </c>
      <c r="E69"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f>
      </c>
      <c r="F69"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f>
      </c>
      <c r="G69"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f>
      </c>
      <c r="H69" s="55" t="n">
        <f aca="false">SUM(B69:G69)</f>
      </c>
    </row>
    <row r="70">
      <c r="A70" s="54" t="inlineStr">
        <is>
          <t xml:space="preserve"># Fail</t>
        </is>
      </c>
      <c r="B70" s="5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70" s="5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70" s="5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70" s="5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70" s="5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70" s="5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70" s="55" t="n">
        <f aca="false">SUM(B70:G70)</f>
      </c>
    </row>
    <row r="71">
      <c r="A71" s="58" t="inlineStr">
        <is>
          <t xml:space="preserve">First-Pass Yield</t>
        </is>
      </c>
      <c r="B71" s="56" t="n">
        <f aca="false">IF(B68="","",IF(B68=0,"",B69/B68))</f>
      </c>
      <c r="C71" s="56" t="n">
        <f aca="false">IF(C68="","",IF(C68=0,"",C69/C68))</f>
      </c>
      <c r="D71" s="56" t="n">
        <f aca="false">IF(D68="","",IF(D68=0,"",D69/D68))</f>
      </c>
      <c r="E71" s="56" t="n">
        <f aca="false">IF(E68="","",IF(E68=0,"",E69/E68))</f>
      </c>
      <c r="F71" s="56" t="n">
        <f aca="false">IF(F68="","",IF(F68=0,"",F69/F68))</f>
      </c>
      <c r="G71" s="56" t="n">
        <f aca="false">IF(G68="","",IF(G68=0,"",G69/G68))</f>
      </c>
      <c r="H71" s="56" t="n">
        <f aca="false">IF(H68=0,"",H69/H68)</f>
      </c>
    </row>
    <row r="72" ht="15" customHeight="1">
      <c r="A72" s="58" t="inlineStr">
        <is>
          <t xml:space="preserve">Issues found (defect category counts)</t>
        </is>
      </c>
    </row>
    <row r="73">
      <c r="A73" s="57" t="inlineStr">
        <is>
          <t xml:space="preserve">   Bowel damage / separation</t>
        </is>
      </c>
      <c r="F73" s="55" t="n">
        <v>1</v>
      </c>
      <c r="H73" s="55" t="n">
        <v>1</v>
      </c>
    </row>
    <row r="74">
      <c r="A74" s="57" t="inlineStr">
        <is>
          <t xml:space="preserve">   Critical-area laceration</t>
        </is>
      </c>
      <c r="F74" s="55" t="n">
        <v>1</v>
      </c>
      <c r="H74" s="55" t="n">
        <v>1</v>
      </c>
    </row>
    <row r="75">
      <c r="A75" s="58" t="inlineStr">
        <is>
          <t xml:space="preserve">   Total issues</t>
        </is>
      </c>
      <c r="B75" s="55" t="n">
        <f aca="false">IF(SUM(B73:B74)=0,"",SUM(B73:B74))</f>
      </c>
      <c r="C75" s="55" t="n">
        <f aca="false">IF(SUM(C73:C74)=0,"",SUM(C73:C74))</f>
      </c>
      <c r="D75" s="55" t="n">
        <f aca="false">IF(SUM(D73:D74)=0,"",SUM(D73:D74))</f>
      </c>
      <c r="E75" s="55" t="n">
        <f aca="false">IF(SUM(E73:E74)=0,"",SUM(E73:E74))</f>
      </c>
      <c r="F75" s="55" t="n">
        <f aca="false">IF(SUM(F73:F74)=0,"",SUM(F73:F74))</f>
      </c>
      <c r="G75" s="55" t="n">
        <f aca="false">IF(SUM(G73:G74)=0,"",SUM(G73:G74))</f>
      </c>
      <c r="H75" s="55" t="n">
        <f aca="false">SUM(H73:H74)</f>
      </c>
    </row>
    <row r="76"/>
    <row r="77" ht="20" customHeight="1">
      <c r="A77" s="52" t="inlineStr">
        <is>
          <t xml:space="preserve">PELVIC @ NAHUNTA — 666541 (intact — side line)</t>
        </is>
      </c>
    </row>
    <row r="78">
      <c r="A78" s="53" t="inlineStr">
        <is>
          <t xml:space="preserve">Metric</t>
        </is>
      </c>
      <c r="B78" s="53" t="inlineStr">
        <is>
          <t xml:space="preserve">April</t>
        </is>
      </c>
      <c r="C78" s="53" t="inlineStr">
        <is>
          <t xml:space="preserve">May</t>
        </is>
      </c>
      <c r="D78" s="53" t="inlineStr">
        <is>
          <t xml:space="preserve">June</t>
        </is>
      </c>
      <c r="E78" s="53" t="inlineStr">
        <is>
          <t xml:space="preserve">July</t>
        </is>
      </c>
      <c r="F78" s="53" t="inlineStr">
        <is>
          <t xml:space="preserve">August</t>
        </is>
      </c>
      <c r="G78" s="53" t="inlineStr">
        <is>
          <t xml:space="preserve">September</t>
        </is>
      </c>
      <c r="H78" s="53" t="inlineStr">
        <is>
          <t xml:space="preserve">Total</t>
        </is>
      </c>
    </row>
    <row r="79">
      <c r="A79" s="54" t="inlineStr">
        <is>
          <t xml:space="preserve"># Inspected</t>
        </is>
      </c>
      <c r="B79" s="55" t="n">
        <f aca="false">IF(SUMPRODUCT((LEFT('Slaughterhouse IQC'!$A$6:$A$70,7)="2026-04")*('Slaughterhouse IQC'!$B$6:$B$70="Nahunta")*('Slaughterhouse IQC'!$F$6:$F$70="666541")*'Slaughterhouse IQC'!$I$6:$I$70)=0,"",SUMPRODUCT((LEFT('Slaughterhouse IQC'!$A$6:$A$70,7)="2026-04")*('Slaughterhouse IQC'!$B$6:$B$70="Nahunta")*('Slaughterhouse IQC'!$F$6:$F$70="666541")*'Slaughterhouse IQC'!$I$6:$I$70))</f>
      </c>
      <c r="C79" s="55" t="n">
        <f aca="false">IF(SUMPRODUCT((LEFT('Slaughterhouse IQC'!$A$6:$A$70,7)="2026-05")*('Slaughterhouse IQC'!$B$6:$B$70="Nahunta")*('Slaughterhouse IQC'!$F$6:$F$70="666541")*'Slaughterhouse IQC'!$I$6:$I$70)=0,"",SUMPRODUCT((LEFT('Slaughterhouse IQC'!$A$6:$A$70,7)="2026-05")*('Slaughterhouse IQC'!$B$6:$B$70="Nahunta")*('Slaughterhouse IQC'!$F$6:$F$70="666541")*'Slaughterhouse IQC'!$I$6:$I$70))</f>
      </c>
      <c r="D79" s="55" t="n">
        <f aca="false">IF(SUMPRODUCT((LEFT('Slaughterhouse IQC'!$A$6:$A$70,7)="2026-06")*('Slaughterhouse IQC'!$B$6:$B$70="Nahunta")*('Slaughterhouse IQC'!$F$6:$F$70="666541")*'Slaughterhouse IQC'!$I$6:$I$70)=0,"",SUMPRODUCT((LEFT('Slaughterhouse IQC'!$A$6:$A$70,7)="2026-06")*('Slaughterhouse IQC'!$B$6:$B$70="Nahunta")*('Slaughterhouse IQC'!$F$6:$F$70="666541")*'Slaughterhouse IQC'!$I$6:$I$70))</f>
      </c>
      <c r="E79" s="55" t="n">
        <f aca="false">IF(SUMPRODUCT((LEFT('Slaughterhouse IQC'!$A$6:$A$70,7)="2026-07")*('Slaughterhouse IQC'!$B$6:$B$70="Nahunta")*('Slaughterhouse IQC'!$F$6:$F$70="666541")*'Slaughterhouse IQC'!$I$6:$I$70)=0,"",SUMPRODUCT((LEFT('Slaughterhouse IQC'!$A$6:$A$70,7)="2026-07")*('Slaughterhouse IQC'!$B$6:$B$70="Nahunta")*('Slaughterhouse IQC'!$F$6:$F$70="666541")*'Slaughterhouse IQC'!$I$6:$I$70))</f>
      </c>
      <c r="F79" s="55" t="n">
        <f aca="false">IF(SUMPRODUCT((LEFT('Slaughterhouse IQC'!$A$6:$A$70,7)="2026-08")*('Slaughterhouse IQC'!$B$6:$B$70="Nahunta")*('Slaughterhouse IQC'!$F$6:$F$70="666541")*'Slaughterhouse IQC'!$I$6:$I$70)=0,"",SUMPRODUCT((LEFT('Slaughterhouse IQC'!$A$6:$A$70,7)="2026-08")*('Slaughterhouse IQC'!$B$6:$B$70="Nahunta")*('Slaughterhouse IQC'!$F$6:$F$70="666541")*'Slaughterhouse IQC'!$I$6:$I$70))</f>
      </c>
      <c r="G79" s="55" t="n">
        <f aca="false">IF(SUMPRODUCT((LEFT('Slaughterhouse IQC'!$A$6:$A$70,7)="2026-09")*('Slaughterhouse IQC'!$B$6:$B$70="Nahunta")*('Slaughterhouse IQC'!$F$6:$F$70="666541")*'Slaughterhouse IQC'!$I$6:$I$70)=0,"",SUMPRODUCT((LEFT('Slaughterhouse IQC'!$A$6:$A$70,7)="2026-09")*('Slaughterhouse IQC'!$B$6:$B$70="Nahunta")*('Slaughterhouse IQC'!$F$6:$F$70="666541")*'Slaughterhouse IQC'!$I$6:$I$70))</f>
      </c>
      <c r="H79" s="55" t="n">
        <f aca="false">SUM(B79:G79)</f>
      </c>
    </row>
    <row r="80">
      <c r="A80" s="54" t="inlineStr">
        <is>
          <t xml:space="preserve"># Pass</t>
        </is>
      </c>
      <c r="B80" s="55" t="n">
        <f aca="false">IF(SUMPRODUCT((LEFT('Slaughterhouse IQC'!$A$6:$A$70,7)="2026-04")*('Slaughterhouse IQC'!$B$6:$B$70="Nahunta")*('Slaughterhouse IQC'!$F$6:$F$70="666541")*'Slaughterhouse IQC'!$I$6:$I$70)=0,"",SUMPRODUCT((LEFT('Slaughterhouse IQC'!$A$6:$A$70,7)="2026-04")*('Slaughterhouse IQC'!$B$6:$B$70="Nahunta")*('Slaughterhouse IQC'!$F$6:$F$70="666541")*'Slaughterhouse IQC'!$J$6:$J$70))</f>
      </c>
      <c r="C80" s="55" t="n">
        <f aca="false">IF(SUMPRODUCT((LEFT('Slaughterhouse IQC'!$A$6:$A$70,7)="2026-05")*('Slaughterhouse IQC'!$B$6:$B$70="Nahunta")*('Slaughterhouse IQC'!$F$6:$F$70="666541")*'Slaughterhouse IQC'!$I$6:$I$70)=0,"",SUMPRODUCT((LEFT('Slaughterhouse IQC'!$A$6:$A$70,7)="2026-05")*('Slaughterhouse IQC'!$B$6:$B$70="Nahunta")*('Slaughterhouse IQC'!$F$6:$F$70="666541")*'Slaughterhouse IQC'!$J$6:$J$70))</f>
      </c>
      <c r="D80" s="55" t="n">
        <f aca="false">IF(SUMPRODUCT((LEFT('Slaughterhouse IQC'!$A$6:$A$70,7)="2026-06")*('Slaughterhouse IQC'!$B$6:$B$70="Nahunta")*('Slaughterhouse IQC'!$F$6:$F$70="666541")*'Slaughterhouse IQC'!$I$6:$I$70)=0,"",SUMPRODUCT((LEFT('Slaughterhouse IQC'!$A$6:$A$70,7)="2026-06")*('Slaughterhouse IQC'!$B$6:$B$70="Nahunta")*('Slaughterhouse IQC'!$F$6:$F$70="666541")*'Slaughterhouse IQC'!$J$6:$J$70))</f>
      </c>
      <c r="E80" s="55" t="n">
        <f aca="false">IF(SUMPRODUCT((LEFT('Slaughterhouse IQC'!$A$6:$A$70,7)="2026-07")*('Slaughterhouse IQC'!$B$6:$B$70="Nahunta")*('Slaughterhouse IQC'!$F$6:$F$70="666541")*'Slaughterhouse IQC'!$I$6:$I$70)=0,"",SUMPRODUCT((LEFT('Slaughterhouse IQC'!$A$6:$A$70,7)="2026-07")*('Slaughterhouse IQC'!$B$6:$B$70="Nahunta")*('Slaughterhouse IQC'!$F$6:$F$70="666541")*'Slaughterhouse IQC'!$J$6:$J$70))</f>
      </c>
      <c r="F80" s="55" t="n">
        <f aca="false">IF(SUMPRODUCT((LEFT('Slaughterhouse IQC'!$A$6:$A$70,7)="2026-08")*('Slaughterhouse IQC'!$B$6:$B$70="Nahunta")*('Slaughterhouse IQC'!$F$6:$F$70="666541")*'Slaughterhouse IQC'!$I$6:$I$70)=0,"",SUMPRODUCT((LEFT('Slaughterhouse IQC'!$A$6:$A$70,7)="2026-08")*('Slaughterhouse IQC'!$B$6:$B$70="Nahunta")*('Slaughterhouse IQC'!$F$6:$F$70="666541")*'Slaughterhouse IQC'!$J$6:$J$70))</f>
      </c>
      <c r="G80" s="55" t="n">
        <f aca="false">IF(SUMPRODUCT((LEFT('Slaughterhouse IQC'!$A$6:$A$70,7)="2026-09")*('Slaughterhouse IQC'!$B$6:$B$70="Nahunta")*('Slaughterhouse IQC'!$F$6:$F$70="666541")*'Slaughterhouse IQC'!$I$6:$I$70)=0,"",SUMPRODUCT((LEFT('Slaughterhouse IQC'!$A$6:$A$70,7)="2026-09")*('Slaughterhouse IQC'!$B$6:$B$70="Nahunta")*('Slaughterhouse IQC'!$F$6:$F$70="666541")*'Slaughterhouse IQC'!$J$6:$J$70))</f>
      </c>
      <c r="H80" s="55" t="n">
        <f aca="false">SUM(B80:G80)</f>
      </c>
    </row>
    <row r="81">
      <c r="A81" s="54" t="inlineStr">
        <is>
          <t xml:space="preserve"># Fail</t>
        </is>
      </c>
      <c r="B81" s="55" t="n">
        <f aca="false">IF(SUMPRODUCT((LEFT('Slaughterhouse IQC'!$A$6:$A$70,7)="2026-04")*('Slaughterhouse IQC'!$B$6:$B$70="Nahunta")*('Slaughterhouse IQC'!$F$6:$F$70="666541")*'Slaughterhouse IQC'!$I$6:$I$70)=0,"",SUMPRODUCT((LEFT('Slaughterhouse IQC'!$A$6:$A$70,7)="2026-04")*('Slaughterhouse IQC'!$B$6:$B$70="Nahunta")*('Slaughterhouse IQC'!$F$6:$F$70="666541")*'Slaughterhouse IQC'!$K$6:$K$70))</f>
      </c>
      <c r="C81" s="55" t="n">
        <f aca="false">IF(SUMPRODUCT((LEFT('Slaughterhouse IQC'!$A$6:$A$70,7)="2026-05")*('Slaughterhouse IQC'!$B$6:$B$70="Nahunta")*('Slaughterhouse IQC'!$F$6:$F$70="666541")*'Slaughterhouse IQC'!$I$6:$I$70)=0,"",SUMPRODUCT((LEFT('Slaughterhouse IQC'!$A$6:$A$70,7)="2026-05")*('Slaughterhouse IQC'!$B$6:$B$70="Nahunta")*('Slaughterhouse IQC'!$F$6:$F$70="666541")*'Slaughterhouse IQC'!$K$6:$K$70))</f>
      </c>
      <c r="D81" s="55" t="n">
        <f aca="false">IF(SUMPRODUCT((LEFT('Slaughterhouse IQC'!$A$6:$A$70,7)="2026-06")*('Slaughterhouse IQC'!$B$6:$B$70="Nahunta")*('Slaughterhouse IQC'!$F$6:$F$70="666541")*'Slaughterhouse IQC'!$I$6:$I$70)=0,"",SUMPRODUCT((LEFT('Slaughterhouse IQC'!$A$6:$A$70,7)="2026-06")*('Slaughterhouse IQC'!$B$6:$B$70="Nahunta")*('Slaughterhouse IQC'!$F$6:$F$70="666541")*'Slaughterhouse IQC'!$K$6:$K$70))</f>
      </c>
      <c r="E81" s="55" t="n">
        <f aca="false">IF(SUMPRODUCT((LEFT('Slaughterhouse IQC'!$A$6:$A$70,7)="2026-07")*('Slaughterhouse IQC'!$B$6:$B$70="Nahunta")*('Slaughterhouse IQC'!$F$6:$F$70="666541")*'Slaughterhouse IQC'!$I$6:$I$70)=0,"",SUMPRODUCT((LEFT('Slaughterhouse IQC'!$A$6:$A$70,7)="2026-07")*('Slaughterhouse IQC'!$B$6:$B$70="Nahunta")*('Slaughterhouse IQC'!$F$6:$F$70="666541")*'Slaughterhouse IQC'!$K$6:$K$70))</f>
      </c>
      <c r="F81" s="55" t="n">
        <f aca="false">IF(SUMPRODUCT((LEFT('Slaughterhouse IQC'!$A$6:$A$70,7)="2026-08")*('Slaughterhouse IQC'!$B$6:$B$70="Nahunta")*('Slaughterhouse IQC'!$F$6:$F$70="666541")*'Slaughterhouse IQC'!$I$6:$I$70)=0,"",SUMPRODUCT((LEFT('Slaughterhouse IQC'!$A$6:$A$70,7)="2026-08")*('Slaughterhouse IQC'!$B$6:$B$70="Nahunta")*('Slaughterhouse IQC'!$F$6:$F$70="666541")*'Slaughterhouse IQC'!$K$6:$K$70))</f>
      </c>
      <c r="G81" s="55" t="n">
        <f aca="false">IF(SUMPRODUCT((LEFT('Slaughterhouse IQC'!$A$6:$A$70,7)="2026-09")*('Slaughterhouse IQC'!$B$6:$B$70="Nahunta")*('Slaughterhouse IQC'!$F$6:$F$70="666541")*'Slaughterhouse IQC'!$I$6:$I$70)=0,"",SUMPRODUCT((LEFT('Slaughterhouse IQC'!$A$6:$A$70,7)="2026-09")*('Slaughterhouse IQC'!$B$6:$B$70="Nahunta")*('Slaughterhouse IQC'!$F$6:$F$70="666541")*'Slaughterhouse IQC'!$K$6:$K$70))</f>
      </c>
      <c r="H81" s="55" t="n">
        <f aca="false">SUM(B81:G81)</f>
      </c>
    </row>
    <row r="82">
      <c r="A82" s="58" t="inlineStr">
        <is>
          <t xml:space="preserve">First-Pass Yield</t>
        </is>
      </c>
      <c r="B82" s="56" t="n">
        <f aca="false">IF(B79="","",IF(B79=0,"",B80/B79))</f>
      </c>
      <c r="C82" s="56" t="n">
        <f aca="false">IF(C79="","",IF(C79=0,"",C80/C79))</f>
      </c>
      <c r="D82" s="56" t="n">
        <f aca="false">IF(D79="","",IF(D79=0,"",D80/D79))</f>
      </c>
      <c r="E82" s="56" t="n">
        <f aca="false">IF(E79="","",IF(E79=0,"",E80/E79))</f>
      </c>
      <c r="F82" s="56" t="n">
        <f aca="false">IF(F79="","",IF(F79=0,"",F80/F79))</f>
      </c>
      <c r="G82" s="56" t="n">
        <f aca="false">IF(G79="","",IF(G79=0,"",G80/G79))</f>
      </c>
      <c r="H82" s="56" t="n">
        <f aca="false">IF(H79=0,"",H80/H79)</f>
      </c>
    </row>
    <row r="83" ht="28" customHeight="1">
      <c r="A83" s="60" t="inlineStr">
        <is>
          <t xml:space="preserve">13 blocks screened on 8/12 PRIOR TO RECEIPT (before the harvesting tech got the tissue); the 12 rejects never became received product and are not incoming-QC fails. Not FPY-graded; no reasons itemized; excluded from defect counts.</t>
        </is>
      </c>
    </row>
    <row r="84"/>
    <row r="85" ht="20" customHeight="1">
      <c r="A85" s="52" t="inlineStr">
        <is>
          <t xml:space="preserve">THORACIC @ NAHUNTA — 666521 (lung / heart)</t>
        </is>
      </c>
    </row>
    <row r="86">
      <c r="A86" s="53" t="inlineStr">
        <is>
          <t xml:space="preserve">Metric</t>
        </is>
      </c>
      <c r="B86" s="53" t="inlineStr">
        <is>
          <t xml:space="preserve">April</t>
        </is>
      </c>
      <c r="C86" s="53" t="inlineStr">
        <is>
          <t xml:space="preserve">May</t>
        </is>
      </c>
      <c r="D86" s="53" t="inlineStr">
        <is>
          <t xml:space="preserve">June</t>
        </is>
      </c>
      <c r="E86" s="53" t="inlineStr">
        <is>
          <t xml:space="preserve">July</t>
        </is>
      </c>
      <c r="F86" s="53" t="inlineStr">
        <is>
          <t xml:space="preserve">August</t>
        </is>
      </c>
      <c r="G86" s="53" t="inlineStr">
        <is>
          <t xml:space="preserve">September</t>
        </is>
      </c>
      <c r="H86" s="53" t="inlineStr">
        <is>
          <t xml:space="preserve">Total</t>
        </is>
      </c>
    </row>
    <row r="87">
      <c r="A87" s="54" t="inlineStr">
        <is>
          <t xml:space="preserve"># Inspected</t>
        </is>
      </c>
      <c r="B87" s="55" t="n">
        <f aca="false">IF(SUMPRODUCT((LEFT('Slaughterhouse IQC'!$A$6:$A$70,7)="2026-04")*('Slaughterhouse IQC'!$B$6:$B$70="Nahunta")*('Slaughterhouse IQC'!$F$6:$F$70="666521")*'Slaughterhouse IQC'!$I$6:$I$70)=0,"",SUMPRODUCT((LEFT('Slaughterhouse IQC'!$A$6:$A$70,7)="2026-04")*('Slaughterhouse IQC'!$B$6:$B$70="Nahunta")*('Slaughterhouse IQC'!$F$6:$F$70="666521")*'Slaughterhouse IQC'!$I$6:$I$70))</f>
      </c>
      <c r="C87" s="55" t="n">
        <f aca="false">IF(SUMPRODUCT((LEFT('Slaughterhouse IQC'!$A$6:$A$70,7)="2026-05")*('Slaughterhouse IQC'!$B$6:$B$70="Nahunta")*('Slaughterhouse IQC'!$F$6:$F$70="666521")*'Slaughterhouse IQC'!$I$6:$I$70)=0,"",SUMPRODUCT((LEFT('Slaughterhouse IQC'!$A$6:$A$70,7)="2026-05")*('Slaughterhouse IQC'!$B$6:$B$70="Nahunta")*('Slaughterhouse IQC'!$F$6:$F$70="666521")*'Slaughterhouse IQC'!$I$6:$I$70))</f>
      </c>
      <c r="D87" s="55" t="n">
        <f aca="false">IF(SUMPRODUCT((LEFT('Slaughterhouse IQC'!$A$6:$A$70,7)="2026-06")*('Slaughterhouse IQC'!$B$6:$B$70="Nahunta")*('Slaughterhouse IQC'!$F$6:$F$70="666521")*'Slaughterhouse IQC'!$I$6:$I$70)=0,"",SUMPRODUCT((LEFT('Slaughterhouse IQC'!$A$6:$A$70,7)="2026-06")*('Slaughterhouse IQC'!$B$6:$B$70="Nahunta")*('Slaughterhouse IQC'!$F$6:$F$70="666521")*'Slaughterhouse IQC'!$I$6:$I$70))</f>
      </c>
      <c r="E87" s="55" t="n">
        <f aca="false">IF(SUMPRODUCT((LEFT('Slaughterhouse IQC'!$A$6:$A$70,7)="2026-07")*('Slaughterhouse IQC'!$B$6:$B$70="Nahunta")*('Slaughterhouse IQC'!$F$6:$F$70="666521")*'Slaughterhouse IQC'!$I$6:$I$70)=0,"",SUMPRODUCT((LEFT('Slaughterhouse IQC'!$A$6:$A$70,7)="2026-07")*('Slaughterhouse IQC'!$B$6:$B$70="Nahunta")*('Slaughterhouse IQC'!$F$6:$F$70="666521")*'Slaughterhouse IQC'!$I$6:$I$70))</f>
      </c>
      <c r="F87" s="55" t="n">
        <f aca="false">IF(SUMPRODUCT((LEFT('Slaughterhouse IQC'!$A$6:$A$70,7)="2026-08")*('Slaughterhouse IQC'!$B$6:$B$70="Nahunta")*('Slaughterhouse IQC'!$F$6:$F$70="666521")*'Slaughterhouse IQC'!$I$6:$I$70)=0,"",SUMPRODUCT((LEFT('Slaughterhouse IQC'!$A$6:$A$70,7)="2026-08")*('Slaughterhouse IQC'!$B$6:$B$70="Nahunta")*('Slaughterhouse IQC'!$F$6:$F$70="666521")*'Slaughterhouse IQC'!$I$6:$I$70))</f>
      </c>
      <c r="G87" s="55" t="n">
        <f aca="false">IF(SUMPRODUCT((LEFT('Slaughterhouse IQC'!$A$6:$A$70,7)="2026-09")*('Slaughterhouse IQC'!$B$6:$B$70="Nahunta")*('Slaughterhouse IQC'!$F$6:$F$70="666521")*'Slaughterhouse IQC'!$I$6:$I$70)=0,"",SUMPRODUCT((LEFT('Slaughterhouse IQC'!$A$6:$A$70,7)="2026-09")*('Slaughterhouse IQC'!$B$6:$B$70="Nahunta")*('Slaughterhouse IQC'!$F$6:$F$70="666521")*'Slaughterhouse IQC'!$I$6:$I$70))</f>
      </c>
      <c r="H87" s="55" t="n">
        <f aca="false">SUM(B87:G87)</f>
      </c>
    </row>
    <row r="88">
      <c r="A88" s="54" t="inlineStr">
        <is>
          <t xml:space="preserve"># Pass</t>
        </is>
      </c>
      <c r="B88" s="55" t="n">
        <f aca="false">IF(SUMPRODUCT((LEFT('Slaughterhouse IQC'!$A$6:$A$70,7)="2026-04")*('Slaughterhouse IQC'!$B$6:$B$70="Nahunta")*('Slaughterhouse IQC'!$F$6:$F$70="666521")*'Slaughterhouse IQC'!$I$6:$I$70)=0,"",SUMPRODUCT((LEFT('Slaughterhouse IQC'!$A$6:$A$70,7)="2026-04")*('Slaughterhouse IQC'!$B$6:$B$70="Nahunta")*('Slaughterhouse IQC'!$F$6:$F$70="666521")*'Slaughterhouse IQC'!$J$6:$J$70))</f>
      </c>
      <c r="C88" s="55" t="n">
        <f aca="false">IF(SUMPRODUCT((LEFT('Slaughterhouse IQC'!$A$6:$A$70,7)="2026-05")*('Slaughterhouse IQC'!$B$6:$B$70="Nahunta")*('Slaughterhouse IQC'!$F$6:$F$70="666521")*'Slaughterhouse IQC'!$I$6:$I$70)=0,"",SUMPRODUCT((LEFT('Slaughterhouse IQC'!$A$6:$A$70,7)="2026-05")*('Slaughterhouse IQC'!$B$6:$B$70="Nahunta")*('Slaughterhouse IQC'!$F$6:$F$70="666521")*'Slaughterhouse IQC'!$J$6:$J$70))</f>
      </c>
      <c r="D88" s="55" t="n">
        <f aca="false">IF(SUMPRODUCT((LEFT('Slaughterhouse IQC'!$A$6:$A$70,7)="2026-06")*('Slaughterhouse IQC'!$B$6:$B$70="Nahunta")*('Slaughterhouse IQC'!$F$6:$F$70="666521")*'Slaughterhouse IQC'!$I$6:$I$70)=0,"",SUMPRODUCT((LEFT('Slaughterhouse IQC'!$A$6:$A$70,7)="2026-06")*('Slaughterhouse IQC'!$B$6:$B$70="Nahunta")*('Slaughterhouse IQC'!$F$6:$F$70="666521")*'Slaughterhouse IQC'!$J$6:$J$70))</f>
      </c>
      <c r="E88" s="55" t="n">
        <f aca="false">IF(SUMPRODUCT((LEFT('Slaughterhouse IQC'!$A$6:$A$70,7)="2026-07")*('Slaughterhouse IQC'!$B$6:$B$70="Nahunta")*('Slaughterhouse IQC'!$F$6:$F$70="666521")*'Slaughterhouse IQC'!$I$6:$I$70)=0,"",SUMPRODUCT((LEFT('Slaughterhouse IQC'!$A$6:$A$70,7)="2026-07")*('Slaughterhouse IQC'!$B$6:$B$70="Nahunta")*('Slaughterhouse IQC'!$F$6:$F$70="666521")*'Slaughterhouse IQC'!$J$6:$J$70))</f>
      </c>
      <c r="F88" s="55" t="n">
        <f aca="false">IF(SUMPRODUCT((LEFT('Slaughterhouse IQC'!$A$6:$A$70,7)="2026-08")*('Slaughterhouse IQC'!$B$6:$B$70="Nahunta")*('Slaughterhouse IQC'!$F$6:$F$70="666521")*'Slaughterhouse IQC'!$I$6:$I$70)=0,"",SUMPRODUCT((LEFT('Slaughterhouse IQC'!$A$6:$A$70,7)="2026-08")*('Slaughterhouse IQC'!$B$6:$B$70="Nahunta")*('Slaughterhouse IQC'!$F$6:$F$70="666521")*'Slaughterhouse IQC'!$J$6:$J$70))</f>
      </c>
      <c r="G88" s="55" t="n">
        <f aca="false">IF(SUMPRODUCT((LEFT('Slaughterhouse IQC'!$A$6:$A$70,7)="2026-09")*('Slaughterhouse IQC'!$B$6:$B$70="Nahunta")*('Slaughterhouse IQC'!$F$6:$F$70="666521")*'Slaughterhouse IQC'!$I$6:$I$70)=0,"",SUMPRODUCT((LEFT('Slaughterhouse IQC'!$A$6:$A$70,7)="2026-09")*('Slaughterhouse IQC'!$B$6:$B$70="Nahunta")*('Slaughterhouse IQC'!$F$6:$F$70="666521")*'Slaughterhouse IQC'!$J$6:$J$70))</f>
      </c>
      <c r="H88" s="55" t="n">
        <f aca="false">SUM(B88:G88)</f>
      </c>
    </row>
    <row r="89">
      <c r="A89" s="54" t="inlineStr">
        <is>
          <t xml:space="preserve"># Fail</t>
        </is>
      </c>
      <c r="B89" s="55" t="n">
        <f aca="false">IF(SUMPRODUCT((LEFT('Slaughterhouse IQC'!$A$6:$A$70,7)="2026-04")*('Slaughterhouse IQC'!$B$6:$B$70="Nahunta")*('Slaughterhouse IQC'!$F$6:$F$70="666521")*'Slaughterhouse IQC'!$I$6:$I$70)=0,"",SUMPRODUCT((LEFT('Slaughterhouse IQC'!$A$6:$A$70,7)="2026-04")*('Slaughterhouse IQC'!$B$6:$B$70="Nahunta")*('Slaughterhouse IQC'!$F$6:$F$70="666521")*'Slaughterhouse IQC'!$K$6:$K$70))</f>
      </c>
      <c r="C89" s="55" t="n">
        <f aca="false">IF(SUMPRODUCT((LEFT('Slaughterhouse IQC'!$A$6:$A$70,7)="2026-05")*('Slaughterhouse IQC'!$B$6:$B$70="Nahunta")*('Slaughterhouse IQC'!$F$6:$F$70="666521")*'Slaughterhouse IQC'!$I$6:$I$70)=0,"",SUMPRODUCT((LEFT('Slaughterhouse IQC'!$A$6:$A$70,7)="2026-05")*('Slaughterhouse IQC'!$B$6:$B$70="Nahunta")*('Slaughterhouse IQC'!$F$6:$F$70="666521")*'Slaughterhouse IQC'!$K$6:$K$70))</f>
      </c>
      <c r="D89" s="55" t="n">
        <f aca="false">IF(SUMPRODUCT((LEFT('Slaughterhouse IQC'!$A$6:$A$70,7)="2026-06")*('Slaughterhouse IQC'!$B$6:$B$70="Nahunta")*('Slaughterhouse IQC'!$F$6:$F$70="666521")*'Slaughterhouse IQC'!$I$6:$I$70)=0,"",SUMPRODUCT((LEFT('Slaughterhouse IQC'!$A$6:$A$70,7)="2026-06")*('Slaughterhouse IQC'!$B$6:$B$70="Nahunta")*('Slaughterhouse IQC'!$F$6:$F$70="666521")*'Slaughterhouse IQC'!$K$6:$K$70))</f>
      </c>
      <c r="E89" s="55" t="n">
        <f aca="false">IF(SUMPRODUCT((LEFT('Slaughterhouse IQC'!$A$6:$A$70,7)="2026-07")*('Slaughterhouse IQC'!$B$6:$B$70="Nahunta")*('Slaughterhouse IQC'!$F$6:$F$70="666521")*'Slaughterhouse IQC'!$I$6:$I$70)=0,"",SUMPRODUCT((LEFT('Slaughterhouse IQC'!$A$6:$A$70,7)="2026-07")*('Slaughterhouse IQC'!$B$6:$B$70="Nahunta")*('Slaughterhouse IQC'!$F$6:$F$70="666521")*'Slaughterhouse IQC'!$K$6:$K$70))</f>
      </c>
      <c r="F89" s="55" t="n">
        <f aca="false">IF(SUMPRODUCT((LEFT('Slaughterhouse IQC'!$A$6:$A$70,7)="2026-08")*('Slaughterhouse IQC'!$B$6:$B$70="Nahunta")*('Slaughterhouse IQC'!$F$6:$F$70="666521")*'Slaughterhouse IQC'!$I$6:$I$70)=0,"",SUMPRODUCT((LEFT('Slaughterhouse IQC'!$A$6:$A$70,7)="2026-08")*('Slaughterhouse IQC'!$B$6:$B$70="Nahunta")*('Slaughterhouse IQC'!$F$6:$F$70="666521")*'Slaughterhouse IQC'!$K$6:$K$70))</f>
      </c>
      <c r="G89" s="55" t="n">
        <f aca="false">IF(SUMPRODUCT((LEFT('Slaughterhouse IQC'!$A$6:$A$70,7)="2026-09")*('Slaughterhouse IQC'!$B$6:$B$70="Nahunta")*('Slaughterhouse IQC'!$F$6:$F$70="666521")*'Slaughterhouse IQC'!$I$6:$I$70)=0,"",SUMPRODUCT((LEFT('Slaughterhouse IQC'!$A$6:$A$70,7)="2026-09")*('Slaughterhouse IQC'!$B$6:$B$70="Nahunta")*('Slaughterhouse IQC'!$F$6:$F$70="666521")*'Slaughterhouse IQC'!$K$6:$K$70))</f>
      </c>
      <c r="H89" s="55" t="n">
        <f aca="false">SUM(B89:G89)</f>
      </c>
    </row>
    <row r="90">
      <c r="A90" s="58" t="inlineStr">
        <is>
          <t xml:space="preserve">First-Pass Yield</t>
        </is>
      </c>
      <c r="B90" s="56" t="n">
        <f aca="false">IF(B87="","",IF(B87=0,"",B88/B87))</f>
      </c>
      <c r="C90" s="56" t="n">
        <f aca="false">IF(C87="","",IF(C87=0,"",C88/C87))</f>
      </c>
      <c r="D90" s="56" t="n">
        <f aca="false">IF(D87="","",IF(D87=0,"",D88/D87))</f>
      </c>
      <c r="E90" s="56" t="n">
        <f aca="false">IF(E87="","",IF(E87=0,"",E88/E87))</f>
      </c>
      <c r="F90" s="56" t="n">
        <f aca="false">IF(F87="","",IF(F87=0,"",F88/F87))</f>
      </c>
      <c r="G90" s="56" t="n">
        <f aca="false">IF(G87="","",IF(G87=0,"",G88/G87))</f>
      </c>
      <c r="H90" s="56" t="n">
        <f aca="false">IF(H87=0,"",H88/H87)</f>
      </c>
    </row>
    <row r="91" ht="15" customHeight="1">
      <c r="A91" s="58" t="inlineStr">
        <is>
          <t xml:space="preserve">Issues found (defect category counts)</t>
        </is>
      </c>
    </row>
    <row r="92">
      <c r="A92" s="57" t="inlineStr">
        <is>
          <t xml:space="preserve">   Lung laceration</t>
        </is>
      </c>
      <c r="E92" s="55" t="n">
        <v>11</v>
      </c>
      <c r="F92" s="55" t="n">
        <v>31</v>
      </c>
      <c r="H92" s="55" t="n">
        <v>42</v>
      </c>
    </row>
    <row r="93">
      <c r="A93" s="57" t="inlineStr">
        <is>
          <t xml:space="preserve">   Heart damage</t>
        </is>
      </c>
      <c r="E93" s="55" t="n">
        <v>2</v>
      </c>
      <c r="F93" s="55" t="n">
        <v>19</v>
      </c>
      <c r="H93" s="55" t="n">
        <v>21</v>
      </c>
    </row>
    <row r="94">
      <c r="A94" s="57" t="inlineStr">
        <is>
          <t xml:space="preserve">   Undocumented / not itemized</t>
        </is>
      </c>
      <c r="F94" s="55" t="n">
        <v>1</v>
      </c>
      <c r="H94" s="55" t="n">
        <v>1</v>
      </c>
    </row>
    <row r="95">
      <c r="A95" s="58" t="inlineStr">
        <is>
          <t xml:space="preserve">   Total issues</t>
        </is>
      </c>
      <c r="B95" s="55" t="n">
        <f aca="false">IF(SUM(B92:B94)=0,"",SUM(B92:B94))</f>
      </c>
      <c r="C95" s="55" t="n">
        <f aca="false">IF(SUM(C92:C94)=0,"",SUM(C92:C94))</f>
      </c>
      <c r="D95" s="55" t="n">
        <f aca="false">IF(SUM(D92:D94)=0,"",SUM(D92:D94))</f>
      </c>
      <c r="E95" s="55" t="n">
        <f aca="false">IF(SUM(E92:E94)=0,"",SUM(E92:E94))</f>
      </c>
      <c r="F95" s="55" t="n">
        <f aca="false">IF(SUM(F92:F94)=0,"",SUM(F92:F94))</f>
      </c>
      <c r="G95" s="55" t="n">
        <f aca="false">IF(SUM(G92:G94)=0,"",SUM(G92:G94))</f>
      </c>
      <c r="H95" s="55" t="n">
        <f aca="false">SUM(H92:H94)</f>
      </c>
    </row>
    <row r="96"/>
    <row r="97" ht="20" customHeight="1">
      <c r="A97" s="52" t="inlineStr">
        <is>
          <t xml:space="preserve">NOTES</t>
        </is>
      </c>
    </row>
    <row r="98" ht="44" customHeight="1">
      <c r="A98" s="59" t="inlineStr">
        <is>
          <t xml:space="preserve">• Defect categories normalize free-text scrap reasons; original wording stays in the Inspection Log. The former 'Other / unspecified' bucket has been eliminated — those items now carry their real reasons: Blood clots, Handling damage (cleaning), Deformed ligaments, Undocumented / not itemized. New category Sep 2026: Missing anatomy (trachea).</t>
        </is>
      </c>
    </row>
    <row r="99" ht="30" customHeight="1">
      <c r="A99" s="59" t="inlineStr">
        <is>
          <t xml:space="preserve">• Volume rows are live formulas over the Inspection Log (rows 6–70); defect-category counts are analyst-tagged (static snapshot through 09/09).</t>
        </is>
      </c>
    </row>
    <row r="100" ht="44" customHeight="1">
      <c r="A100" s="59" t="inlineStr">
        <is>
          <t xml:space="preserve">• Known caveats: Nahunta thoracic 8/12 breakdown sums to 12 vs 11 recorded fails (kept, +1). Nahunta pelvic 8/12 (13/1/12) is UNVERIFIED — no reasons recorded — and excluded from all defect counts here. Martins 666541 7/20 includes 1 undocumented reject.</t>
        </is>
      </c>
    </row>
    <row r="101" ht="44" customHeight="1">
      <c r="A101" s="59" t="inlineStr">
        <is>
          <t xml:space="preserve">• Nahunta two-stage visits (8/26, 9/9): volumes here are OUR QC inspection of harvest-passed tissue; harvest-tech rejects (9 of 18, then 17 of 19) are excluded — see the Slaughterhouse IQC tab.</t>
        </is>
      </c>
    </row>
    <row r="102" ht="30" customHeight="1">
      <c r="A102" s="59" t="inlineStr">
        <is>
          <t xml:space="preserve">• Parks runs as two part lines across the spec transition: 666518 through 07/30, 666541 from 08/10. Nahunta pelvic is a side line.</t>
        </is>
      </c>
    </row>
  </sheetData>
  <mergeCells count="22">
    <mergeCell ref="A1:H1"/>
    <mergeCell ref="A2:H2"/>
    <mergeCell ref="A4:H4"/>
    <mergeCell ref="A13:H13"/>
    <mergeCell ref="A22:H22"/>
    <mergeCell ref="A28:H28"/>
    <mergeCell ref="A37:H37"/>
    <mergeCell ref="A43:H43"/>
    <mergeCell ref="A52:H52"/>
    <mergeCell ref="A58:H58"/>
    <mergeCell ref="A66:H66"/>
    <mergeCell ref="A72:H72"/>
    <mergeCell ref="A77:H77"/>
    <mergeCell ref="A83:H83"/>
    <mergeCell ref="A85:H85"/>
    <mergeCell ref="A91:H91"/>
    <mergeCell ref="A97:H97"/>
    <mergeCell ref="A98:H98"/>
    <mergeCell ref="A99:H99"/>
    <mergeCell ref="A100:H100"/>
    <mergeCell ref="A101:H101"/>
    <mergeCell ref="A102:H102"/>
  </mergeCells>
  <conditionalFormatting sqref="B6:H9 B11:H11 B27:H27 B42:H42 B57:H57 B71:H71 B90:H90">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dimension ref="A1:J34"/>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APRIL 2026 — SH IQC Inspections</t>
        </is>
      </c>
    </row>
    <row r="2" ht="44" customHeight="1">
      <c r="A2" s="51" t="inlineStr">
        <is>
          <t xml:space="preserve">8 part-inspections across 4 harvest days at Martins. Month totals: 181 inspected / 171 pass / 10 fail — first-pass yield 94.5%.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122</v>
      </c>
      <c r="D6" s="55" t="n">
        <v>116</v>
      </c>
      <c r="E6" s="55" t="n">
        <v>6</v>
      </c>
      <c r="F6" s="56" t="n">
        <v>0.9508</v>
      </c>
      <c r="G6" s="57" t="inlineStr">
        <is>
          <t xml:space="preserve">Urethra / bladder damage (2)</t>
        </is>
      </c>
    </row>
    <row r="7">
      <c r="A7" s="54" t="inlineStr">
        <is>
          <t xml:space="preserve">Pelvic @ Martins</t>
        </is>
      </c>
      <c r="B7" s="54" t="inlineStr">
        <is>
          <t xml:space="preserve">666506</t>
        </is>
      </c>
      <c r="C7" s="55" t="n">
        <v>59</v>
      </c>
      <c r="D7" s="55" t="n">
        <v>55</v>
      </c>
      <c r="E7" s="55" t="n">
        <v>4</v>
      </c>
      <c r="F7" s="56" t="n">
        <v>0.9322</v>
      </c>
      <c r="G7" s="57" t="inlineStr">
        <is>
          <t xml:space="preserve">Bowel damage / separation (2)</t>
        </is>
      </c>
    </row>
    <row r="8"/>
    <row r="9" ht="20" customHeight="1">
      <c r="A9" s="52" t="inlineStr">
        <is>
          <t xml:space="preserve">MOST RECURRING DEFECTS — BY TISSUE × SLAUGHTERHOUSE</t>
        </is>
      </c>
    </row>
    <row r="10" ht="16" customHeight="1">
      <c r="A10" s="58" t="inlineStr">
        <is>
          <t xml:space="preserve">Pelvic @ Martins · 666541 — 6 fails of 122 inspected</t>
        </is>
      </c>
    </row>
    <row r="11">
      <c r="A11" s="53" t="inlineStr">
        <is>
          <t xml:space="preserve">Rank</t>
        </is>
      </c>
      <c r="B11" s="53" t="inlineStr">
        <is>
          <t xml:space="preserve">Defect category</t>
        </is>
      </c>
      <c r="F11" s="53" t="inlineStr">
        <is>
          <t xml:space="preserve">Count</t>
        </is>
      </c>
      <c r="G11" s="53" t="inlineStr">
        <is>
          <t xml:space="preserve">% of fails</t>
        </is>
      </c>
    </row>
    <row r="12">
      <c r="A12" s="55" t="n">
        <v>1</v>
      </c>
      <c r="B12" s="54" t="inlineStr">
        <is>
          <t xml:space="preserve">Urethra / bladder damage</t>
        </is>
      </c>
      <c r="F12" s="55" t="n">
        <v>2</v>
      </c>
      <c r="G12" s="56" t="n">
        <v>0.3333</v>
      </c>
    </row>
    <row r="13">
      <c r="A13" s="55" t="n">
        <v>2</v>
      </c>
      <c r="B13" s="54" t="inlineStr">
        <is>
          <t xml:space="preserve">Bowel damage / separation</t>
        </is>
      </c>
      <c r="F13" s="55" t="n">
        <v>2</v>
      </c>
      <c r="G13" s="56" t="n">
        <v>0.3333</v>
      </c>
    </row>
    <row r="14">
      <c r="A14" s="55" t="n">
        <v>3</v>
      </c>
      <c r="B14" s="54" t="inlineStr">
        <is>
          <t xml:space="preserve">Blood clots</t>
        </is>
      </c>
      <c r="F14" s="55" t="n">
        <v>2</v>
      </c>
      <c r="G14" s="56" t="n">
        <v>0.3333</v>
      </c>
    </row>
    <row r="15"/>
    <row r="16" ht="16" customHeight="1">
      <c r="A16" s="58" t="inlineStr">
        <is>
          <t xml:space="preserve">Pelvic @ Martins · 666506 — 4 fails of 59 inspected</t>
        </is>
      </c>
    </row>
    <row r="17">
      <c r="A17" s="53" t="inlineStr">
        <is>
          <t xml:space="preserve">Rank</t>
        </is>
      </c>
      <c r="B17" s="53" t="inlineStr">
        <is>
          <t xml:space="preserve">Defect category</t>
        </is>
      </c>
      <c r="F17" s="53" t="inlineStr">
        <is>
          <t xml:space="preserve">Count</t>
        </is>
      </c>
      <c r="G17" s="53" t="inlineStr">
        <is>
          <t xml:space="preserve">% of fails</t>
        </is>
      </c>
    </row>
    <row r="18">
      <c r="A18" s="55" t="n">
        <v>1</v>
      </c>
      <c r="B18" s="54" t="inlineStr">
        <is>
          <t xml:space="preserve">Bowel damage / separation</t>
        </is>
      </c>
      <c r="F18" s="55" t="n">
        <v>2</v>
      </c>
      <c r="G18" s="56" t="n">
        <v>0.5</v>
      </c>
    </row>
    <row r="19">
      <c r="A19" s="55" t="n">
        <v>2</v>
      </c>
      <c r="B19" s="54" t="inlineStr">
        <is>
          <t xml:space="preserve">Handling damage (cleaning)</t>
        </is>
      </c>
      <c r="F19" s="55" t="n">
        <v>2</v>
      </c>
      <c r="G19" s="56" t="n">
        <v>0.5</v>
      </c>
    </row>
    <row r="20"/>
    <row r="21" ht="20" customHeight="1">
      <c r="A21" s="52" t="inlineStr">
        <is>
          <t xml:space="preserve">ALL INSPECTIONS THIS MONTH</t>
        </is>
      </c>
    </row>
    <row r="22">
      <c r="A22" s="53" t="inlineStr">
        <is>
          <t xml:space="preserve">Harvest Date</t>
        </is>
      </c>
      <c r="B22" s="53" t="inlineStr">
        <is>
          <t xml:space="preserve">Slaughterhouse</t>
        </is>
      </c>
      <c r="C22" s="53" t="inlineStr">
        <is>
          <t xml:space="preserve">Tissue</t>
        </is>
      </c>
      <c r="D22" s="53" t="inlineStr">
        <is>
          <t xml:space="preserve">Part #</t>
        </is>
      </c>
      <c r="E22" s="53" t="inlineStr">
        <is>
          <t xml:space="preserve">Lot</t>
        </is>
      </c>
      <c r="F22" s="53" t="inlineStr">
        <is>
          <t xml:space="preserve"># Inspected</t>
        </is>
      </c>
      <c r="G22" s="53" t="inlineStr">
        <is>
          <t xml:space="preserve"># Pass</t>
        </is>
      </c>
      <c r="H22" s="53" t="inlineStr">
        <is>
          <t xml:space="preserve"># Fail</t>
        </is>
      </c>
      <c r="I22" s="53" t="inlineStr">
        <is>
          <t xml:space="preserve">FPY</t>
        </is>
      </c>
      <c r="J22" s="53" t="inlineStr">
        <is>
          <t xml:space="preserve">Scrap reason / notes</t>
        </is>
      </c>
    </row>
    <row r="23" ht="13.5" customHeight="1">
      <c r="A23" s="54" t="inlineStr">
        <is>
          <t xml:space="preserve">2026-04-13</t>
        </is>
      </c>
      <c r="B23" s="54" t="inlineStr">
        <is>
          <t xml:space="preserve">Martins</t>
        </is>
      </c>
      <c r="C23" s="54" t="inlineStr">
        <is>
          <t xml:space="preserve">Pelvic</t>
        </is>
      </c>
      <c r="D23" s="54" t="inlineStr">
        <is>
          <t xml:space="preserve">666506</t>
        </is>
      </c>
      <c r="E23" s="54" t="inlineStr">
        <is>
          <t xml:space="preserve">5502378430</t>
        </is>
      </c>
      <c r="F23" s="55" t="n">
        <v>3</v>
      </c>
      <c r="G23" s="55" t="n">
        <v>3</v>
      </c>
      <c r="H23" s="55" t="n">
        <v>0</v>
      </c>
      <c r="I23" s="56" t="n">
        <v>1.0</v>
      </c>
      <c r="J23" s="57" t="inlineStr">
        <is>
          <t xml:space="preserve">3 labels used for thin area in bowel (ran out of labels)</t>
        </is>
      </c>
    </row>
    <row r="24" ht="13.5" customHeight="1">
      <c r="A24" s="54" t="inlineStr">
        <is>
          <t xml:space="preserve">2026-04-13</t>
        </is>
      </c>
      <c r="B24" s="54" t="inlineStr">
        <is>
          <t xml:space="preserve">Martins</t>
        </is>
      </c>
      <c r="C24" s="54" t="inlineStr">
        <is>
          <t xml:space="preserve">Pelvic</t>
        </is>
      </c>
      <c r="D24" s="54" t="inlineStr">
        <is>
          <t xml:space="preserve">666541</t>
        </is>
      </c>
      <c r="E24" s="54" t="inlineStr">
        <is>
          <t xml:space="preserve">5502378434</t>
        </is>
      </c>
      <c r="F24" s="55" t="n">
        <v>48</v>
      </c>
      <c r="G24" s="55" t="n">
        <v>47</v>
      </c>
      <c r="H24" s="55" t="n">
        <v>1</v>
      </c>
      <c r="I24" s="56" t="n">
        <v>0.9792</v>
      </c>
      <c r="J24" s="57" t="inlineStr">
        <is>
          <t xml:space="preserve">1 hole in bowel; 1 label marked for thin area in bowel</t>
        </is>
      </c>
    </row>
    <row r="25" ht="13.5" customHeight="1">
      <c r="A25" s="54" t="inlineStr">
        <is>
          <t xml:space="preserve">2026-04-15</t>
        </is>
      </c>
      <c r="B25" s="54" t="inlineStr">
        <is>
          <t xml:space="preserve">Martins</t>
        </is>
      </c>
      <c r="C25" s="54" t="inlineStr">
        <is>
          <t xml:space="preserve">Pelvic</t>
        </is>
      </c>
      <c r="D25" s="54" t="inlineStr">
        <is>
          <t xml:space="preserve">666506</t>
        </is>
      </c>
      <c r="E25" s="54" t="inlineStr">
        <is>
          <t xml:space="preserve">5502378430</t>
        </is>
      </c>
      <c r="F25" s="55" t="n">
        <v>4</v>
      </c>
      <c r="G25" s="55" t="n">
        <v>4</v>
      </c>
      <c r="H25" s="55" t="n">
        <v>0</v>
      </c>
      <c r="I25" s="56" t="n">
        <v>1.0</v>
      </c>
      <c r="J25" s="57" t="inlineStr">
        <is>
          <t xml:space="preserve"/>
        </is>
      </c>
    </row>
    <row r="26" ht="27.0" customHeight="1">
      <c r="A26" s="54" t="inlineStr">
        <is>
          <t xml:space="preserve">2026-04-15</t>
        </is>
      </c>
      <c r="B26" s="54" t="inlineStr">
        <is>
          <t xml:space="preserve">Martins</t>
        </is>
      </c>
      <c r="C26" s="54" t="inlineStr">
        <is>
          <t xml:space="preserve">Pelvic</t>
        </is>
      </c>
      <c r="D26" s="54" t="inlineStr">
        <is>
          <t xml:space="preserve">666541</t>
        </is>
      </c>
      <c r="E26" s="54" t="inlineStr">
        <is>
          <t xml:space="preserve">5502378434</t>
        </is>
      </c>
      <c r="F26" s="55" t="n">
        <v>17</v>
      </c>
      <c r="G26" s="55" t="n">
        <v>13</v>
      </c>
      <c r="H26" s="55" t="n">
        <v>4</v>
      </c>
      <c r="I26" s="56" t="n">
        <v>0.7647</v>
      </c>
      <c r="J26" s="57" t="inlineStr">
        <is>
          <t xml:space="preserve">2 blood clots (moved to non-intact); 2 scrapped for cut in urethra</t>
        </is>
      </c>
    </row>
    <row r="27" ht="13.5" customHeight="1">
      <c r="A27" s="54" t="inlineStr">
        <is>
          <t xml:space="preserve">2026-04-20</t>
        </is>
      </c>
      <c r="B27" s="54" t="inlineStr">
        <is>
          <t xml:space="preserve">Martins</t>
        </is>
      </c>
      <c r="C27" s="54" t="inlineStr">
        <is>
          <t xml:space="preserve">Pelvic</t>
        </is>
      </c>
      <c r="D27" s="54" t="inlineStr">
        <is>
          <t xml:space="preserve">666506</t>
        </is>
      </c>
      <c r="E27" s="54" t="inlineStr">
        <is>
          <t xml:space="preserve">5502391858</t>
        </is>
      </c>
      <c r="F27" s="55" t="n">
        <v>31</v>
      </c>
      <c r="G27" s="55" t="n">
        <v>29</v>
      </c>
      <c r="H27" s="55" t="n">
        <v>2</v>
      </c>
      <c r="I27" s="56" t="n">
        <v>0.9355</v>
      </c>
      <c r="J27" s="57" t="inlineStr">
        <is>
          <t xml:space="preserve">2 damaged after cleaning</t>
        </is>
      </c>
    </row>
    <row r="28" ht="27.0" customHeight="1">
      <c r="A28" s="54" t="inlineStr">
        <is>
          <t xml:space="preserve">2026-04-20</t>
        </is>
      </c>
      <c r="B28" s="54" t="inlineStr">
        <is>
          <t xml:space="preserve">Martins</t>
        </is>
      </c>
      <c r="C28" s="54" t="inlineStr">
        <is>
          <t xml:space="preserve">Pelvic</t>
        </is>
      </c>
      <c r="D28" s="54" t="inlineStr">
        <is>
          <t xml:space="preserve">666541</t>
        </is>
      </c>
      <c r="E28" s="54" t="inlineStr">
        <is>
          <t xml:space="preserve">5502391862</t>
        </is>
      </c>
      <c r="F28" s="55" t="n">
        <v>0</v>
      </c>
      <c r="G28" s="55" t="n">
        <v>0</v>
      </c>
      <c r="H28" s="55" t="n">
        <v>0</v>
      </c>
      <c r="I28" s="56" t="n">
        <v>0</v>
      </c>
      <c r="J28" s="57" t="inlineStr">
        <is>
          <t xml:space="preserve">Ran out of time (bagging set for later; SH tech start time changed to 8:00–4:30 PM)</t>
        </is>
      </c>
    </row>
    <row r="29" ht="13.5" customHeight="1">
      <c r="A29" s="54" t="inlineStr">
        <is>
          <t xml:space="preserve">2026-04-22</t>
        </is>
      </c>
      <c r="B29" s="54" t="inlineStr">
        <is>
          <t xml:space="preserve">Martins</t>
        </is>
      </c>
      <c r="C29" s="54" t="inlineStr">
        <is>
          <t xml:space="preserve">Pelvic</t>
        </is>
      </c>
      <c r="D29" s="54" t="inlineStr">
        <is>
          <t xml:space="preserve">666506</t>
        </is>
      </c>
      <c r="E29" s="54" t="inlineStr">
        <is>
          <t xml:space="preserve">5502391858</t>
        </is>
      </c>
      <c r="F29" s="55" t="n">
        <v>21</v>
      </c>
      <c r="G29" s="55" t="n">
        <v>19</v>
      </c>
      <c r="H29" s="55" t="n">
        <v>2</v>
      </c>
      <c r="I29" s="56" t="n">
        <v>0.9048</v>
      </c>
      <c r="J29" s="57" t="inlineStr">
        <is>
          <t xml:space="preserve">2 damaged bowel</t>
        </is>
      </c>
    </row>
    <row r="30" ht="13.5" customHeight="1">
      <c r="A30" s="54" t="inlineStr">
        <is>
          <t xml:space="preserve">2026-04-22</t>
        </is>
      </c>
      <c r="B30" s="54" t="inlineStr">
        <is>
          <t xml:space="preserve">Martins</t>
        </is>
      </c>
      <c r="C30" s="54" t="inlineStr">
        <is>
          <t xml:space="preserve">Pelvic</t>
        </is>
      </c>
      <c r="D30" s="54" t="inlineStr">
        <is>
          <t xml:space="preserve">666541</t>
        </is>
      </c>
      <c r="E30" s="54" t="inlineStr">
        <is>
          <t xml:space="preserve">5502391862</t>
        </is>
      </c>
      <c r="F30" s="55" t="n">
        <v>57</v>
      </c>
      <c r="G30" s="55" t="n">
        <v>56</v>
      </c>
      <c r="H30" s="55" t="n">
        <v>1</v>
      </c>
      <c r="I30" s="56" t="n">
        <v>0.9825</v>
      </c>
      <c r="J30" s="57" t="inlineStr">
        <is>
          <t xml:space="preserve">1 damaged bowel</t>
        </is>
      </c>
    </row>
    <row r="31"/>
    <row r="32" ht="16.5" customHeight="1">
      <c r="A32" s="45" t="inlineStr">
        <is>
          <t xml:space="preserve">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A1:J1"/>
    <mergeCell ref="A2:J2"/>
    <mergeCell ref="A4:J4"/>
    <mergeCell ref="G5:J5"/>
    <mergeCell ref="G6:J6"/>
    <mergeCell ref="G7:J7"/>
    <mergeCell ref="A9:J9"/>
    <mergeCell ref="A10:J10"/>
    <mergeCell ref="B11:E11"/>
    <mergeCell ref="B12:E12"/>
    <mergeCell ref="B13:E13"/>
    <mergeCell ref="B14:E14"/>
    <mergeCell ref="A16:J16"/>
    <mergeCell ref="B17:E17"/>
    <mergeCell ref="B18:E18"/>
    <mergeCell ref="B19:E19"/>
    <mergeCell ref="A21:J21"/>
    <mergeCell ref="A32:J32"/>
    <mergeCell ref="A33:J33"/>
    <mergeCell ref="A34:J34"/>
  </mergeCells>
  <conditionalFormatting sqref="F6:F6 F7: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dimension ref="A1:J45"/>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MAY 2026 — SH IQC Inspections</t>
        </is>
      </c>
    </row>
    <row r="2" ht="44" customHeight="1">
      <c r="A2" s="51" t="inlineStr">
        <is>
          <t xml:space="preserve">10 part-inspections across 6 harvest days at Martins, Parks. Month totals: 328 inspected / 304 pass / 24 fail — first-pass yield 92.7%.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194</v>
      </c>
      <c r="D6" s="55" t="n">
        <v>181</v>
      </c>
      <c r="E6" s="55" t="n">
        <v>13</v>
      </c>
      <c r="F6" s="56" t="n">
        <v>0.933</v>
      </c>
      <c r="G6" s="57" t="inlineStr">
        <is>
          <t xml:space="preserve">Urethra / bladder damage (9)</t>
        </is>
      </c>
    </row>
    <row r="7">
      <c r="A7" s="54" t="inlineStr">
        <is>
          <t xml:space="preserve">Pelvic @ Martins</t>
        </is>
      </c>
      <c r="B7" s="54" t="inlineStr">
        <is>
          <t xml:space="preserve">666506</t>
        </is>
      </c>
      <c r="C7" s="55" t="n">
        <v>118</v>
      </c>
      <c r="D7" s="55" t="n">
        <v>112</v>
      </c>
      <c r="E7" s="55" t="n">
        <v>6</v>
      </c>
      <c r="F7" s="56" t="n">
        <v>0.9492</v>
      </c>
      <c r="G7" s="57" t="inlineStr">
        <is>
          <t xml:space="preserve">Urethra / bladder damage (4)</t>
        </is>
      </c>
    </row>
    <row r="8">
      <c r="A8" s="54" t="inlineStr">
        <is>
          <t xml:space="preserve">Pelvic @ Parks</t>
        </is>
      </c>
      <c r="B8" s="54" t="inlineStr">
        <is>
          <t xml:space="preserve">666518</t>
        </is>
      </c>
      <c r="C8" s="55" t="n">
        <v>16</v>
      </c>
      <c r="D8" s="55" t="n">
        <v>11</v>
      </c>
      <c r="E8" s="55" t="n">
        <v>5</v>
      </c>
      <c r="F8" s="56" t="n">
        <v>0.6875</v>
      </c>
      <c r="G8" s="57" t="inlineStr">
        <is>
          <t xml:space="preserve">Short block / mesentery length (4)</t>
        </is>
      </c>
    </row>
    <row r="9"/>
    <row r="10" ht="20" customHeight="1">
      <c r="A10" s="52" t="inlineStr">
        <is>
          <t xml:space="preserve">MOST RECURRING DEFECTS — BY TISSUE × SLAUGHTERHOUSE</t>
        </is>
      </c>
    </row>
    <row r="11" ht="16" customHeight="1">
      <c r="A11" s="58" t="inlineStr">
        <is>
          <t xml:space="preserve">Pelvic @ Martins · 666541 — 13 fails of 194 inspected</t>
        </is>
      </c>
    </row>
    <row r="12">
      <c r="A12" s="53" t="inlineStr">
        <is>
          <t xml:space="preserve">Rank</t>
        </is>
      </c>
      <c r="B12" s="53" t="inlineStr">
        <is>
          <t xml:space="preserve">Defect category</t>
        </is>
      </c>
      <c r="F12" s="53" t="inlineStr">
        <is>
          <t xml:space="preserve">Count</t>
        </is>
      </c>
      <c r="G12" s="53" t="inlineStr">
        <is>
          <t xml:space="preserve">% of fails</t>
        </is>
      </c>
    </row>
    <row r="13">
      <c r="A13" s="55" t="n">
        <v>1</v>
      </c>
      <c r="B13" s="54" t="inlineStr">
        <is>
          <t xml:space="preserve">Urethra / bladder damage</t>
        </is>
      </c>
      <c r="F13" s="55" t="n">
        <v>9</v>
      </c>
      <c r="G13" s="56" t="n">
        <v>0.6923</v>
      </c>
    </row>
    <row r="14">
      <c r="A14" s="55" t="n">
        <v>2</v>
      </c>
      <c r="B14" s="54" t="inlineStr">
        <is>
          <t xml:space="preserve">Membrane damage</t>
        </is>
      </c>
      <c r="F14" s="55" t="n">
        <v>2</v>
      </c>
      <c r="G14" s="56" t="n">
        <v>0.1538</v>
      </c>
    </row>
    <row r="15">
      <c r="A15" s="55" t="n">
        <v>3</v>
      </c>
      <c r="B15" s="54" t="inlineStr">
        <is>
          <t xml:space="preserve">Bowel damage / separation</t>
        </is>
      </c>
      <c r="F15" s="55" t="n">
        <v>1</v>
      </c>
      <c r="G15" s="56" t="n">
        <v>0.0769</v>
      </c>
    </row>
    <row r="16">
      <c r="A16" s="55" t="n">
        <v>4</v>
      </c>
      <c r="B16" s="54" t="inlineStr">
        <is>
          <t xml:space="preserve">Short block / mesentery length</t>
        </is>
      </c>
      <c r="F16" s="55" t="n">
        <v>1</v>
      </c>
      <c r="G16" s="56" t="n">
        <v>0.0769</v>
      </c>
    </row>
    <row r="17"/>
    <row r="18" ht="16" customHeight="1">
      <c r="A18" s="58" t="inlineStr">
        <is>
          <t xml:space="preserve">Pelvic @ Martins · 666506 — 6 fails of 118 inspected</t>
        </is>
      </c>
    </row>
    <row r="19">
      <c r="A19" s="53" t="inlineStr">
        <is>
          <t xml:space="preserve">Rank</t>
        </is>
      </c>
      <c r="B19" s="53" t="inlineStr">
        <is>
          <t xml:space="preserve">Defect category</t>
        </is>
      </c>
      <c r="F19" s="53" t="inlineStr">
        <is>
          <t xml:space="preserve">Count</t>
        </is>
      </c>
      <c r="G19" s="53" t="inlineStr">
        <is>
          <t xml:space="preserve">% of fails</t>
        </is>
      </c>
    </row>
    <row r="20">
      <c r="A20" s="55" t="n">
        <v>1</v>
      </c>
      <c r="B20" s="54" t="inlineStr">
        <is>
          <t xml:space="preserve">Urethra / bladder damage</t>
        </is>
      </c>
      <c r="F20" s="55" t="n">
        <v>4</v>
      </c>
      <c r="G20" s="56" t="n">
        <v>0.6667</v>
      </c>
    </row>
    <row r="21">
      <c r="A21" s="55" t="n">
        <v>2</v>
      </c>
      <c r="B21" s="54" t="inlineStr">
        <is>
          <t xml:space="preserve">Membrane damage</t>
        </is>
      </c>
      <c r="F21" s="55" t="n">
        <v>1</v>
      </c>
      <c r="G21" s="56" t="n">
        <v>0.1667</v>
      </c>
    </row>
    <row r="22">
      <c r="A22" s="55" t="n">
        <v>3</v>
      </c>
      <c r="B22" s="54" t="inlineStr">
        <is>
          <t xml:space="preserve">Deformed ligaments</t>
        </is>
      </c>
      <c r="F22" s="55" t="n">
        <v>1</v>
      </c>
      <c r="G22" s="56" t="n">
        <v>0.1667</v>
      </c>
    </row>
    <row r="23"/>
    <row r="24" ht="16" customHeight="1">
      <c r="A24" s="58" t="inlineStr">
        <is>
          <t xml:space="preserve">Pelvic @ Parks · 666518 — 5 fails of 16 inspected</t>
        </is>
      </c>
    </row>
    <row r="25">
      <c r="A25" s="53" t="inlineStr">
        <is>
          <t xml:space="preserve">Rank</t>
        </is>
      </c>
      <c r="B25" s="53" t="inlineStr">
        <is>
          <t xml:space="preserve">Defect category</t>
        </is>
      </c>
      <c r="F25" s="53" t="inlineStr">
        <is>
          <t xml:space="preserve">Count</t>
        </is>
      </c>
      <c r="G25" s="53" t="inlineStr">
        <is>
          <t xml:space="preserve">% of fails</t>
        </is>
      </c>
    </row>
    <row r="26">
      <c r="A26" s="55" t="n">
        <v>1</v>
      </c>
      <c r="B26" s="54" t="inlineStr">
        <is>
          <t xml:space="preserve">Short block / mesentery length</t>
        </is>
      </c>
      <c r="F26" s="55" t="n">
        <v>4</v>
      </c>
      <c r="G26" s="56" t="n">
        <v>0.8</v>
      </c>
    </row>
    <row r="27">
      <c r="A27" s="55" t="n">
        <v>2</v>
      </c>
      <c r="B27" s="54" t="inlineStr">
        <is>
          <t xml:space="preserve">Urethra / bladder damage</t>
        </is>
      </c>
      <c r="F27" s="55" t="n">
        <v>1</v>
      </c>
      <c r="G27" s="56" t="n">
        <v>0.2</v>
      </c>
    </row>
    <row r="28"/>
    <row r="29" ht="20" customHeight="1">
      <c r="A29" s="52" t="inlineStr">
        <is>
          <t xml:space="preserve">ALL INSPECTIONS THIS MONTH</t>
        </is>
      </c>
    </row>
    <row r="30">
      <c r="A30" s="53" t="inlineStr">
        <is>
          <t xml:space="preserve">Harvest Date</t>
        </is>
      </c>
      <c r="B30" s="53" t="inlineStr">
        <is>
          <t xml:space="preserve">Slaughterhouse</t>
        </is>
      </c>
      <c r="C30" s="53" t="inlineStr">
        <is>
          <t xml:space="preserve">Tissue</t>
        </is>
      </c>
      <c r="D30" s="53" t="inlineStr">
        <is>
          <t xml:space="preserve">Part #</t>
        </is>
      </c>
      <c r="E30" s="53" t="inlineStr">
        <is>
          <t xml:space="preserve">Lot</t>
        </is>
      </c>
      <c r="F30" s="53" t="inlineStr">
        <is>
          <t xml:space="preserve"># Inspected</t>
        </is>
      </c>
      <c r="G30" s="53" t="inlineStr">
        <is>
          <t xml:space="preserve"># Pass</t>
        </is>
      </c>
      <c r="H30" s="53" t="inlineStr">
        <is>
          <t xml:space="preserve"># Fail</t>
        </is>
      </c>
      <c r="I30" s="53" t="inlineStr">
        <is>
          <t xml:space="preserve">FPY</t>
        </is>
      </c>
      <c r="J30" s="53" t="inlineStr">
        <is>
          <t xml:space="preserve">Scrap reason / notes</t>
        </is>
      </c>
    </row>
    <row r="31" ht="13.5" customHeight="1">
      <c r="A31" s="54" t="inlineStr">
        <is>
          <t xml:space="preserve">2026-05-04</t>
        </is>
      </c>
      <c r="B31" s="54" t="inlineStr">
        <is>
          <t xml:space="preserve">Martins</t>
        </is>
      </c>
      <c r="C31" s="54" t="inlineStr">
        <is>
          <t xml:space="preserve">Pelvic</t>
        </is>
      </c>
      <c r="D31" s="54" t="inlineStr">
        <is>
          <t xml:space="preserve">666506</t>
        </is>
      </c>
      <c r="E31" s="54" t="inlineStr">
        <is>
          <t xml:space="preserve">5502404924</t>
        </is>
      </c>
      <c r="F31" s="55" t="n">
        <v>16</v>
      </c>
      <c r="G31" s="55" t="n">
        <v>13</v>
      </c>
      <c r="H31" s="55" t="n">
        <v>3</v>
      </c>
      <c r="I31" s="56" t="n">
        <v>0.8125</v>
      </c>
      <c r="J31" s="57" t="inlineStr">
        <is>
          <t xml:space="preserve">3 damaged urethra</t>
        </is>
      </c>
    </row>
    <row r="32" ht="13.5" customHeight="1">
      <c r="A32" s="54" t="inlineStr">
        <is>
          <t xml:space="preserve">2026-05-04</t>
        </is>
      </c>
      <c r="B32" s="54" t="inlineStr">
        <is>
          <t xml:space="preserve">Martins</t>
        </is>
      </c>
      <c r="C32" s="54" t="inlineStr">
        <is>
          <t xml:space="preserve">Pelvic</t>
        </is>
      </c>
      <c r="D32" s="54" t="inlineStr">
        <is>
          <t xml:space="preserve">666541</t>
        </is>
      </c>
      <c r="E32" s="54" t="inlineStr">
        <is>
          <t xml:space="preserve">5502404928</t>
        </is>
      </c>
      <c r="F32" s="55" t="n">
        <v>37</v>
      </c>
      <c r="G32" s="55" t="n">
        <v>36</v>
      </c>
      <c r="H32" s="55" t="n">
        <v>1</v>
      </c>
      <c r="I32" s="56" t="n">
        <v>0.973</v>
      </c>
      <c r="J32" s="57" t="inlineStr">
        <is>
          <t xml:space="preserve">1 damaged urethra</t>
        </is>
      </c>
    </row>
    <row r="33" ht="13.5" customHeight="1">
      <c r="A33" s="54" t="inlineStr">
        <is>
          <t xml:space="preserve">2026-05-06</t>
        </is>
      </c>
      <c r="B33" s="54" t="inlineStr">
        <is>
          <t xml:space="preserve">Martins</t>
        </is>
      </c>
      <c r="C33" s="54" t="inlineStr">
        <is>
          <t xml:space="preserve">Pelvic</t>
        </is>
      </c>
      <c r="D33" s="54" t="inlineStr">
        <is>
          <t xml:space="preserve">666506</t>
        </is>
      </c>
      <c r="E33" s="54" t="inlineStr">
        <is>
          <t xml:space="preserve">5502404924</t>
        </is>
      </c>
      <c r="F33" s="55" t="n">
        <v>29</v>
      </c>
      <c r="G33" s="55" t="n">
        <v>28</v>
      </c>
      <c r="H33" s="55" t="n">
        <v>1</v>
      </c>
      <c r="I33" s="56" t="n">
        <v>0.9655</v>
      </c>
      <c r="J33" s="57" t="inlineStr">
        <is>
          <t xml:space="preserve">1 small bladder</t>
        </is>
      </c>
    </row>
    <row r="34" ht="13.5" customHeight="1">
      <c r="A34" s="54" t="inlineStr">
        <is>
          <t xml:space="preserve">2026-05-06</t>
        </is>
      </c>
      <c r="B34" s="54" t="inlineStr">
        <is>
          <t xml:space="preserve">Martins</t>
        </is>
      </c>
      <c r="C34" s="54" t="inlineStr">
        <is>
          <t xml:space="preserve">Pelvic</t>
        </is>
      </c>
      <c r="D34" s="54" t="inlineStr">
        <is>
          <t xml:space="preserve">666541</t>
        </is>
      </c>
      <c r="E34" s="54" t="inlineStr">
        <is>
          <t xml:space="preserve">5502404928</t>
        </is>
      </c>
      <c r="F34" s="55" t="n">
        <v>25</v>
      </c>
      <c r="G34" s="55" t="n">
        <v>22</v>
      </c>
      <c r="H34" s="55" t="n">
        <v>3</v>
      </c>
      <c r="I34" s="56" t="n">
        <v>0.88</v>
      </c>
      <c r="J34" s="57" t="inlineStr">
        <is>
          <t xml:space="preserve">3 damaged urethra</t>
        </is>
      </c>
    </row>
    <row r="35" ht="13.5" customHeight="1">
      <c r="A35" s="54" t="inlineStr">
        <is>
          <t xml:space="preserve">2026-05-18</t>
        </is>
      </c>
      <c r="B35" s="54" t="inlineStr">
        <is>
          <t xml:space="preserve">Martins</t>
        </is>
      </c>
      <c r="C35" s="54" t="inlineStr">
        <is>
          <t xml:space="preserve">Pelvic</t>
        </is>
      </c>
      <c r="D35" s="54" t="inlineStr">
        <is>
          <t xml:space="preserve">666506</t>
        </is>
      </c>
      <c r="E35" s="54" t="inlineStr">
        <is>
          <t xml:space="preserve">5502421188</t>
        </is>
      </c>
      <c r="F35" s="55" t="n">
        <v>43</v>
      </c>
      <c r="G35" s="55" t="n">
        <v>42</v>
      </c>
      <c r="H35" s="55" t="n">
        <v>1</v>
      </c>
      <c r="I35" s="56" t="n">
        <v>0.9767</v>
      </c>
      <c r="J35" s="57" t="inlineStr">
        <is>
          <t xml:space="preserve">1 deformed ligaments clumped together</t>
        </is>
      </c>
    </row>
    <row r="36" ht="13.5" customHeight="1">
      <c r="A36" s="54" t="inlineStr">
        <is>
          <t xml:space="preserve">2026-05-18</t>
        </is>
      </c>
      <c r="B36" s="54" t="inlineStr">
        <is>
          <t xml:space="preserve">Martins</t>
        </is>
      </c>
      <c r="C36" s="54" t="inlineStr">
        <is>
          <t xml:space="preserve">Pelvic</t>
        </is>
      </c>
      <c r="D36" s="54" t="inlineStr">
        <is>
          <t xml:space="preserve">666541</t>
        </is>
      </c>
      <c r="E36" s="54" t="inlineStr">
        <is>
          <t xml:space="preserve">5502421192</t>
        </is>
      </c>
      <c r="F36" s="55" t="n">
        <v>62</v>
      </c>
      <c r="G36" s="55" t="n">
        <v>58</v>
      </c>
      <c r="H36" s="55" t="n">
        <v>4</v>
      </c>
      <c r="I36" s="56" t="n">
        <v>0.9355</v>
      </c>
      <c r="J36" s="57" t="inlineStr">
        <is>
          <t xml:space="preserve">3 cut urethra; 1 short block</t>
        </is>
      </c>
    </row>
    <row r="37" ht="13.5" customHeight="1">
      <c r="A37" s="54" t="inlineStr">
        <is>
          <t xml:space="preserve">2026-05-21</t>
        </is>
      </c>
      <c r="B37" s="54" t="inlineStr">
        <is>
          <t xml:space="preserve">Martins</t>
        </is>
      </c>
      <c r="C37" s="54" t="inlineStr">
        <is>
          <t xml:space="preserve">Pelvic</t>
        </is>
      </c>
      <c r="D37" s="54" t="inlineStr">
        <is>
          <t xml:space="preserve">666506</t>
        </is>
      </c>
      <c r="E37" s="54" t="inlineStr">
        <is>
          <t xml:space="preserve">5502421188</t>
        </is>
      </c>
      <c r="F37" s="55" t="n">
        <v>30</v>
      </c>
      <c r="G37" s="55" t="n">
        <v>29</v>
      </c>
      <c r="H37" s="55" t="n">
        <v>1</v>
      </c>
      <c r="I37" s="56" t="n">
        <v>0.9667</v>
      </c>
      <c r="J37" s="57" t="inlineStr">
        <is>
          <t xml:space="preserve">1 damaged membrane and ureter</t>
        </is>
      </c>
    </row>
    <row r="38" ht="13.5" customHeight="1">
      <c r="A38" s="54" t="inlineStr">
        <is>
          <t xml:space="preserve">2026-05-21</t>
        </is>
      </c>
      <c r="B38" s="54" t="inlineStr">
        <is>
          <t xml:space="preserve">Martins</t>
        </is>
      </c>
      <c r="C38" s="54" t="inlineStr">
        <is>
          <t xml:space="preserve">Pelvic</t>
        </is>
      </c>
      <c r="D38" s="54" t="inlineStr">
        <is>
          <t xml:space="preserve">666541</t>
        </is>
      </c>
      <c r="E38" s="54" t="inlineStr">
        <is>
          <t xml:space="preserve">5502421192</t>
        </is>
      </c>
      <c r="F38" s="55" t="n">
        <v>31</v>
      </c>
      <c r="G38" s="55" t="n">
        <v>29</v>
      </c>
      <c r="H38" s="55" t="n">
        <v>2</v>
      </c>
      <c r="I38" s="56" t="n">
        <v>0.9355</v>
      </c>
      <c r="J38" s="57" t="inlineStr">
        <is>
          <t xml:space="preserve">2 cut urethra</t>
        </is>
      </c>
    </row>
    <row r="39" ht="13.5" customHeight="1">
      <c r="A39" s="54" t="inlineStr">
        <is>
          <t xml:space="preserve">2026-05-27</t>
        </is>
      </c>
      <c r="B39" s="54" t="inlineStr">
        <is>
          <t xml:space="preserve">Martins</t>
        </is>
      </c>
      <c r="C39" s="54" t="inlineStr">
        <is>
          <t xml:space="preserve">Pelvic</t>
        </is>
      </c>
      <c r="D39" s="54" t="inlineStr">
        <is>
          <t xml:space="preserve">666541</t>
        </is>
      </c>
      <c r="E39" s="54" t="inlineStr">
        <is>
          <t xml:space="preserve">5502421192</t>
        </is>
      </c>
      <c r="F39" s="55" t="n">
        <v>39</v>
      </c>
      <c r="G39" s="55" t="n">
        <v>36</v>
      </c>
      <c r="H39" s="55" t="n">
        <v>3</v>
      </c>
      <c r="I39" s="56" t="n">
        <v>0.9231</v>
      </c>
      <c r="J39" s="57" t="inlineStr">
        <is>
          <t xml:space="preserve">1 hole in bowel; 2 membrane damage &gt;0.5"</t>
        </is>
      </c>
    </row>
    <row r="40" ht="27.0" customHeight="1">
      <c r="A40" s="54" t="inlineStr">
        <is>
          <t xml:space="preserve">2026-05-28</t>
        </is>
      </c>
      <c r="B40" s="54" t="inlineStr">
        <is>
          <t xml:space="preserve">Parks</t>
        </is>
      </c>
      <c r="C40" s="54" t="inlineStr">
        <is>
          <t xml:space="preserve">Pelvic</t>
        </is>
      </c>
      <c r="D40" s="54" t="inlineStr">
        <is>
          <t xml:space="preserve">666518</t>
        </is>
      </c>
      <c r="E40" s="54" t="inlineStr">
        <is>
          <t xml:space="preserve">(no batch data)</t>
        </is>
      </c>
      <c r="F40" s="55" t="n">
        <v>16</v>
      </c>
      <c r="G40" s="55" t="n">
        <v>11</v>
      </c>
      <c r="H40" s="55" t="n">
        <v>5</v>
      </c>
      <c r="I40" s="56" t="n">
        <v>0.6875</v>
      </c>
      <c r="J40" s="57" t="inlineStr">
        <is>
          <t xml:space="preserve">4 mesentery length too short in critical zone; 1 bladder damage (internals exposed)</t>
        </is>
      </c>
    </row>
    <row r="41"/>
    <row r="42" ht="16.5" customHeight="1">
      <c r="A42" s="45" t="inlineStr">
        <is>
          <t xml:space="preserve">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A1:J1"/>
    <mergeCell ref="A2:J2"/>
    <mergeCell ref="A4:J4"/>
    <mergeCell ref="G5:J5"/>
    <mergeCell ref="G6:J6"/>
    <mergeCell ref="G7:J7"/>
    <mergeCell ref="G8:J8"/>
    <mergeCell ref="A10:J10"/>
    <mergeCell ref="A11:J11"/>
    <mergeCell ref="B12:E12"/>
    <mergeCell ref="B13:E13"/>
    <mergeCell ref="B14:E14"/>
    <mergeCell ref="B15:E15"/>
    <mergeCell ref="B16:E16"/>
    <mergeCell ref="A18:J18"/>
    <mergeCell ref="B19:E19"/>
    <mergeCell ref="B20:E20"/>
    <mergeCell ref="B21:E21"/>
    <mergeCell ref="B22:E22"/>
    <mergeCell ref="A24:J24"/>
    <mergeCell ref="B25:E25"/>
    <mergeCell ref="B26:E26"/>
    <mergeCell ref="B27:E27"/>
    <mergeCell ref="A29:J29"/>
    <mergeCell ref="A42:J42"/>
    <mergeCell ref="A43:J43"/>
    <mergeCell ref="A44:J44"/>
    <mergeCell ref="A45:J45"/>
  </mergeCells>
  <conditionalFormatting sqref="F6:F6 F7:F7 F8: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dimension ref="A1:J50"/>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JUNE 2026 — SH IQC Inspections</t>
        </is>
      </c>
    </row>
    <row r="2" ht="44" customHeight="1">
      <c r="A2" s="51" t="inlineStr">
        <is>
          <t xml:space="preserve">15 part-inspections across 10 harvest days at Martins, Parks. Month totals: 333 inspected / 302 pass / 31 fail — first-pass yield 90.7%.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152</v>
      </c>
      <c r="D6" s="55" t="n">
        <v>144</v>
      </c>
      <c r="E6" s="55" t="n">
        <v>8</v>
      </c>
      <c r="F6" s="56" t="n">
        <v>0.9474</v>
      </c>
      <c r="G6" s="57" t="inlineStr">
        <is>
          <t xml:space="preserve">Urethra / bladder damage (4)</t>
        </is>
      </c>
    </row>
    <row r="7">
      <c r="A7" s="54" t="inlineStr">
        <is>
          <t xml:space="preserve">Pelvic @ Martins</t>
        </is>
      </c>
      <c r="B7" s="54" t="inlineStr">
        <is>
          <t xml:space="preserve">666506</t>
        </is>
      </c>
      <c r="C7" s="55" t="n">
        <v>53</v>
      </c>
      <c r="D7" s="55" t="n">
        <v>52</v>
      </c>
      <c r="E7" s="55" t="n">
        <v>1</v>
      </c>
      <c r="F7" s="56" t="n">
        <v>0.9811</v>
      </c>
      <c r="G7" s="57" t="inlineStr">
        <is>
          <t xml:space="preserve">Short block / mesentery length (1)</t>
        </is>
      </c>
    </row>
    <row r="8">
      <c r="A8" s="54" t="inlineStr">
        <is>
          <t xml:space="preserve">Pelvic @ Parks</t>
        </is>
      </c>
      <c r="B8" s="54" t="inlineStr">
        <is>
          <t xml:space="preserve">666518</t>
        </is>
      </c>
      <c r="C8" s="55" t="n">
        <v>128</v>
      </c>
      <c r="D8" s="55" t="n">
        <v>106</v>
      </c>
      <c r="E8" s="55" t="n">
        <v>22</v>
      </c>
      <c r="F8" s="56" t="n">
        <v>0.8281</v>
      </c>
      <c r="G8" s="57" t="inlineStr">
        <is>
          <t xml:space="preserve">Urethra / bladder damage (10)</t>
        </is>
      </c>
    </row>
    <row r="9"/>
    <row r="10" ht="20" customHeight="1">
      <c r="A10" s="52" t="inlineStr">
        <is>
          <t xml:space="preserve">MOST RECURRING DEFECTS — BY TISSUE × SLAUGHTERHOUSE</t>
        </is>
      </c>
    </row>
    <row r="11" ht="16" customHeight="1">
      <c r="A11" s="58" t="inlineStr">
        <is>
          <t xml:space="preserve">Pelvic @ Martins · 666541 — 8 fails of 152 inspected</t>
        </is>
      </c>
    </row>
    <row r="12">
      <c r="A12" s="53" t="inlineStr">
        <is>
          <t xml:space="preserve">Rank</t>
        </is>
      </c>
      <c r="B12" s="53" t="inlineStr">
        <is>
          <t xml:space="preserve">Defect category</t>
        </is>
      </c>
      <c r="F12" s="53" t="inlineStr">
        <is>
          <t xml:space="preserve">Count</t>
        </is>
      </c>
      <c r="G12" s="53" t="inlineStr">
        <is>
          <t xml:space="preserve">% of fails</t>
        </is>
      </c>
    </row>
    <row r="13">
      <c r="A13" s="55" t="n">
        <v>1</v>
      </c>
      <c r="B13" s="54" t="inlineStr">
        <is>
          <t xml:space="preserve">Urethra / bladder damage</t>
        </is>
      </c>
      <c r="F13" s="55" t="n">
        <v>4</v>
      </c>
      <c r="G13" s="56" t="n">
        <v>0.5</v>
      </c>
    </row>
    <row r="14">
      <c r="A14" s="55" t="n">
        <v>2</v>
      </c>
      <c r="B14" s="54" t="inlineStr">
        <is>
          <t xml:space="preserve">Membrane damage</t>
        </is>
      </c>
      <c r="F14" s="55" t="n">
        <v>3</v>
      </c>
      <c r="G14" s="56" t="n">
        <v>0.375</v>
      </c>
    </row>
    <row r="15">
      <c r="A15" s="55" t="n">
        <v>3</v>
      </c>
      <c r="B15" s="54" t="inlineStr">
        <is>
          <t xml:space="preserve">Bowel damage / separation</t>
        </is>
      </c>
      <c r="F15" s="55" t="n">
        <v>1</v>
      </c>
      <c r="G15" s="56" t="n">
        <v>0.125</v>
      </c>
    </row>
    <row r="16"/>
    <row r="17" ht="16" customHeight="1">
      <c r="A17" s="58" t="inlineStr">
        <is>
          <t xml:space="preserve">Pelvic @ Martins · 666506 — 1 fail of 53 inspected</t>
        </is>
      </c>
    </row>
    <row r="18">
      <c r="A18" s="53" t="inlineStr">
        <is>
          <t xml:space="preserve">Rank</t>
        </is>
      </c>
      <c r="B18" s="53" t="inlineStr">
        <is>
          <t xml:space="preserve">Defect category</t>
        </is>
      </c>
      <c r="F18" s="53" t="inlineStr">
        <is>
          <t xml:space="preserve">Count</t>
        </is>
      </c>
      <c r="G18" s="53" t="inlineStr">
        <is>
          <t xml:space="preserve">% of fails</t>
        </is>
      </c>
    </row>
    <row r="19">
      <c r="A19" s="55" t="n">
        <v>1</v>
      </c>
      <c r="B19" s="54" t="inlineStr">
        <is>
          <t xml:space="preserve">Short block / mesentery length</t>
        </is>
      </c>
      <c r="F19" s="55" t="n">
        <v>1</v>
      </c>
      <c r="G19" s="56" t="n">
        <v>1.0</v>
      </c>
    </row>
    <row r="20"/>
    <row r="21" ht="16" customHeight="1">
      <c r="A21" s="58" t="inlineStr">
        <is>
          <t xml:space="preserve">Pelvic @ Parks · 666518 — 22 fails of 128 inspected</t>
        </is>
      </c>
    </row>
    <row r="22">
      <c r="A22" s="53" t="inlineStr">
        <is>
          <t xml:space="preserve">Rank</t>
        </is>
      </c>
      <c r="B22" s="53" t="inlineStr">
        <is>
          <t xml:space="preserve">Defect category</t>
        </is>
      </c>
      <c r="F22" s="53" t="inlineStr">
        <is>
          <t xml:space="preserve">Count</t>
        </is>
      </c>
      <c r="G22" s="53" t="inlineStr">
        <is>
          <t xml:space="preserve">% of fails</t>
        </is>
      </c>
    </row>
    <row r="23">
      <c r="A23" s="55" t="n">
        <v>1</v>
      </c>
      <c r="B23" s="54" t="inlineStr">
        <is>
          <t xml:space="preserve">Urethra / bladder damage</t>
        </is>
      </c>
      <c r="F23" s="55" t="n">
        <v>10</v>
      </c>
      <c r="G23" s="56" t="n">
        <v>0.4545</v>
      </c>
    </row>
    <row r="24">
      <c r="A24" s="55" t="n">
        <v>2</v>
      </c>
      <c r="B24" s="54" t="inlineStr">
        <is>
          <t xml:space="preserve">Short block / mesentery length</t>
        </is>
      </c>
      <c r="F24" s="55" t="n">
        <v>5</v>
      </c>
      <c r="G24" s="56" t="n">
        <v>0.2273</v>
      </c>
    </row>
    <row r="25">
      <c r="A25" s="55" t="n">
        <v>3</v>
      </c>
      <c r="B25" s="54" t="inlineStr">
        <is>
          <t xml:space="preserve">Critical-area laceration</t>
        </is>
      </c>
      <c r="F25" s="55" t="n">
        <v>3</v>
      </c>
      <c r="G25" s="56" t="n">
        <v>0.1364</v>
      </c>
    </row>
    <row r="26">
      <c r="A26" s="55" t="n">
        <v>4</v>
      </c>
      <c r="B26" s="54" t="inlineStr">
        <is>
          <t xml:space="preserve">Bowel damage / separation</t>
        </is>
      </c>
      <c r="F26" s="55" t="n">
        <v>2</v>
      </c>
      <c r="G26" s="56" t="n">
        <v>0.0909</v>
      </c>
    </row>
    <row r="27">
      <c r="A27" s="55" t="n">
        <v>5</v>
      </c>
      <c r="B27" s="54" t="inlineStr">
        <is>
          <t xml:space="preserve">Ureter damage</t>
        </is>
      </c>
      <c r="F27" s="55" t="n">
        <v>2</v>
      </c>
      <c r="G27" s="56" t="n">
        <v>0.0909</v>
      </c>
    </row>
    <row r="28"/>
    <row r="29" ht="20" customHeight="1">
      <c r="A29" s="52" t="inlineStr">
        <is>
          <t xml:space="preserve">ALL INSPECTIONS THIS MONTH</t>
        </is>
      </c>
    </row>
    <row r="30">
      <c r="A30" s="53" t="inlineStr">
        <is>
          <t xml:space="preserve">Harvest Date</t>
        </is>
      </c>
      <c r="B30" s="53" t="inlineStr">
        <is>
          <t xml:space="preserve">Slaughterhouse</t>
        </is>
      </c>
      <c r="C30" s="53" t="inlineStr">
        <is>
          <t xml:space="preserve">Tissue</t>
        </is>
      </c>
      <c r="D30" s="53" t="inlineStr">
        <is>
          <t xml:space="preserve">Part #</t>
        </is>
      </c>
      <c r="E30" s="53" t="inlineStr">
        <is>
          <t xml:space="preserve">Lot</t>
        </is>
      </c>
      <c r="F30" s="53" t="inlineStr">
        <is>
          <t xml:space="preserve"># Inspected</t>
        </is>
      </c>
      <c r="G30" s="53" t="inlineStr">
        <is>
          <t xml:space="preserve"># Pass</t>
        </is>
      </c>
      <c r="H30" s="53" t="inlineStr">
        <is>
          <t xml:space="preserve"># Fail</t>
        </is>
      </c>
      <c r="I30" s="53" t="inlineStr">
        <is>
          <t xml:space="preserve">FPY</t>
        </is>
      </c>
      <c r="J30" s="53" t="inlineStr">
        <is>
          <t xml:space="preserve">Scrap reason / notes</t>
        </is>
      </c>
    </row>
    <row r="31" ht="13.5" customHeight="1">
      <c r="A31" s="54" t="inlineStr">
        <is>
          <t xml:space="preserve">2026-06-01</t>
        </is>
      </c>
      <c r="B31" s="54" t="inlineStr">
        <is>
          <t xml:space="preserve">Martins</t>
        </is>
      </c>
      <c r="C31" s="54" t="inlineStr">
        <is>
          <t xml:space="preserve">Pelvic</t>
        </is>
      </c>
      <c r="D31" s="54" t="inlineStr">
        <is>
          <t xml:space="preserve">666506</t>
        </is>
      </c>
      <c r="E31" s="54" t="inlineStr">
        <is>
          <t xml:space="preserve">5502428782</t>
        </is>
      </c>
      <c r="F31" s="55" t="n">
        <v>7</v>
      </c>
      <c r="G31" s="55" t="n">
        <v>7</v>
      </c>
      <c r="H31" s="55" t="n">
        <v>0</v>
      </c>
      <c r="I31" s="56" t="n">
        <v>1.0</v>
      </c>
      <c r="J31" s="57" t="inlineStr">
        <is>
          <t xml:space="preserve"/>
        </is>
      </c>
    </row>
    <row r="32" ht="13.5" customHeight="1">
      <c r="A32" s="54" t="inlineStr">
        <is>
          <t xml:space="preserve">2026-06-01</t>
        </is>
      </c>
      <c r="B32" s="54" t="inlineStr">
        <is>
          <t xml:space="preserve">Martins</t>
        </is>
      </c>
      <c r="C32" s="54" t="inlineStr">
        <is>
          <t xml:space="preserve">Pelvic</t>
        </is>
      </c>
      <c r="D32" s="54" t="inlineStr">
        <is>
          <t xml:space="preserve">666541</t>
        </is>
      </c>
      <c r="E32" s="54" t="inlineStr">
        <is>
          <t xml:space="preserve">5502428786</t>
        </is>
      </c>
      <c r="F32" s="55" t="n">
        <v>9</v>
      </c>
      <c r="G32" s="55" t="n">
        <v>9</v>
      </c>
      <c r="H32" s="55" t="n">
        <v>0</v>
      </c>
      <c r="I32" s="56" t="n">
        <v>1.0</v>
      </c>
      <c r="J32" s="57" t="inlineStr">
        <is>
          <t xml:space="preserve"/>
        </is>
      </c>
    </row>
    <row r="33" ht="13.5" customHeight="1">
      <c r="A33" s="54" t="inlineStr">
        <is>
          <t xml:space="preserve">2026-06-02</t>
        </is>
      </c>
      <c r="B33" s="54" t="inlineStr">
        <is>
          <t xml:space="preserve">Parks</t>
        </is>
      </c>
      <c r="C33" s="54" t="inlineStr">
        <is>
          <t xml:space="preserve">Pelvic</t>
        </is>
      </c>
      <c r="D33" s="54" t="inlineStr">
        <is>
          <t xml:space="preserve">666518</t>
        </is>
      </c>
      <c r="E33" s="54" t="inlineStr">
        <is>
          <t xml:space="preserve">(no batch data)</t>
        </is>
      </c>
      <c r="F33" s="55" t="n">
        <v>7</v>
      </c>
      <c r="G33" s="55" t="n">
        <v>7</v>
      </c>
      <c r="H33" s="55" t="n">
        <v>0</v>
      </c>
      <c r="I33" s="56" t="n">
        <v>1.0</v>
      </c>
      <c r="J33" s="57" t="inlineStr">
        <is>
          <t xml:space="preserve"/>
        </is>
      </c>
    </row>
    <row r="34" ht="13.5" customHeight="1">
      <c r="A34" s="54" t="inlineStr">
        <is>
          <t xml:space="preserve">2026-06-03</t>
        </is>
      </c>
      <c r="B34" s="54" t="inlineStr">
        <is>
          <t xml:space="preserve">Martins</t>
        </is>
      </c>
      <c r="C34" s="54" t="inlineStr">
        <is>
          <t xml:space="preserve">Pelvic</t>
        </is>
      </c>
      <c r="D34" s="54" t="inlineStr">
        <is>
          <t xml:space="preserve">666506</t>
        </is>
      </c>
      <c r="E34" s="54" t="inlineStr">
        <is>
          <t xml:space="preserve">5502428782</t>
        </is>
      </c>
      <c r="F34" s="55" t="n">
        <v>29</v>
      </c>
      <c r="G34" s="55" t="n">
        <v>29</v>
      </c>
      <c r="H34" s="55" t="n">
        <v>0</v>
      </c>
      <c r="I34" s="56" t="n">
        <v>1.0</v>
      </c>
      <c r="J34" s="57" t="inlineStr">
        <is>
          <t xml:space="preserve"/>
        </is>
      </c>
    </row>
    <row r="35" ht="13.5" customHeight="1">
      <c r="A35" s="54" t="inlineStr">
        <is>
          <t xml:space="preserve">2026-06-03</t>
        </is>
      </c>
      <c r="B35" s="54" t="inlineStr">
        <is>
          <t xml:space="preserve">Martins</t>
        </is>
      </c>
      <c r="C35" s="54" t="inlineStr">
        <is>
          <t xml:space="preserve">Pelvic</t>
        </is>
      </c>
      <c r="D35" s="54" t="inlineStr">
        <is>
          <t xml:space="preserve">666541</t>
        </is>
      </c>
      <c r="E35" s="54" t="inlineStr">
        <is>
          <t xml:space="preserve">5502428786</t>
        </is>
      </c>
      <c r="F35" s="55" t="n">
        <v>45</v>
      </c>
      <c r="G35" s="55" t="n">
        <v>43</v>
      </c>
      <c r="H35" s="55" t="n">
        <v>2</v>
      </c>
      <c r="I35" s="56" t="n">
        <v>0.9556</v>
      </c>
      <c r="J35" s="57" t="inlineStr">
        <is>
          <t xml:space="preserve">2 scrapped urethra</t>
        </is>
      </c>
    </row>
    <row r="36" ht="13.5" customHeight="1">
      <c r="A36" s="54" t="inlineStr">
        <is>
          <t xml:space="preserve">2026-06-08</t>
        </is>
      </c>
      <c r="B36" s="54" t="inlineStr">
        <is>
          <t xml:space="preserve">Martins</t>
        </is>
      </c>
      <c r="C36" s="54" t="inlineStr">
        <is>
          <t xml:space="preserve">Pelvic</t>
        </is>
      </c>
      <c r="D36" s="54" t="inlineStr">
        <is>
          <t xml:space="preserve">666506</t>
        </is>
      </c>
      <c r="E36" s="54" t="inlineStr">
        <is>
          <t xml:space="preserve">5502428782</t>
        </is>
      </c>
      <c r="F36" s="55" t="n">
        <v>13</v>
      </c>
      <c r="G36" s="55" t="n">
        <v>12</v>
      </c>
      <c r="H36" s="55" t="n">
        <v>1</v>
      </c>
      <c r="I36" s="56" t="n">
        <v>0.9231</v>
      </c>
      <c r="J36" s="57" t="inlineStr">
        <is>
          <t xml:space="preserve">1 short block</t>
        </is>
      </c>
    </row>
    <row r="37" ht="13.5" customHeight="1">
      <c r="A37" s="54" t="inlineStr">
        <is>
          <t xml:space="preserve">2026-06-08</t>
        </is>
      </c>
      <c r="B37" s="54" t="inlineStr">
        <is>
          <t xml:space="preserve">Martins</t>
        </is>
      </c>
      <c r="C37" s="54" t="inlineStr">
        <is>
          <t xml:space="preserve">Pelvic</t>
        </is>
      </c>
      <c r="D37" s="54" t="inlineStr">
        <is>
          <t xml:space="preserve">666541</t>
        </is>
      </c>
      <c r="E37" s="54" t="inlineStr">
        <is>
          <t xml:space="preserve">5502428786</t>
        </is>
      </c>
      <c r="F37" s="55" t="n">
        <v>17</v>
      </c>
      <c r="G37" s="55" t="n">
        <v>16</v>
      </c>
      <c r="H37" s="55" t="n">
        <v>1</v>
      </c>
      <c r="I37" s="56" t="n">
        <v>0.9412</v>
      </c>
      <c r="J37" s="57" t="inlineStr">
        <is>
          <t xml:space="preserve">1 cut urethra</t>
        </is>
      </c>
    </row>
    <row r="38" ht="27.0" customHeight="1">
      <c r="A38" s="54" t="inlineStr">
        <is>
          <t xml:space="preserve">2026-06-15</t>
        </is>
      </c>
      <c r="B38" s="54" t="inlineStr">
        <is>
          <t xml:space="preserve">Martins</t>
        </is>
      </c>
      <c r="C38" s="54" t="inlineStr">
        <is>
          <t xml:space="preserve">Pelvic</t>
        </is>
      </c>
      <c r="D38" s="54" t="inlineStr">
        <is>
          <t xml:space="preserve">666541</t>
        </is>
      </c>
      <c r="E38" s="54" t="inlineStr">
        <is>
          <t xml:space="preserve">5502462845</t>
        </is>
      </c>
      <c r="F38" s="55" t="n">
        <v>31</v>
      </c>
      <c r="G38" s="55" t="n">
        <v>30</v>
      </c>
      <c r="H38" s="55" t="n">
        <v>1</v>
      </c>
      <c r="I38" s="56" t="n">
        <v>0.9677</v>
      </c>
      <c r="J38" s="57" t="inlineStr">
        <is>
          <t xml:space="preserve">1 damaged bowel (source had two intact tally lines: 13/12/1 + 18/18/0, combined here)</t>
        </is>
      </c>
    </row>
    <row r="39" ht="27.0" customHeight="1">
      <c r="A39" s="54" t="inlineStr">
        <is>
          <t xml:space="preserve">2026-06-16</t>
        </is>
      </c>
      <c r="B39" s="54" t="inlineStr">
        <is>
          <t xml:space="preserve">Parks</t>
        </is>
      </c>
      <c r="C39" s="54" t="inlineStr">
        <is>
          <t xml:space="preserve">Pelvic</t>
        </is>
      </c>
      <c r="D39" s="54" t="inlineStr">
        <is>
          <t xml:space="preserve">666518</t>
        </is>
      </c>
      <c r="E39" s="54" t="inlineStr">
        <is>
          <t xml:space="preserve">(no batch data)</t>
        </is>
      </c>
      <c r="F39" s="55" t="n">
        <v>16</v>
      </c>
      <c r="G39" s="55" t="n">
        <v>14</v>
      </c>
      <c r="H39" s="55" t="n">
        <v>2</v>
      </c>
      <c r="I39" s="56" t="n">
        <v>0.875</v>
      </c>
      <c r="J39" s="57" t="inlineStr">
        <is>
          <t xml:space="preserve">1 bladder hole; 1 ureter damage (many blocks failed upstream from miscuts during removal — see notes)</t>
        </is>
      </c>
    </row>
    <row r="40" ht="13.5" customHeight="1">
      <c r="A40" s="54" t="inlineStr">
        <is>
          <t xml:space="preserve">2026-06-22</t>
        </is>
      </c>
      <c r="B40" s="54" t="inlineStr">
        <is>
          <t xml:space="preserve">Parks</t>
        </is>
      </c>
      <c r="C40" s="54" t="inlineStr">
        <is>
          <t xml:space="preserve">Pelvic</t>
        </is>
      </c>
      <c r="D40" s="54" t="inlineStr">
        <is>
          <t xml:space="preserve">666518</t>
        </is>
      </c>
      <c r="E40" s="54" t="inlineStr">
        <is>
          <t xml:space="preserve">(no batch data)</t>
        </is>
      </c>
      <c r="F40" s="55" t="n">
        <v>36</v>
      </c>
      <c r="G40" s="55" t="n">
        <v>31</v>
      </c>
      <c r="H40" s="55" t="n">
        <v>5</v>
      </c>
      <c r="I40" s="56" t="n">
        <v>0.8611</v>
      </c>
      <c r="J40" s="57" t="inlineStr">
        <is>
          <t xml:space="preserve">1 bladder hole; 2 critical-area lacerations; 2 short blocks</t>
        </is>
      </c>
    </row>
    <row r="41" ht="13.5" customHeight="1">
      <c r="A41" s="54" t="inlineStr">
        <is>
          <t xml:space="preserve">2026-06-24</t>
        </is>
      </c>
      <c r="B41" s="54" t="inlineStr">
        <is>
          <t xml:space="preserve">Martins</t>
        </is>
      </c>
      <c r="C41" s="54" t="inlineStr">
        <is>
          <t xml:space="preserve">Pelvic</t>
        </is>
      </c>
      <c r="D41" s="54" t="inlineStr">
        <is>
          <t xml:space="preserve">666541</t>
        </is>
      </c>
      <c r="E41" s="54" t="inlineStr">
        <is>
          <t xml:space="preserve">5502462845</t>
        </is>
      </c>
      <c r="F41" s="55" t="n">
        <v>34</v>
      </c>
      <c r="G41" s="55" t="n">
        <v>30</v>
      </c>
      <c r="H41" s="55" t="n">
        <v>4</v>
      </c>
      <c r="I41" s="56" t="n">
        <v>0.8824</v>
      </c>
      <c r="J41" s="57" t="inlineStr">
        <is>
          <t xml:space="preserve">1 damaged bladder; 3 damaged membrane</t>
        </is>
      </c>
    </row>
    <row r="42" ht="13.5" customHeight="1">
      <c r="A42" s="54" t="inlineStr">
        <is>
          <t xml:space="preserve">2026-06-25</t>
        </is>
      </c>
      <c r="B42" s="54" t="inlineStr">
        <is>
          <t xml:space="preserve">Parks</t>
        </is>
      </c>
      <c r="C42" s="54" t="inlineStr">
        <is>
          <t xml:space="preserve">Pelvic</t>
        </is>
      </c>
      <c r="D42" s="54" t="inlineStr">
        <is>
          <t xml:space="preserve">666518</t>
        </is>
      </c>
      <c r="E42" s="54" t="inlineStr">
        <is>
          <t xml:space="preserve">(no batch data)</t>
        </is>
      </c>
      <c r="F42" s="55" t="n">
        <v>19</v>
      </c>
      <c r="G42" s="55" t="n">
        <v>16</v>
      </c>
      <c r="H42" s="55" t="n">
        <v>3</v>
      </c>
      <c r="I42" s="56" t="n">
        <v>0.8421</v>
      </c>
      <c r="J42" s="57" t="inlineStr">
        <is>
          <t xml:space="preserve">1 bladder hole; 1 ureter laceration; 1 short block</t>
        </is>
      </c>
    </row>
    <row r="43" ht="13.5" customHeight="1">
      <c r="A43" s="54" t="inlineStr">
        <is>
          <t xml:space="preserve">2026-06-29</t>
        </is>
      </c>
      <c r="B43" s="54" t="inlineStr">
        <is>
          <t xml:space="preserve">Martins</t>
        </is>
      </c>
      <c r="C43" s="54" t="inlineStr">
        <is>
          <t xml:space="preserve">Pelvic</t>
        </is>
      </c>
      <c r="D43" s="54" t="inlineStr">
        <is>
          <t xml:space="preserve">666506</t>
        </is>
      </c>
      <c r="E43" s="54" t="inlineStr">
        <is>
          <t xml:space="preserve">5502471457</t>
        </is>
      </c>
      <c r="F43" s="55" t="n">
        <v>4</v>
      </c>
      <c r="G43" s="55" t="n">
        <v>4</v>
      </c>
      <c r="H43" s="55" t="n">
        <v>0</v>
      </c>
      <c r="I43" s="56" t="n">
        <v>1.0</v>
      </c>
      <c r="J43" s="57" t="inlineStr">
        <is>
          <t xml:space="preserve"/>
        </is>
      </c>
    </row>
    <row r="44" ht="40.0" customHeight="1">
      <c r="A44" s="54" t="inlineStr">
        <is>
          <t xml:space="preserve">2026-06-29</t>
        </is>
      </c>
      <c r="B44" s="54" t="inlineStr">
        <is>
          <t xml:space="preserve">Parks</t>
        </is>
      </c>
      <c r="C44" s="54" t="inlineStr">
        <is>
          <t xml:space="preserve">Pelvic</t>
        </is>
      </c>
      <c r="D44" s="54" t="inlineStr">
        <is>
          <t xml:space="preserve">666518</t>
        </is>
      </c>
      <c r="E44" s="54" t="inlineStr">
        <is>
          <t xml:space="preserve">(no batch data)</t>
        </is>
      </c>
      <c r="F44" s="55" t="n">
        <v>50</v>
      </c>
      <c r="G44" s="55" t="n">
        <v>38</v>
      </c>
      <c r="H44" s="55" t="n">
        <v>12</v>
      </c>
      <c r="I44" s="56" t="n">
        <v>0.76</v>
      </c>
      <c r="J44" s="57" t="inlineStr">
        <is>
          <t xml:space="preserve">2 damaged during bowel cleaning (bowel blockage burst); 2 short blocks; 1 critical-area laceration; 7 urethra/bladder lacerations (cuts near template edge)</t>
        </is>
      </c>
    </row>
    <row r="45" ht="13.5" customHeight="1">
      <c r="A45" s="54" t="inlineStr">
        <is>
          <t xml:space="preserve">2026-06-29</t>
        </is>
      </c>
      <c r="B45" s="54" t="inlineStr">
        <is>
          <t xml:space="preserve">Martins</t>
        </is>
      </c>
      <c r="C45" s="54" t="inlineStr">
        <is>
          <t xml:space="preserve">Pelvic</t>
        </is>
      </c>
      <c r="D45" s="54" t="inlineStr">
        <is>
          <t xml:space="preserve">666541</t>
        </is>
      </c>
      <c r="E45" s="54" t="inlineStr">
        <is>
          <t xml:space="preserve">5502471460</t>
        </is>
      </c>
      <c r="F45" s="55" t="n">
        <v>16</v>
      </c>
      <c r="G45" s="55" t="n">
        <v>16</v>
      </c>
      <c r="H45" s="55" t="n">
        <v>0</v>
      </c>
      <c r="I45" s="56" t="n">
        <v>1.0</v>
      </c>
      <c r="J45" s="57" t="inlineStr">
        <is>
          <t xml:space="preserve"/>
        </is>
      </c>
    </row>
    <row r="46"/>
    <row r="47" ht="16.5" customHeight="1">
      <c r="A47" s="45" t="inlineStr">
        <is>
          <t xml:space="preserve">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A1:J1"/>
    <mergeCell ref="A2:J2"/>
    <mergeCell ref="A4:J4"/>
    <mergeCell ref="G5:J5"/>
    <mergeCell ref="G6:J6"/>
    <mergeCell ref="G7:J7"/>
    <mergeCell ref="G8:J8"/>
    <mergeCell ref="A10:J10"/>
    <mergeCell ref="A11:J11"/>
    <mergeCell ref="B12:E12"/>
    <mergeCell ref="B13:E13"/>
    <mergeCell ref="B14:E14"/>
    <mergeCell ref="B15:E15"/>
    <mergeCell ref="A17:J17"/>
    <mergeCell ref="B18:E18"/>
    <mergeCell ref="B19:E19"/>
    <mergeCell ref="A21:J21"/>
    <mergeCell ref="B22:E22"/>
    <mergeCell ref="B23:E23"/>
    <mergeCell ref="B24:E24"/>
    <mergeCell ref="B25:E25"/>
    <mergeCell ref="B26:E26"/>
    <mergeCell ref="B27:E27"/>
    <mergeCell ref="A29:J29"/>
    <mergeCell ref="A47:J47"/>
    <mergeCell ref="A48:J48"/>
    <mergeCell ref="A49:J49"/>
    <mergeCell ref="A50:J50"/>
  </mergeCells>
  <conditionalFormatting sqref="F6:F6 F7:F7 F8: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dimension ref="A1:J58"/>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JULY 2026 — SH IQC Inspections</t>
        </is>
      </c>
    </row>
    <row r="2" ht="44" customHeight="1">
      <c r="A2" s="51" t="inlineStr">
        <is>
          <t xml:space="preserve">14 part-inspections across 7 harvest days at Martins, Nahunta, Parks. Month totals: 373 inspected / 339 pass / 34 fail — first-pass yield 90.9%. Snapshot from the Inspection Log; defect ranking uses the named categories (see Monthly Breakdown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161</v>
      </c>
      <c r="D6" s="55" t="n">
        <v>155</v>
      </c>
      <c r="E6" s="55" t="n">
        <v>6</v>
      </c>
      <c r="F6" s="56" t="n">
        <v>0.9627</v>
      </c>
      <c r="G6" s="57" t="inlineStr">
        <is>
          <t xml:space="preserve">Urethra / bladder damage (3)</t>
        </is>
      </c>
    </row>
    <row r="7">
      <c r="A7" s="54" t="inlineStr">
        <is>
          <t xml:space="preserve">Pelvic @ Martins</t>
        </is>
      </c>
      <c r="B7" s="54" t="inlineStr">
        <is>
          <t xml:space="preserve">666506</t>
        </is>
      </c>
      <c r="C7" s="55" t="n">
        <v>79</v>
      </c>
      <c r="D7" s="55" t="n">
        <v>77</v>
      </c>
      <c r="E7" s="55" t="n">
        <v>2</v>
      </c>
      <c r="F7" s="56" t="n">
        <v>0.9747</v>
      </c>
      <c r="G7" s="57" t="inlineStr">
        <is>
          <t xml:space="preserve">Membrane damage (2)</t>
        </is>
      </c>
    </row>
    <row r="8">
      <c r="A8" s="54" t="inlineStr">
        <is>
          <t xml:space="preserve">Pelvic @ Parks</t>
        </is>
      </c>
      <c r="B8" s="54" t="inlineStr">
        <is>
          <t xml:space="preserve">666518</t>
        </is>
      </c>
      <c r="C8" s="55" t="n">
        <v>113</v>
      </c>
      <c r="D8" s="55" t="n">
        <v>100</v>
      </c>
      <c r="E8" s="55" t="n">
        <v>13</v>
      </c>
      <c r="F8" s="56" t="n">
        <v>0.885</v>
      </c>
      <c r="G8" s="57" t="inlineStr">
        <is>
          <t xml:space="preserve">Short block / mesentery length (6)</t>
        </is>
      </c>
    </row>
    <row r="9">
      <c r="A9" s="54" t="inlineStr">
        <is>
          <t xml:space="preserve">Pelvic @ Nahunta</t>
        </is>
      </c>
      <c r="B9" s="54" t="inlineStr">
        <is>
          <t xml:space="preserve">666541</t>
        </is>
      </c>
      <c r="C9" s="55" t="n">
        <v>1</v>
      </c>
      <c r="D9" s="55" t="n">
        <v>1</v>
      </c>
      <c r="E9" s="55" t="n">
        <v>0</v>
      </c>
      <c r="F9" s="56" t="n">
        <v>1.0</v>
      </c>
      <c r="G9" s="57" t="inlineStr">
        <is>
          <t xml:space="preserve">—</t>
        </is>
      </c>
    </row>
    <row r="10">
      <c r="A10" s="54" t="inlineStr">
        <is>
          <t xml:space="preserve">Thoracic @ Nahunta</t>
        </is>
      </c>
      <c r="B10" s="54" t="inlineStr">
        <is>
          <t xml:space="preserve">666521</t>
        </is>
      </c>
      <c r="C10" s="55" t="n">
        <v>19</v>
      </c>
      <c r="D10" s="55" t="n">
        <v>6</v>
      </c>
      <c r="E10" s="55" t="n">
        <v>13</v>
      </c>
      <c r="F10" s="56" t="n">
        <v>0.3158</v>
      </c>
      <c r="G10" s="57" t="inlineStr">
        <is>
          <t xml:space="preserve">Lung laceration (11)</t>
        </is>
      </c>
    </row>
    <row r="11"/>
    <row r="12" ht="20" customHeight="1">
      <c r="A12" s="52" t="inlineStr">
        <is>
          <t xml:space="preserve">MOST RECURRING DEFECTS — BY TISSUE × SLAUGHTERHOUSE</t>
        </is>
      </c>
    </row>
    <row r="13" ht="16" customHeight="1">
      <c r="A13" s="58" t="inlineStr">
        <is>
          <t xml:space="preserve">Pelvic @ Martins · 666541 — 6 fails of 161 inspected</t>
        </is>
      </c>
    </row>
    <row r="14">
      <c r="A14" s="53" t="inlineStr">
        <is>
          <t xml:space="preserve">Rank</t>
        </is>
      </c>
      <c r="B14" s="53" t="inlineStr">
        <is>
          <t xml:space="preserve">Defect category</t>
        </is>
      </c>
      <c r="F14" s="53" t="inlineStr">
        <is>
          <t xml:space="preserve">Count</t>
        </is>
      </c>
      <c r="G14" s="53" t="inlineStr">
        <is>
          <t xml:space="preserve">% of fails</t>
        </is>
      </c>
    </row>
    <row r="15">
      <c r="A15" s="55" t="n">
        <v>1</v>
      </c>
      <c r="B15" s="54" t="inlineStr">
        <is>
          <t xml:space="preserve">Urethra / bladder damage</t>
        </is>
      </c>
      <c r="F15" s="55" t="n">
        <v>3</v>
      </c>
      <c r="G15" s="56" t="n">
        <v>0.5</v>
      </c>
    </row>
    <row r="16">
      <c r="A16" s="55" t="n">
        <v>2</v>
      </c>
      <c r="B16" s="54" t="inlineStr">
        <is>
          <t xml:space="preserve">Membrane damage</t>
        </is>
      </c>
      <c r="F16" s="55" t="n">
        <v>2</v>
      </c>
      <c r="G16" s="56" t="n">
        <v>0.3333</v>
      </c>
    </row>
    <row r="17">
      <c r="A17" s="55" t="n">
        <v>3</v>
      </c>
      <c r="B17" s="54" t="inlineStr">
        <is>
          <t xml:space="preserve">Undocumented / not itemized</t>
        </is>
      </c>
      <c r="F17" s="55" t="n">
        <v>1</v>
      </c>
      <c r="G17" s="56" t="n">
        <v>0.1667</v>
      </c>
    </row>
    <row r="18"/>
    <row r="19" ht="16" customHeight="1">
      <c r="A19" s="58" t="inlineStr">
        <is>
          <t xml:space="preserve">Pelvic @ Martins · 666506 — 2 fails of 79 inspected</t>
        </is>
      </c>
    </row>
    <row r="20">
      <c r="A20" s="53" t="inlineStr">
        <is>
          <t xml:space="preserve">Rank</t>
        </is>
      </c>
      <c r="B20" s="53" t="inlineStr">
        <is>
          <t xml:space="preserve">Defect category</t>
        </is>
      </c>
      <c r="F20" s="53" t="inlineStr">
        <is>
          <t xml:space="preserve">Count</t>
        </is>
      </c>
      <c r="G20" s="53" t="inlineStr">
        <is>
          <t xml:space="preserve">% of fails</t>
        </is>
      </c>
    </row>
    <row r="21">
      <c r="A21" s="55" t="n">
        <v>1</v>
      </c>
      <c r="B21" s="54" t="inlineStr">
        <is>
          <t xml:space="preserve">Membrane damage</t>
        </is>
      </c>
      <c r="F21" s="55" t="n">
        <v>2</v>
      </c>
      <c r="G21" s="56" t="n">
        <v>1.0</v>
      </c>
    </row>
    <row r="22"/>
    <row r="23" ht="16" customHeight="1">
      <c r="A23" s="58" t="inlineStr">
        <is>
          <t xml:space="preserve">Pelvic @ Parks · 666518 — 13 fails of 113 inspected</t>
        </is>
      </c>
    </row>
    <row r="24">
      <c r="A24" s="53" t="inlineStr">
        <is>
          <t xml:space="preserve">Rank</t>
        </is>
      </c>
      <c r="B24" s="53" t="inlineStr">
        <is>
          <t xml:space="preserve">Defect category</t>
        </is>
      </c>
      <c r="F24" s="53" t="inlineStr">
        <is>
          <t xml:space="preserve">Count</t>
        </is>
      </c>
      <c r="G24" s="53" t="inlineStr">
        <is>
          <t xml:space="preserve">% of fails</t>
        </is>
      </c>
    </row>
    <row r="25">
      <c r="A25" s="55" t="n">
        <v>1</v>
      </c>
      <c r="B25" s="54" t="inlineStr">
        <is>
          <t xml:space="preserve">Short block / mesentery length</t>
        </is>
      </c>
      <c r="F25" s="55" t="n">
        <v>6</v>
      </c>
      <c r="G25" s="56" t="n">
        <v>0.4615</v>
      </c>
    </row>
    <row r="26">
      <c r="A26" s="55" t="n">
        <v>2</v>
      </c>
      <c r="B26" s="54" t="inlineStr">
        <is>
          <t xml:space="preserve">Bowel damage / separation</t>
        </is>
      </c>
      <c r="F26" s="55" t="n">
        <v>3</v>
      </c>
      <c r="G26" s="56" t="n">
        <v>0.2308</v>
      </c>
    </row>
    <row r="27">
      <c r="A27" s="55" t="n">
        <v>3</v>
      </c>
      <c r="B27" s="54" t="inlineStr">
        <is>
          <t xml:space="preserve">Critical-area laceration</t>
        </is>
      </c>
      <c r="F27" s="55" t="n">
        <v>3</v>
      </c>
      <c r="G27" s="56" t="n">
        <v>0.2308</v>
      </c>
    </row>
    <row r="28">
      <c r="A28" s="55" t="n">
        <v>4</v>
      </c>
      <c r="B28" s="54" t="inlineStr">
        <is>
          <t xml:space="preserve">Ureter damage</t>
        </is>
      </c>
      <c r="F28" s="55" t="n">
        <v>1</v>
      </c>
      <c r="G28" s="56" t="n">
        <v>0.0769</v>
      </c>
    </row>
    <row r="29"/>
    <row r="30" ht="16" customHeight="1">
      <c r="A30" s="58" t="inlineStr">
        <is>
          <t xml:space="preserve">Pelvic @ Nahunta · 666541 — no fails this month (1 inspected, 100% FPY)</t>
        </is>
      </c>
    </row>
    <row r="31" ht="16" customHeight="1">
      <c r="A31" s="58" t="inlineStr">
        <is>
          <t xml:space="preserve">Thoracic @ Nahunta · 666521 — 13 fails of 19 inspected</t>
        </is>
      </c>
    </row>
    <row r="32">
      <c r="A32" s="53" t="inlineStr">
        <is>
          <t xml:space="preserve">Rank</t>
        </is>
      </c>
      <c r="B32" s="53" t="inlineStr">
        <is>
          <t xml:space="preserve">Defect category</t>
        </is>
      </c>
      <c r="F32" s="53" t="inlineStr">
        <is>
          <t xml:space="preserve">Count</t>
        </is>
      </c>
      <c r="G32" s="53" t="inlineStr">
        <is>
          <t xml:space="preserve">% of fails</t>
        </is>
      </c>
    </row>
    <row r="33">
      <c r="A33" s="55" t="n">
        <v>1</v>
      </c>
      <c r="B33" s="54" t="inlineStr">
        <is>
          <t xml:space="preserve">Lung laceration</t>
        </is>
      </c>
      <c r="F33" s="55" t="n">
        <v>11</v>
      </c>
      <c r="G33" s="56" t="n">
        <v>0.8462</v>
      </c>
    </row>
    <row r="34">
      <c r="A34" s="55" t="n">
        <v>2</v>
      </c>
      <c r="B34" s="54" t="inlineStr">
        <is>
          <t xml:space="preserve">Heart damage</t>
        </is>
      </c>
      <c r="F34" s="55" t="n">
        <v>2</v>
      </c>
      <c r="G34" s="56" t="n">
        <v>0.1538</v>
      </c>
    </row>
    <row r="35"/>
    <row r="36" ht="20" customHeight="1">
      <c r="A36" s="52" t="inlineStr">
        <is>
          <t xml:space="preserve">ALL INSPECTIONS THIS MONTH</t>
        </is>
      </c>
    </row>
    <row r="37">
      <c r="A37" s="53" t="inlineStr">
        <is>
          <t xml:space="preserve">Harvest Date</t>
        </is>
      </c>
      <c r="B37" s="53" t="inlineStr">
        <is>
          <t xml:space="preserve">Slaughterhouse</t>
        </is>
      </c>
      <c r="C37" s="53" t="inlineStr">
        <is>
          <t xml:space="preserve">Tissue</t>
        </is>
      </c>
      <c r="D37" s="53" t="inlineStr">
        <is>
          <t xml:space="preserve">Part #</t>
        </is>
      </c>
      <c r="E37" s="53" t="inlineStr">
        <is>
          <t xml:space="preserve">Lot</t>
        </is>
      </c>
      <c r="F37" s="53" t="inlineStr">
        <is>
          <t xml:space="preserve"># Inspected</t>
        </is>
      </c>
      <c r="G37" s="53" t="inlineStr">
        <is>
          <t xml:space="preserve"># Pass</t>
        </is>
      </c>
      <c r="H37" s="53" t="inlineStr">
        <is>
          <t xml:space="preserve"># Fail</t>
        </is>
      </c>
      <c r="I37" s="53" t="inlineStr">
        <is>
          <t xml:space="preserve">FPY</t>
        </is>
      </c>
      <c r="J37" s="53" t="inlineStr">
        <is>
          <t xml:space="preserve">Scrap reason / notes</t>
        </is>
      </c>
    </row>
    <row r="38" ht="13.5" customHeight="1">
      <c r="A38" s="54" t="inlineStr">
        <is>
          <t xml:space="preserve">2026-07-06</t>
        </is>
      </c>
      <c r="B38" s="54" t="inlineStr">
        <is>
          <t xml:space="preserve">Martins</t>
        </is>
      </c>
      <c r="C38" s="54" t="inlineStr">
        <is>
          <t xml:space="preserve">Pelvic</t>
        </is>
      </c>
      <c r="D38" s="54" t="inlineStr">
        <is>
          <t xml:space="preserve">666506</t>
        </is>
      </c>
      <c r="E38" s="54" t="inlineStr">
        <is>
          <t xml:space="preserve">5502471457</t>
        </is>
      </c>
      <c r="F38" s="55" t="n">
        <v>10</v>
      </c>
      <c r="G38" s="55" t="n">
        <v>9</v>
      </c>
      <c r="H38" s="55" t="n">
        <v>1</v>
      </c>
      <c r="I38" s="56" t="n">
        <v>0.9</v>
      </c>
      <c r="J38" s="57" t="inlineStr">
        <is>
          <t xml:space="preserve">1 membrane damage larger than 1.5"</t>
        </is>
      </c>
    </row>
    <row r="39" ht="13.5" customHeight="1">
      <c r="A39" s="54" t="inlineStr">
        <is>
          <t xml:space="preserve">2026-07-06</t>
        </is>
      </c>
      <c r="B39" s="54" t="inlineStr">
        <is>
          <t xml:space="preserve">Martins</t>
        </is>
      </c>
      <c r="C39" s="54" t="inlineStr">
        <is>
          <t xml:space="preserve">Pelvic</t>
        </is>
      </c>
      <c r="D39" s="54" t="inlineStr">
        <is>
          <t xml:space="preserve">666541</t>
        </is>
      </c>
      <c r="E39" s="54" t="inlineStr">
        <is>
          <t xml:space="preserve">5502471460</t>
        </is>
      </c>
      <c r="F39" s="55" t="n">
        <v>12</v>
      </c>
      <c r="G39" s="55" t="n">
        <v>11</v>
      </c>
      <c r="H39" s="55" t="n">
        <v>1</v>
      </c>
      <c r="I39" s="56" t="n">
        <v>0.9167</v>
      </c>
      <c r="J39" s="57" t="inlineStr">
        <is>
          <t xml:space="preserve">1 damaged urethra</t>
        </is>
      </c>
    </row>
    <row r="40" ht="13.5" customHeight="1">
      <c r="A40" s="54" t="inlineStr">
        <is>
          <t xml:space="preserve">2026-07-13</t>
        </is>
      </c>
      <c r="B40" s="54" t="inlineStr">
        <is>
          <t xml:space="preserve">Martins</t>
        </is>
      </c>
      <c r="C40" s="54" t="inlineStr">
        <is>
          <t xml:space="preserve">Pelvic</t>
        </is>
      </c>
      <c r="D40" s="54" t="inlineStr">
        <is>
          <t xml:space="preserve">666506</t>
        </is>
      </c>
      <c r="E40" s="54" t="inlineStr">
        <is>
          <t xml:space="preserve">5502495104</t>
        </is>
      </c>
      <c r="F40" s="55" t="n">
        <v>14</v>
      </c>
      <c r="G40" s="55" t="n">
        <v>14</v>
      </c>
      <c r="H40" s="55" t="n">
        <v>0</v>
      </c>
      <c r="I40" s="56" t="n">
        <v>1.0</v>
      </c>
      <c r="J40" s="57" t="inlineStr">
        <is>
          <t xml:space="preserve"/>
        </is>
      </c>
    </row>
    <row r="41" ht="27.0" customHeight="1">
      <c r="A41" s="54" t="inlineStr">
        <is>
          <t xml:space="preserve">2026-07-13</t>
        </is>
      </c>
      <c r="B41" s="54" t="inlineStr">
        <is>
          <t xml:space="preserve">Parks</t>
        </is>
      </c>
      <c r="C41" s="54" t="inlineStr">
        <is>
          <t xml:space="preserve">Pelvic</t>
        </is>
      </c>
      <c r="D41" s="54" t="inlineStr">
        <is>
          <t xml:space="preserve">666518</t>
        </is>
      </c>
      <c r="E41" s="54" t="inlineStr">
        <is>
          <t xml:space="preserve">(no batch data)</t>
        </is>
      </c>
      <c r="F41" s="55" t="n">
        <v>34</v>
      </c>
      <c r="G41" s="55" t="n">
        <v>29</v>
      </c>
      <c r="H41" s="55" t="n">
        <v>5</v>
      </c>
      <c r="I41" s="56" t="n">
        <v>0.8529</v>
      </c>
      <c r="J41" s="57" t="inlineStr">
        <is>
          <t xml:space="preserve">2 damaged during bowel cleaning (bowel blockage burst); 3 short blocks (smaller pigs)</t>
        </is>
      </c>
    </row>
    <row r="42" ht="13.5" customHeight="1">
      <c r="A42" s="54" t="inlineStr">
        <is>
          <t xml:space="preserve">2026-07-13</t>
        </is>
      </c>
      <c r="B42" s="54" t="inlineStr">
        <is>
          <t xml:space="preserve">Martins</t>
        </is>
      </c>
      <c r="C42" s="54" t="inlineStr">
        <is>
          <t xml:space="preserve">Pelvic</t>
        </is>
      </c>
      <c r="D42" s="54" t="inlineStr">
        <is>
          <t xml:space="preserve">666541</t>
        </is>
      </c>
      <c r="E42" s="54" t="inlineStr">
        <is>
          <t xml:space="preserve">5502495107</t>
        </is>
      </c>
      <c r="F42" s="55" t="n">
        <v>38</v>
      </c>
      <c r="G42" s="55" t="n">
        <v>36</v>
      </c>
      <c r="H42" s="55" t="n">
        <v>2</v>
      </c>
      <c r="I42" s="56" t="n">
        <v>0.9474</v>
      </c>
      <c r="J42" s="57" t="inlineStr">
        <is>
          <t xml:space="preserve">1 damaged membrane; 1 damaged bladder</t>
        </is>
      </c>
    </row>
    <row r="43" ht="27.0" customHeight="1">
      <c r="A43" s="54" t="inlineStr">
        <is>
          <t xml:space="preserve">2026-07-16</t>
        </is>
      </c>
      <c r="B43" s="54" t="inlineStr">
        <is>
          <t xml:space="preserve">Parks</t>
        </is>
      </c>
      <c r="C43" s="54" t="inlineStr">
        <is>
          <t xml:space="preserve">Pelvic</t>
        </is>
      </c>
      <c r="D43" s="54" t="inlineStr">
        <is>
          <t xml:space="preserve">666518</t>
        </is>
      </c>
      <c r="E43" s="54" t="inlineStr">
        <is>
          <t xml:space="preserve">(no batch data)</t>
        </is>
      </c>
      <c r="F43" s="55" t="n">
        <v>24</v>
      </c>
      <c r="G43" s="55" t="n">
        <v>20</v>
      </c>
      <c r="H43" s="55" t="n">
        <v>4</v>
      </c>
      <c r="I43" s="56" t="n">
        <v>0.8333</v>
      </c>
      <c r="J43" s="57" t="inlineStr">
        <is>
          <t xml:space="preserve">2 short (bowel snapped before cut to length); 2 holes in mesentery critical area</t>
        </is>
      </c>
    </row>
    <row r="44" ht="13.5" customHeight="1">
      <c r="A44" s="54" t="inlineStr">
        <is>
          <t xml:space="preserve">2026-07-20</t>
        </is>
      </c>
      <c r="B44" s="54" t="inlineStr">
        <is>
          <t xml:space="preserve">Martins</t>
        </is>
      </c>
      <c r="C44" s="54" t="inlineStr">
        <is>
          <t xml:space="preserve">Pelvic</t>
        </is>
      </c>
      <c r="D44" s="54" t="inlineStr">
        <is>
          <t xml:space="preserve">666506</t>
        </is>
      </c>
      <c r="E44" s="54" t="inlineStr">
        <is>
          <t xml:space="preserve">5502495104</t>
        </is>
      </c>
      <c r="F44" s="55" t="n">
        <v>30</v>
      </c>
      <c r="G44" s="55" t="n">
        <v>29</v>
      </c>
      <c r="H44" s="55" t="n">
        <v>1</v>
      </c>
      <c r="I44" s="56" t="n">
        <v>0.9667</v>
      </c>
      <c r="J44" s="57" t="inlineStr">
        <is>
          <t xml:space="preserve">1 large membrane damage</t>
        </is>
      </c>
    </row>
    <row r="45" ht="40.0" customHeight="1">
      <c r="A45" s="54" t="inlineStr">
        <is>
          <t xml:space="preserve">2026-07-20</t>
        </is>
      </c>
      <c r="B45" s="54" t="inlineStr">
        <is>
          <t xml:space="preserve">Martins</t>
        </is>
      </c>
      <c r="C45" s="54" t="inlineStr">
        <is>
          <t xml:space="preserve">Pelvic</t>
        </is>
      </c>
      <c r="D45" s="54" t="inlineStr">
        <is>
          <t xml:space="preserve">666541</t>
        </is>
      </c>
      <c r="E45" s="54" t="inlineStr">
        <is>
          <t xml:space="preserve">5502495107</t>
        </is>
      </c>
      <c r="F45" s="55" t="n">
        <v>65</v>
      </c>
      <c r="G45" s="55" t="n">
        <v>63</v>
      </c>
      <c r="H45" s="55" t="n">
        <v>2</v>
      </c>
      <c r="I45" s="56" t="n">
        <v>0.9692</v>
      </c>
      <c r="J45" s="57" t="inlineStr">
        <is>
          <t xml:space="preserve">1 deformed bladder documented; source #Fail cell read 1, but 65 inspected − 63 pass = 2 → 1 reject undocumented (confirm)</t>
        </is>
      </c>
    </row>
    <row r="46" ht="13.5" customHeight="1">
      <c r="A46" s="54" t="inlineStr">
        <is>
          <t xml:space="preserve">2026-07-27</t>
        </is>
      </c>
      <c r="B46" s="54" t="inlineStr">
        <is>
          <t xml:space="preserve">Martins</t>
        </is>
      </c>
      <c r="C46" s="54" t="inlineStr">
        <is>
          <t xml:space="preserve">Pelvic</t>
        </is>
      </c>
      <c r="D46" s="54" t="inlineStr">
        <is>
          <t xml:space="preserve">666506</t>
        </is>
      </c>
      <c r="E46" s="54" t="inlineStr">
        <is>
          <t xml:space="preserve">5502512225</t>
        </is>
      </c>
      <c r="F46" s="55" t="n">
        <v>25</v>
      </c>
      <c r="G46" s="55" t="n">
        <v>25</v>
      </c>
      <c r="H46" s="55" t="n">
        <v>0</v>
      </c>
      <c r="I46" s="56" t="n">
        <v>1.0</v>
      </c>
      <c r="J46" s="57" t="inlineStr">
        <is>
          <t xml:space="preserve"/>
        </is>
      </c>
    </row>
    <row r="47" ht="27.0" customHeight="1">
      <c r="A47" s="54" t="inlineStr">
        <is>
          <t xml:space="preserve">2026-07-27</t>
        </is>
      </c>
      <c r="B47" s="54" t="inlineStr">
        <is>
          <t xml:space="preserve">Parks</t>
        </is>
      </c>
      <c r="C47" s="54" t="inlineStr">
        <is>
          <t xml:space="preserve">Pelvic</t>
        </is>
      </c>
      <c r="D47" s="54" t="inlineStr">
        <is>
          <t xml:space="preserve">666518</t>
        </is>
      </c>
      <c r="E47" s="54" t="inlineStr">
        <is>
          <t xml:space="preserve">(no batch data)</t>
        </is>
      </c>
      <c r="F47" s="55" t="n">
        <v>45</v>
      </c>
      <c r="G47" s="55" t="n">
        <v>42</v>
      </c>
      <c r="H47" s="55" t="n">
        <v>3</v>
      </c>
      <c r="I47" s="56" t="n">
        <v>0.9333</v>
      </c>
      <c r="J47" s="57" t="inlineStr">
        <is>
          <t xml:space="preserve">1 ureter damage; 1 mesentery hole in critical area &gt;0.5"; 1 bowel-colon separation past critical area</t>
        </is>
      </c>
    </row>
    <row r="48" ht="13.5" customHeight="1">
      <c r="A48" s="54" t="inlineStr">
        <is>
          <t xml:space="preserve">2026-07-27</t>
        </is>
      </c>
      <c r="B48" s="54" t="inlineStr">
        <is>
          <t xml:space="preserve">Martins</t>
        </is>
      </c>
      <c r="C48" s="54" t="inlineStr">
        <is>
          <t xml:space="preserve">Pelvic</t>
        </is>
      </c>
      <c r="D48" s="54" t="inlineStr">
        <is>
          <t xml:space="preserve">666541</t>
        </is>
      </c>
      <c r="E48" s="54" t="inlineStr">
        <is>
          <t xml:space="preserve">5502512228</t>
        </is>
      </c>
      <c r="F48" s="55" t="n">
        <v>46</v>
      </c>
      <c r="G48" s="55" t="n">
        <v>45</v>
      </c>
      <c r="H48" s="55" t="n">
        <v>1</v>
      </c>
      <c r="I48" s="56" t="n">
        <v>0.9783</v>
      </c>
      <c r="J48" s="57" t="inlineStr">
        <is>
          <t xml:space="preserve">1 damaged membrane larger than 0.5"</t>
        </is>
      </c>
    </row>
    <row r="49" ht="54.0" customHeight="1">
      <c r="A49" s="54" t="inlineStr">
        <is>
          <t xml:space="preserve">2026-07-29</t>
        </is>
      </c>
      <c r="B49" s="54" t="inlineStr">
        <is>
          <t xml:space="preserve">Nahunta</t>
        </is>
      </c>
      <c r="C49" s="54" t="inlineStr">
        <is>
          <t xml:space="preserve">Thoracic</t>
        </is>
      </c>
      <c r="D49" s="54" t="inlineStr">
        <is>
          <t xml:space="preserve">666521</t>
        </is>
      </c>
      <c r="E49" s="54" t="inlineStr">
        <is>
          <t xml:space="preserve">5502512218</t>
        </is>
      </c>
      <c r="F49" s="55" t="n">
        <v>19</v>
      </c>
      <c r="G49" s="55" t="n">
        <v>6</v>
      </c>
      <c r="H49" s="55" t="n">
        <v>13</v>
      </c>
      <c r="I49" s="56" t="n">
        <v>0.3158</v>
      </c>
      <c r="J49" s="57" t="inlineStr">
        <is>
          <t xml:space="preserve">11 right-lung lacerations (mostly along the perimeter); 2 heart damage; 1 accepted with two sub-4cm perimeter lacerations that did not connect. Majority of damage attributed to the harvesting side.</t>
        </is>
      </c>
    </row>
    <row r="50" ht="13.5" customHeight="1">
      <c r="A50" s="54" t="inlineStr">
        <is>
          <t xml:space="preserve">2026-07-29</t>
        </is>
      </c>
      <c r="B50" s="54" t="inlineStr">
        <is>
          <t xml:space="preserve">Nahunta</t>
        </is>
      </c>
      <c r="C50" s="54" t="inlineStr">
        <is>
          <t xml:space="preserve">Pelvic</t>
        </is>
      </c>
      <c r="D50" s="54" t="inlineStr">
        <is>
          <t xml:space="preserve">666541</t>
        </is>
      </c>
      <c r="E50" s="54" t="inlineStr">
        <is>
          <t xml:space="preserve">5502512218</t>
        </is>
      </c>
      <c r="F50" s="55" t="n">
        <v>1</v>
      </c>
      <c r="G50" s="55" t="n">
        <v>1</v>
      </c>
      <c r="H50" s="55" t="n">
        <v>0</v>
      </c>
      <c r="I50" s="56" t="n">
        <v>1.0</v>
      </c>
      <c r="J50" s="57" t="inlineStr">
        <is>
          <t xml:space="preserve"/>
        </is>
      </c>
    </row>
    <row r="51" ht="27.0" customHeight="1">
      <c r="A51" s="54" t="inlineStr">
        <is>
          <t xml:space="preserve">2026-07-30</t>
        </is>
      </c>
      <c r="B51" s="54" t="inlineStr">
        <is>
          <t xml:space="preserve">Parks</t>
        </is>
      </c>
      <c r="C51" s="54" t="inlineStr">
        <is>
          <t xml:space="preserve">Pelvic</t>
        </is>
      </c>
      <c r="D51" s="54" t="inlineStr">
        <is>
          <t xml:space="preserve">666518</t>
        </is>
      </c>
      <c r="E51" s="54" t="inlineStr">
        <is>
          <t xml:space="preserve">(no batch data)</t>
        </is>
      </c>
      <c r="F51" s="55" t="n">
        <v>10</v>
      </c>
      <c r="G51" s="55" t="n">
        <v>9</v>
      </c>
      <c r="H51" s="55" t="n">
        <v>1</v>
      </c>
      <c r="I51" s="56" t="n">
        <v>0.9</v>
      </c>
      <c r="J51" s="57" t="inlineStr">
        <is>
          <t xml:space="preserve">1 pelvic block short (majority of pigs received were male → lower numbers)</t>
        </is>
      </c>
    </row>
    <row r="52"/>
    <row r="53" ht="16.5" customHeight="1">
      <c r="A53" s="45" t="inlineStr">
        <is>
          <t xml:space="preserve">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B20:E20"/>
    <mergeCell ref="B21:E21"/>
    <mergeCell ref="A23:J23"/>
    <mergeCell ref="B24:E24"/>
    <mergeCell ref="B25:E25"/>
    <mergeCell ref="B26:E26"/>
    <mergeCell ref="B27:E27"/>
    <mergeCell ref="B28:E28"/>
    <mergeCell ref="A30:J30"/>
    <mergeCell ref="A31:J31"/>
    <mergeCell ref="B32:E32"/>
    <mergeCell ref="B33:E33"/>
    <mergeCell ref="B34:E34"/>
    <mergeCell ref="A36:J36"/>
    <mergeCell ref="A53:J53"/>
    <mergeCell ref="A54:J54"/>
    <mergeCell ref="A55:J55"/>
    <mergeCell ref="A56:J56"/>
    <mergeCell ref="A57:J57"/>
    <mergeCell ref="A58:J58"/>
  </mergeCells>
  <conditionalFormatting sqref="F6:F6 F7:F7 F8:F8 F9:F9 F10: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dimension ref="A1:J57"/>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AUGUST 2026 — SH IQC Inspections</t>
        </is>
      </c>
    </row>
    <row r="2" ht="44" customHeight="1">
      <c r="A2" s="51" t="inlineStr">
        <is>
          <t xml:space="preserve">17 part-inspections across 11 harvest days at Martins, Nahunta, Parks. Month totals: 343 inspected / 271 pass / 72 fail — first-pass yield 79.0%. Snapshot from the Inspection Log; defect ranking uses the named categories (see Monthly Breakdown notes). Nahunta two-stage visits count our QC stage only — harvest-stage rejects are in the row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Pelvic @ Martins</t>
        </is>
      </c>
      <c r="B6" s="54" t="inlineStr">
        <is>
          <t xml:space="preserve">666541</t>
        </is>
      </c>
      <c r="C6" s="55" t="n">
        <v>198</v>
      </c>
      <c r="D6" s="55" t="n">
        <v>190</v>
      </c>
      <c r="E6" s="55" t="n">
        <v>8</v>
      </c>
      <c r="F6" s="56" t="n">
        <v>0.9596</v>
      </c>
      <c r="G6" s="57" t="inlineStr">
        <is>
          <t xml:space="preserve">Urethra / bladder damage (3)</t>
        </is>
      </c>
    </row>
    <row r="7">
      <c r="A7" s="54" t="inlineStr">
        <is>
          <t xml:space="preserve">Pelvic @ Martins</t>
        </is>
      </c>
      <c r="B7" s="54" t="inlineStr">
        <is>
          <t xml:space="preserve">666506</t>
        </is>
      </c>
      <c r="C7" s="55" t="n">
        <v>20</v>
      </c>
      <c r="D7" s="55" t="n">
        <v>20</v>
      </c>
      <c r="E7" s="55" t="n">
        <v>0</v>
      </c>
      <c r="F7" s="56" t="n">
        <v>1.0</v>
      </c>
      <c r="G7" s="57" t="inlineStr">
        <is>
          <t xml:space="preserve">—</t>
        </is>
      </c>
    </row>
    <row r="8">
      <c r="A8" s="54" t="inlineStr">
        <is>
          <t xml:space="preserve">Pelvic @ Parks</t>
        </is>
      </c>
      <c r="B8" s="54" t="inlineStr">
        <is>
          <t xml:space="preserve">666541</t>
        </is>
      </c>
      <c r="C8" s="55" t="n">
        <v>46</v>
      </c>
      <c r="D8" s="55" t="n">
        <v>44</v>
      </c>
      <c r="E8" s="55" t="n">
        <v>2</v>
      </c>
      <c r="F8" s="56" t="n">
        <v>0.9565</v>
      </c>
      <c r="G8" s="57" t="inlineStr">
        <is>
          <t xml:space="preserve">Bowel damage / separation (1)</t>
        </is>
      </c>
    </row>
    <row r="9">
      <c r="A9" s="54" t="inlineStr">
        <is>
          <t xml:space="preserve">Pelvic @ Nahunta</t>
        </is>
      </c>
      <c r="B9" s="54" t="inlineStr">
        <is>
          <t xml:space="preserve">666541</t>
        </is>
      </c>
      <c r="C9" s="55" t="n">
        <v>13</v>
      </c>
      <c r="D9" s="55" t="n">
        <v>1</v>
      </c>
      <c r="E9" s="55" t="n">
        <v>12</v>
      </c>
      <c r="F9" s="56" t="n">
        <v>0.0769</v>
      </c>
      <c r="G9" s="57" t="inlineStr">
        <is>
          <t xml:space="preserve">Pre-receipt screen — inspected before receipt (see notes)</t>
        </is>
      </c>
    </row>
    <row r="10">
      <c r="A10" s="54" t="inlineStr">
        <is>
          <t xml:space="preserve">Thoracic @ Nahunta</t>
        </is>
      </c>
      <c r="B10" s="54" t="inlineStr">
        <is>
          <t xml:space="preserve">666521</t>
        </is>
      </c>
      <c r="C10" s="55" t="n">
        <v>66</v>
      </c>
      <c r="D10" s="55" t="n">
        <v>16</v>
      </c>
      <c r="E10" s="55" t="n">
        <v>50</v>
      </c>
      <c r="F10" s="56" t="n">
        <v>0.2424</v>
      </c>
      <c r="G10" s="57" t="inlineStr">
        <is>
          <t xml:space="preserve">Lung laceration (31)</t>
        </is>
      </c>
    </row>
    <row r="11"/>
    <row r="12" ht="20" customHeight="1">
      <c r="A12" s="52" t="inlineStr">
        <is>
          <t xml:space="preserve">MOST RECURRING DEFECTS — BY TISSUE × SLAUGHTERHOUSE</t>
        </is>
      </c>
    </row>
    <row r="13" ht="16" customHeight="1">
      <c r="A13" s="58" t="inlineStr">
        <is>
          <t xml:space="preserve">Pelvic @ Martins · 666541 — 8 fails of 198 inspected</t>
        </is>
      </c>
    </row>
    <row r="14">
      <c r="A14" s="53" t="inlineStr">
        <is>
          <t xml:space="preserve">Rank</t>
        </is>
      </c>
      <c r="B14" s="53" t="inlineStr">
        <is>
          <t xml:space="preserve">Defect category</t>
        </is>
      </c>
      <c r="F14" s="53" t="inlineStr">
        <is>
          <t xml:space="preserve">Count</t>
        </is>
      </c>
      <c r="G14" s="53" t="inlineStr">
        <is>
          <t xml:space="preserve">% of fails</t>
        </is>
      </c>
    </row>
    <row r="15">
      <c r="A15" s="55" t="n">
        <v>1</v>
      </c>
      <c r="B15" s="54" t="inlineStr">
        <is>
          <t xml:space="preserve">Urethra / bladder damage</t>
        </is>
      </c>
      <c r="F15" s="55" t="n">
        <v>3</v>
      </c>
      <c r="G15" s="56" t="n">
        <v>0.375</v>
      </c>
    </row>
    <row r="16">
      <c r="A16" s="55" t="n">
        <v>2</v>
      </c>
      <c r="B16" s="54" t="inlineStr">
        <is>
          <t xml:space="preserve">Membrane damage</t>
        </is>
      </c>
      <c r="F16" s="55" t="n">
        <v>3</v>
      </c>
      <c r="G16" s="56" t="n">
        <v>0.375</v>
      </c>
    </row>
    <row r="17">
      <c r="A17" s="55" t="n">
        <v>3</v>
      </c>
      <c r="B17" s="54" t="inlineStr">
        <is>
          <t xml:space="preserve">Bowel damage / separation</t>
        </is>
      </c>
      <c r="F17" s="55" t="n">
        <v>2</v>
      </c>
      <c r="G17" s="56" t="n">
        <v>0.25</v>
      </c>
    </row>
    <row r="18"/>
    <row r="19" ht="16" customHeight="1">
      <c r="A19" s="58" t="inlineStr">
        <is>
          <t xml:space="preserve">Pelvic @ Martins · 666506 — no fails this month (20 inspected, 100% FPY)</t>
        </is>
      </c>
    </row>
    <row r="20" ht="16" customHeight="1">
      <c r="A20" s="58" t="inlineStr">
        <is>
          <t xml:space="preserve">Pelvic @ Parks · 666541 — 2 fails of 46 inspected</t>
        </is>
      </c>
    </row>
    <row r="21">
      <c r="A21" s="53" t="inlineStr">
        <is>
          <t xml:space="preserve">Rank</t>
        </is>
      </c>
      <c r="B21" s="53" t="inlineStr">
        <is>
          <t xml:space="preserve">Defect category</t>
        </is>
      </c>
      <c r="F21" s="53" t="inlineStr">
        <is>
          <t xml:space="preserve">Count</t>
        </is>
      </c>
      <c r="G21" s="53" t="inlineStr">
        <is>
          <t xml:space="preserve">% of fails</t>
        </is>
      </c>
    </row>
    <row r="22">
      <c r="A22" s="55" t="n">
        <v>1</v>
      </c>
      <c r="B22" s="54" t="inlineStr">
        <is>
          <t xml:space="preserve">Bowel damage / separation</t>
        </is>
      </c>
      <c r="F22" s="55" t="n">
        <v>1</v>
      </c>
      <c r="G22" s="56" t="n">
        <v>0.5</v>
      </c>
    </row>
    <row r="23">
      <c r="A23" s="55" t="n">
        <v>2</v>
      </c>
      <c r="B23" s="54" t="inlineStr">
        <is>
          <t xml:space="preserve">Critical-area laceration</t>
        </is>
      </c>
      <c r="F23" s="55" t="n">
        <v>1</v>
      </c>
      <c r="G23" s="56" t="n">
        <v>0.5</v>
      </c>
    </row>
    <row r="24"/>
    <row r="25" ht="28" customHeight="1">
      <c r="A25" s="60" t="inlineStr">
        <is>
          <t xml:space="preserve">Pelvic @ Nahunta · 666541 — 12 rejects of 13 screened PRIOR TO RECEIPT (before the harvesting tech got the tissue) — not incoming-QC fails and not FPY-graded; no reasons itemized; excluded from defect charts.</t>
        </is>
      </c>
    </row>
    <row r="26" ht="16" customHeight="1">
      <c r="A26" s="58" t="inlineStr">
        <is>
          <t xml:space="preserve">Thoracic @ Nahunta · 666521 — 50 fails of 66 inspected</t>
        </is>
      </c>
    </row>
    <row r="27">
      <c r="A27" s="53" t="inlineStr">
        <is>
          <t xml:space="preserve">Rank</t>
        </is>
      </c>
      <c r="B27" s="53" t="inlineStr">
        <is>
          <t xml:space="preserve">Defect category</t>
        </is>
      </c>
      <c r="F27" s="53" t="inlineStr">
        <is>
          <t xml:space="preserve">Count</t>
        </is>
      </c>
      <c r="G27" s="53" t="inlineStr">
        <is>
          <t xml:space="preserve">% of fails</t>
        </is>
      </c>
    </row>
    <row r="28">
      <c r="A28" s="55" t="n">
        <v>1</v>
      </c>
      <c r="B28" s="54" t="inlineStr">
        <is>
          <t xml:space="preserve">Lung laceration</t>
        </is>
      </c>
      <c r="F28" s="55" t="n">
        <v>31</v>
      </c>
      <c r="G28" s="56" t="n">
        <v>0.62</v>
      </c>
    </row>
    <row r="29">
      <c r="A29" s="55" t="n">
        <v>2</v>
      </c>
      <c r="B29" s="54" t="inlineStr">
        <is>
          <t xml:space="preserve">Heart damage</t>
        </is>
      </c>
      <c r="F29" s="55" t="n">
        <v>19</v>
      </c>
      <c r="G29" s="56" t="n">
        <v>0.38</v>
      </c>
    </row>
    <row r="30">
      <c r="A30" s="55" t="n">
        <v>3</v>
      </c>
      <c r="B30" s="54" t="inlineStr">
        <is>
          <t xml:space="preserve">Undocumented / not itemized</t>
        </is>
      </c>
      <c r="F30" s="55" t="n">
        <v>1</v>
      </c>
      <c r="G30" s="56" t="n">
        <v>0.02</v>
      </c>
    </row>
    <row r="31"/>
    <row r="32" ht="20" customHeight="1">
      <c r="A32" s="52" t="inlineStr">
        <is>
          <t xml:space="preserve">ALL INSPECTIONS THIS MONTH</t>
        </is>
      </c>
    </row>
    <row r="33">
      <c r="A33" s="53" t="inlineStr">
        <is>
          <t xml:space="preserve">Harvest Date</t>
        </is>
      </c>
      <c r="B33" s="53" t="inlineStr">
        <is>
          <t xml:space="preserve">Slaughterhouse</t>
        </is>
      </c>
      <c r="C33" s="53" t="inlineStr">
        <is>
          <t xml:space="preserve">Tissue</t>
        </is>
      </c>
      <c r="D33" s="53" t="inlineStr">
        <is>
          <t xml:space="preserve">Part #</t>
        </is>
      </c>
      <c r="E33" s="53" t="inlineStr">
        <is>
          <t xml:space="preserve">Lot</t>
        </is>
      </c>
      <c r="F33" s="53" t="inlineStr">
        <is>
          <t xml:space="preserve"># Inspected</t>
        </is>
      </c>
      <c r="G33" s="53" t="inlineStr">
        <is>
          <t xml:space="preserve"># Pass</t>
        </is>
      </c>
      <c r="H33" s="53" t="inlineStr">
        <is>
          <t xml:space="preserve"># Fail</t>
        </is>
      </c>
      <c r="I33" s="53" t="inlineStr">
        <is>
          <t xml:space="preserve">FPY</t>
        </is>
      </c>
      <c r="J33" s="53" t="inlineStr">
        <is>
          <t xml:space="preserve">Scrap reason / notes</t>
        </is>
      </c>
    </row>
    <row r="34" ht="13.5" customHeight="1">
      <c r="A34" s="54" t="inlineStr">
        <is>
          <t xml:space="preserve">2026-08-03</t>
        </is>
      </c>
      <c r="B34" s="54" t="inlineStr">
        <is>
          <t xml:space="preserve">Martins</t>
        </is>
      </c>
      <c r="C34" s="54" t="inlineStr">
        <is>
          <t xml:space="preserve">Pelvic</t>
        </is>
      </c>
      <c r="D34" s="54" t="inlineStr">
        <is>
          <t xml:space="preserve">666541</t>
        </is>
      </c>
      <c r="E34" s="54" t="inlineStr">
        <is>
          <t xml:space="preserve">5502512228</t>
        </is>
      </c>
      <c r="F34" s="55" t="n">
        <v>44</v>
      </c>
      <c r="G34" s="55" t="n">
        <v>44</v>
      </c>
      <c r="H34" s="55" t="n">
        <v>0</v>
      </c>
      <c r="I34" s="56" t="n">
        <v>1.0</v>
      </c>
      <c r="J34" s="57" t="inlineStr">
        <is>
          <t xml:space="preserve"/>
        </is>
      </c>
    </row>
    <row r="35" ht="40.0" customHeight="1">
      <c r="A35" s="54" t="inlineStr">
        <is>
          <t xml:space="preserve">2026-08-05</t>
        </is>
      </c>
      <c r="B35" s="54" t="inlineStr">
        <is>
          <t xml:space="preserve">Nahunta</t>
        </is>
      </c>
      <c r="C35" s="54" t="inlineStr">
        <is>
          <t xml:space="preserve">Thoracic</t>
        </is>
      </c>
      <c r="D35" s="54" t="inlineStr">
        <is>
          <t xml:space="preserve">666521</t>
        </is>
      </c>
      <c r="E35" s="54" t="inlineStr">
        <is>
          <t xml:space="preserve">5502512218</t>
        </is>
      </c>
      <c r="F35" s="55" t="n">
        <v>15</v>
      </c>
      <c r="G35" s="55" t="n">
        <v>0</v>
      </c>
      <c r="H35" s="55" t="n">
        <v>15</v>
      </c>
      <c r="I35" s="56" t="n">
        <v>0.0</v>
      </c>
      <c r="J35" s="57" t="inlineStr">
        <is>
          <t xml:space="preserve">11 right-lung lacerations (mostly along perimeter); 4 heart damage. Majority of damage harvesting-side; two units had no lung laceration but failed on heart.</t>
        </is>
      </c>
    </row>
    <row r="36" ht="13.5" customHeight="1">
      <c r="A36" s="54" t="inlineStr">
        <is>
          <t xml:space="preserve">2026-08-05</t>
        </is>
      </c>
      <c r="B36" s="54" t="inlineStr">
        <is>
          <t xml:space="preserve">Martins</t>
        </is>
      </c>
      <c r="C36" s="54" t="inlineStr">
        <is>
          <t xml:space="preserve">Pelvic</t>
        </is>
      </c>
      <c r="D36" s="54" t="inlineStr">
        <is>
          <t xml:space="preserve">666541</t>
        </is>
      </c>
      <c r="E36" s="54" t="inlineStr">
        <is>
          <t xml:space="preserve">5502512228</t>
        </is>
      </c>
      <c r="F36" s="55" t="n">
        <v>35</v>
      </c>
      <c r="G36" s="55" t="n">
        <v>33</v>
      </c>
      <c r="H36" s="55" t="n">
        <v>2</v>
      </c>
      <c r="I36" s="56" t="n">
        <v>0.9429</v>
      </c>
      <c r="J36" s="57" t="inlineStr">
        <is>
          <t xml:space="preserve">1 damaged membrane; 1 hole in bowel</t>
        </is>
      </c>
    </row>
    <row r="37" ht="13.5" customHeight="1">
      <c r="A37" s="54" t="inlineStr">
        <is>
          <t xml:space="preserve">2026-08-10</t>
        </is>
      </c>
      <c r="B37" s="54" t="inlineStr">
        <is>
          <t xml:space="preserve">Martins</t>
        </is>
      </c>
      <c r="C37" s="54" t="inlineStr">
        <is>
          <t xml:space="preserve">Pelvic</t>
        </is>
      </c>
      <c r="D37" s="54" t="inlineStr">
        <is>
          <t xml:space="preserve">666506</t>
        </is>
      </c>
      <c r="E37" s="54" t="inlineStr">
        <is>
          <t xml:space="preserve">5502523266</t>
        </is>
      </c>
      <c r="F37" s="55" t="n">
        <v>8</v>
      </c>
      <c r="G37" s="55" t="n">
        <v>8</v>
      </c>
      <c r="H37" s="55" t="n">
        <v>0</v>
      </c>
      <c r="I37" s="56" t="n">
        <v>1.0</v>
      </c>
      <c r="J37" s="57" t="inlineStr">
        <is>
          <t xml:space="preserve"/>
        </is>
      </c>
    </row>
    <row r="38" ht="13.5" customHeight="1">
      <c r="A38" s="54" t="inlineStr">
        <is>
          <t xml:space="preserve">2026-08-10</t>
        </is>
      </c>
      <c r="B38" s="54" t="inlineStr">
        <is>
          <t xml:space="preserve">Martins</t>
        </is>
      </c>
      <c r="C38" s="54" t="inlineStr">
        <is>
          <t xml:space="preserve">Pelvic</t>
        </is>
      </c>
      <c r="D38" s="54" t="inlineStr">
        <is>
          <t xml:space="preserve">666541</t>
        </is>
      </c>
      <c r="E38" s="54" t="inlineStr">
        <is>
          <t xml:space="preserve">5502523269</t>
        </is>
      </c>
      <c r="F38" s="55" t="n">
        <v>43</v>
      </c>
      <c r="G38" s="55" t="n">
        <v>41</v>
      </c>
      <c r="H38" s="55" t="n">
        <v>2</v>
      </c>
      <c r="I38" s="56" t="n">
        <v>0.9535</v>
      </c>
      <c r="J38" s="57" t="inlineStr">
        <is>
          <t xml:space="preserve">2 urethra damage</t>
        </is>
      </c>
    </row>
    <row r="39" ht="13.5" customHeight="1">
      <c r="A39" s="54" t="inlineStr">
        <is>
          <t xml:space="preserve">2026-08-10</t>
        </is>
      </c>
      <c r="B39" s="54" t="inlineStr">
        <is>
          <t xml:space="preserve">Parks</t>
        </is>
      </c>
      <c r="C39" s="54" t="inlineStr">
        <is>
          <t xml:space="preserve">Pelvic</t>
        </is>
      </c>
      <c r="D39" s="54" t="inlineStr">
        <is>
          <t xml:space="preserve">666541</t>
        </is>
      </c>
      <c r="E39" s="54" t="inlineStr">
        <is>
          <t xml:space="preserve">(no batch data)</t>
        </is>
      </c>
      <c r="F39" s="55" t="n">
        <v>10</v>
      </c>
      <c r="G39" s="55" t="n">
        <v>10</v>
      </c>
      <c r="H39" s="55" t="n">
        <v>0</v>
      </c>
      <c r="I39" s="56" t="n">
        <v>1.0</v>
      </c>
      <c r="J39" s="57" t="inlineStr">
        <is>
          <t xml:space="preserve">No failures this day.</t>
        </is>
      </c>
    </row>
    <row r="40" ht="40.0" customHeight="1">
      <c r="A40" s="54" t="inlineStr">
        <is>
          <t xml:space="preserve">2026-08-12</t>
        </is>
      </c>
      <c r="B40" s="54" t="inlineStr">
        <is>
          <t xml:space="preserve">Nahunta</t>
        </is>
      </c>
      <c r="C40" s="54" t="inlineStr">
        <is>
          <t xml:space="preserve">Thoracic</t>
        </is>
      </c>
      <c r="D40" s="54" t="inlineStr">
        <is>
          <t xml:space="preserve">666521</t>
        </is>
      </c>
      <c r="E40" s="54" t="inlineStr">
        <is>
          <t xml:space="preserve">5502523283</t>
        </is>
      </c>
      <c r="F40" s="55" t="n">
        <v>13</v>
      </c>
      <c r="G40" s="55" t="n">
        <v>2</v>
      </c>
      <c r="H40" s="55" t="n">
        <v>11</v>
      </c>
      <c r="I40" s="56" t="n">
        <v>0.1538</v>
      </c>
      <c r="J40" s="57" t="inlineStr">
        <is>
          <t xml:space="preserve">9 right-lung lacerations; 3 heart damage (breakdown sums to 12 vs 11 recorded). No left-lung damage seen; requested Ricardo shadow next visit.</t>
        </is>
      </c>
    </row>
    <row r="41" ht="54.0" customHeight="1">
      <c r="A41" s="54" t="inlineStr">
        <is>
          <t xml:space="preserve">2026-08-12</t>
        </is>
      </c>
      <c r="B41" s="54" t="inlineStr">
        <is>
          <t xml:space="preserve">Nahunta</t>
        </is>
      </c>
      <c r="C41" s="54" t="inlineStr">
        <is>
          <t xml:space="preserve">Pelvic</t>
        </is>
      </c>
      <c r="D41" s="54" t="inlineStr">
        <is>
          <t xml:space="preserve">666541</t>
        </is>
      </c>
      <c r="E41" s="54" t="inlineStr">
        <is>
          <t xml:space="preserve">5502523283</t>
        </is>
      </c>
      <c r="F41" s="55" t="n">
        <v>13</v>
      </c>
      <c r="G41" s="55" t="n">
        <v>1</v>
      </c>
      <c r="H41" s="55" t="n">
        <v>12</v>
      </c>
      <c r="I41" s="56" t="n">
        <v>0.0769</v>
      </c>
      <c r="J41" s="57" t="inlineStr">
        <is>
          <t xml:space="preserve">PRE-RECEIPT SCREEN — these 13 blocks were inspected prior to receiving them (before the harvesting tech got the tissue); the 12 rejects never became received product, so this line is not graded as incoming first-pass yield. No scrap reasons itemized on the source sheet; excluded from defect-profile charts.</t>
        </is>
      </c>
    </row>
    <row r="42" ht="13.5" customHeight="1">
      <c r="A42" s="54" t="inlineStr">
        <is>
          <t xml:space="preserve">2026-08-14</t>
        </is>
      </c>
      <c r="B42" s="54" t="inlineStr">
        <is>
          <t xml:space="preserve">Parks</t>
        </is>
      </c>
      <c r="C42" s="54" t="inlineStr">
        <is>
          <t xml:space="preserve">Pelvic</t>
        </is>
      </c>
      <c r="D42" s="54" t="inlineStr">
        <is>
          <t xml:space="preserve">666541</t>
        </is>
      </c>
      <c r="E42" s="54" t="inlineStr">
        <is>
          <t xml:space="preserve">(no batch data)</t>
        </is>
      </c>
      <c r="F42" s="55" t="n">
        <v>23</v>
      </c>
      <c r="G42" s="55" t="n">
        <v>22</v>
      </c>
      <c r="H42" s="55" t="n">
        <v>1</v>
      </c>
      <c r="I42" s="56" t="n">
        <v>0.9565</v>
      </c>
      <c r="J42" s="57" t="inlineStr">
        <is>
          <t xml:space="preserve">Bowel separated from mesentery past the critical point</t>
        </is>
      </c>
    </row>
    <row r="43" ht="13.5" customHeight="1">
      <c r="A43" s="54" t="inlineStr">
        <is>
          <t xml:space="preserve">2026-08-17</t>
        </is>
      </c>
      <c r="B43" s="54" t="inlineStr">
        <is>
          <t xml:space="preserve">Martins</t>
        </is>
      </c>
      <c r="C43" s="54" t="inlineStr">
        <is>
          <t xml:space="preserve">Pelvic</t>
        </is>
      </c>
      <c r="D43" s="54" t="inlineStr">
        <is>
          <t xml:space="preserve">666506</t>
        </is>
      </c>
      <c r="E43" s="54" t="inlineStr">
        <is>
          <t xml:space="preserve">5502523266</t>
        </is>
      </c>
      <c r="F43" s="55" t="n">
        <v>5</v>
      </c>
      <c r="G43" s="55" t="n">
        <v>5</v>
      </c>
      <c r="H43" s="55" t="n">
        <v>0</v>
      </c>
      <c r="I43" s="56" t="n">
        <v>1.0</v>
      </c>
      <c r="J43" s="57" t="inlineStr">
        <is>
          <t xml:space="preserve"/>
        </is>
      </c>
    </row>
    <row r="44" ht="13.5" customHeight="1">
      <c r="A44" s="54" t="inlineStr">
        <is>
          <t xml:space="preserve">2026-08-17</t>
        </is>
      </c>
      <c r="B44" s="54" t="inlineStr">
        <is>
          <t xml:space="preserve">Martins</t>
        </is>
      </c>
      <c r="C44" s="54" t="inlineStr">
        <is>
          <t xml:space="preserve">Pelvic</t>
        </is>
      </c>
      <c r="D44" s="54" t="inlineStr">
        <is>
          <t xml:space="preserve">666541</t>
        </is>
      </c>
      <c r="E44" s="54" t="inlineStr">
        <is>
          <t xml:space="preserve">5502523269</t>
        </is>
      </c>
      <c r="F44" s="55" t="n">
        <v>15</v>
      </c>
      <c r="G44" s="55" t="n">
        <v>14</v>
      </c>
      <c r="H44" s="55" t="n">
        <v>1</v>
      </c>
      <c r="I44" s="56" t="n">
        <v>0.9333</v>
      </c>
      <c r="J44" s="57" t="inlineStr">
        <is>
          <t xml:space="preserve">1 hole in bowel (ran out of pigs, 3-hr wait, truck late)</t>
        </is>
      </c>
    </row>
    <row r="45" ht="40.0" customHeight="1">
      <c r="A45" s="54" t="inlineStr">
        <is>
          <t xml:space="preserve">2026-08-19</t>
        </is>
      </c>
      <c r="B45" s="54" t="inlineStr">
        <is>
          <t xml:space="preserve">Nahunta</t>
        </is>
      </c>
      <c r="C45" s="54" t="inlineStr">
        <is>
          <t xml:space="preserve">Thoracic</t>
        </is>
      </c>
      <c r="D45" s="54" t="inlineStr">
        <is>
          <t xml:space="preserve">666521</t>
        </is>
      </c>
      <c r="E45" s="54" t="inlineStr">
        <is>
          <t xml:space="preserve">5502523283</t>
        </is>
      </c>
      <c r="F45" s="55" t="n">
        <v>29</v>
      </c>
      <c r="G45" s="55" t="n">
        <v>6</v>
      </c>
      <c r="H45" s="55" t="n">
        <v>23</v>
      </c>
      <c r="I45" s="56" t="n">
        <v>0.2069</v>
      </c>
      <c r="J45" s="57" t="inlineStr">
        <is>
          <t xml:space="preserve">11 right-lung lacerations; 12 heart damage. Ricardo meeting reduced lung lacerations only until first break; heart lacerations (inspector-side) now the next gap.</t>
        </is>
      </c>
    </row>
    <row r="46" ht="13.5" customHeight="1">
      <c r="A46" s="54" t="inlineStr">
        <is>
          <t xml:space="preserve">2026-08-20</t>
        </is>
      </c>
      <c r="B46" s="54" t="inlineStr">
        <is>
          <t xml:space="preserve">Parks</t>
        </is>
      </c>
      <c r="C46" s="54" t="inlineStr">
        <is>
          <t xml:space="preserve">Pelvic</t>
        </is>
      </c>
      <c r="D46" s="54" t="inlineStr">
        <is>
          <t xml:space="preserve">666541</t>
        </is>
      </c>
      <c r="E46" s="54" t="inlineStr">
        <is>
          <t xml:space="preserve">(no batch data)</t>
        </is>
      </c>
      <c r="F46" s="55" t="n">
        <v>13</v>
      </c>
      <c r="G46" s="55" t="n">
        <v>12</v>
      </c>
      <c r="H46" s="55" t="n">
        <v>1</v>
      </c>
      <c r="I46" s="56" t="n">
        <v>0.9231</v>
      </c>
      <c r="J46" s="57" t="inlineStr">
        <is>
          <t xml:space="preserve">1 hole in the mesentery critical area</t>
        </is>
      </c>
    </row>
    <row r="47" ht="13.5" customHeight="1">
      <c r="A47" s="54" t="inlineStr">
        <is>
          <t xml:space="preserve">2026-08-24</t>
        </is>
      </c>
      <c r="B47" s="54" t="inlineStr">
        <is>
          <t xml:space="preserve">Martins</t>
        </is>
      </c>
      <c r="C47" s="54" t="inlineStr">
        <is>
          <t xml:space="preserve">Pelvic</t>
        </is>
      </c>
      <c r="D47" s="54" t="inlineStr">
        <is>
          <t xml:space="preserve">666506</t>
        </is>
      </c>
      <c r="E47" s="54" t="inlineStr">
        <is>
          <t xml:space="preserve">5502539357</t>
        </is>
      </c>
      <c r="F47" s="55" t="n">
        <v>7</v>
      </c>
      <c r="G47" s="55" t="n">
        <v>7</v>
      </c>
      <c r="H47" s="55" t="n">
        <v>0</v>
      </c>
      <c r="I47" s="56" t="n">
        <v>1.0</v>
      </c>
      <c r="J47" s="57" t="inlineStr">
        <is>
          <t xml:space="preserve"/>
        </is>
      </c>
    </row>
    <row r="48" ht="13.5" customHeight="1">
      <c r="A48" s="54" t="inlineStr">
        <is>
          <t xml:space="preserve">2026-08-24</t>
        </is>
      </c>
      <c r="B48" s="54" t="inlineStr">
        <is>
          <t xml:space="preserve">Martins</t>
        </is>
      </c>
      <c r="C48" s="54" t="inlineStr">
        <is>
          <t xml:space="preserve">Pelvic</t>
        </is>
      </c>
      <c r="D48" s="54" t="inlineStr">
        <is>
          <t xml:space="preserve">666541</t>
        </is>
      </c>
      <c r="E48" s="54" t="inlineStr">
        <is>
          <t xml:space="preserve">5502539360</t>
        </is>
      </c>
      <c r="F48" s="55" t="n">
        <v>30</v>
      </c>
      <c r="G48" s="55" t="n">
        <v>28</v>
      </c>
      <c r="H48" s="55" t="n">
        <v>2</v>
      </c>
      <c r="I48" s="56" t="n">
        <v>0.9333</v>
      </c>
      <c r="J48" s="57" t="inlineStr">
        <is>
          <t xml:space="preserve">1 cut urethra; 1 short membrane on right side</t>
        </is>
      </c>
    </row>
    <row r="49" ht="54.0" customHeight="1">
      <c r="A49" s="54" t="inlineStr">
        <is>
          <t xml:space="preserve">2026-08-26</t>
        </is>
      </c>
      <c r="B49" s="54" t="inlineStr">
        <is>
          <t xml:space="preserve">Nahunta</t>
        </is>
      </c>
      <c r="C49" s="54" t="inlineStr">
        <is>
          <t xml:space="preserve">Thoracic</t>
        </is>
      </c>
      <c r="D49" s="54" t="inlineStr">
        <is>
          <t xml:space="preserve">666521</t>
        </is>
      </c>
      <c r="E49" s="54" t="inlineStr">
        <is>
          <t xml:space="preserve">5502539375</t>
        </is>
      </c>
      <c r="F49" s="55" t="n">
        <v>9</v>
      </c>
      <c r="G49" s="55" t="n">
        <v>8</v>
      </c>
      <c r="H49" s="55" t="n">
        <v>1</v>
      </c>
      <c r="I49" s="56" t="n">
        <v>0.8889</v>
      </c>
      <c r="J49" s="57" t="inlineStr">
        <is>
          <t xml:space="preserve">OUR QC STAGE: inspected the 9 blocks Jordan passed — 8 pass / 1 fail (visit's 10 total rejects: 8 lung lacerations, 2 heart; stage split not itemized on the sheet). HARVEST STAGE: Jordan rejected 9 of 18 received before tissue reached QC. 2 upper-vessel-damage blocks passed &amp; labeled for the usability study; rebound credited to Francisco's team.</t>
        </is>
      </c>
    </row>
    <row r="50" ht="13.5" customHeight="1">
      <c r="A50" s="54" t="inlineStr">
        <is>
          <t xml:space="preserve">2026-08-31</t>
        </is>
      </c>
      <c r="B50" s="54" t="inlineStr">
        <is>
          <t xml:space="preserve">Martins</t>
        </is>
      </c>
      <c r="C50" s="54" t="inlineStr">
        <is>
          <t xml:space="preserve">Pelvic</t>
        </is>
      </c>
      <c r="D50" s="54" t="inlineStr">
        <is>
          <t xml:space="preserve">666541</t>
        </is>
      </c>
      <c r="E50" s="54" t="inlineStr">
        <is>
          <t xml:space="preserve">5502550271</t>
        </is>
      </c>
      <c r="F50" s="55" t="n">
        <v>31</v>
      </c>
      <c r="G50" s="55" t="n">
        <v>30</v>
      </c>
      <c r="H50" s="55" t="n">
        <v>1</v>
      </c>
      <c r="I50" s="56" t="n">
        <v>0.9677</v>
      </c>
      <c r="J50" s="57" t="inlineStr">
        <is>
          <t xml:space="preserve">1 damaged membrane (SH finished early; 2.5-hr truck wait)</t>
        </is>
      </c>
    </row>
    <row r="51"/>
    <row r="52" ht="16.5" customHeight="1">
      <c r="A52" s="45" t="inlineStr">
        <is>
          <t xml:space="preserve">Key Takeaways</t>
        </is>
      </c>
      <c r="B52" s="45"/>
      <c r="C52" s="45"/>
      <c r="D52" s="45"/>
      <c r="E52" s="45"/>
      <c r="F52" s="45"/>
      <c r="G52" s="45"/>
      <c r="H52" s="45"/>
      <c r="I52" s="45"/>
      <c r="J52" s="45"/>
    </row>
    <row r="53" ht="15.0" customHeight="1">
      <c r="A53" s="46" t="inlineStr">
        <is>
          <t xml:space="preserve">➢ 666541 (Pelvic @ Martins): 96.0% FPY on 198 — clean month; scattered singles (bowel, urethra, membrane).</t>
        </is>
      </c>
      <c r="B53" s="46"/>
      <c r="C53" s="46"/>
      <c r="D53" s="46"/>
      <c r="E53" s="46"/>
      <c r="F53" s="46"/>
      <c r="G53" s="46"/>
      <c r="H53" s="46"/>
      <c r="I53" s="46"/>
      <c r="J53" s="46"/>
    </row>
    <row r="54" ht="15.0" customHeight="1">
      <c r="A54" s="46" t="inlineStr">
        <is>
          <t xml:space="preserve">➢ 666506 (Pelvic @ Martins): 100% FPY on 20 — no failures.</t>
        </is>
      </c>
      <c r="B54" s="46"/>
      <c r="C54" s="46"/>
      <c r="D54" s="46"/>
      <c r="E54" s="46"/>
      <c r="F54" s="46"/>
      <c r="G54" s="46"/>
      <c r="H54" s="46"/>
      <c r="I54" s="46"/>
      <c r="J54" s="46"/>
    </row>
    <row r="55" ht="15.0" customHeight="1">
      <c r="A55" s="46" t="inlineStr">
        <is>
          <t xml:space="preserve">➢ 666541 (Pelvic @ Parks): 95.7% FPY on 46 — strong start on the new spec after the 518 → 541 transition (8/10).</t>
        </is>
      </c>
      <c r="B55" s="46"/>
      <c r="C55" s="46"/>
      <c r="D55" s="46"/>
      <c r="E55" s="46"/>
      <c r="F55" s="46"/>
      <c r="G55" s="46"/>
      <c r="H55" s="46"/>
      <c r="I55" s="46"/>
      <c r="J55" s="46"/>
    </row>
    <row r="56" ht="27.0" customHeight="1">
      <c r="A56" s="46" t="inlineStr">
        <is>
          <t xml:space="preserve">➢ 666521 (Thoracic @ Nahunta): 24.2% QC FPY on 66 across 4 visits — lung lacerations (31) and heart damage (19) persist. 8/26 was the first two-inspection visit: Jordan rejected 9 of 18 at harvest, our QC then passed 8 of 9 (88.9%) — rebound credited to Francisco's team.</t>
        </is>
      </c>
      <c r="B56" s="46"/>
      <c r="C56" s="46"/>
      <c r="D56" s="46"/>
      <c r="E56" s="46"/>
      <c r="F56" s="46"/>
      <c r="G56" s="46"/>
      <c r="H56" s="46"/>
      <c r="I56" s="46"/>
      <c r="J56" s="46"/>
    </row>
    <row r="57" ht="27.0" customHeight="1">
      <c r="A57" s="47" t="inlineStr">
        <is>
          <t xml:space="preserve">➢ 666541 (Pelvic @ Nahunta): the 8/12 line (13/1/12) was a PRE-RECEIPT SCREEN — inspected prior to receiving them, before the harvesting tech got the tissue; the 12 rejects never became received product, so it is not graded as incoming FPY (no reasons itemized; excluded from defect charts).</t>
        </is>
      </c>
      <c r="B57" s="47"/>
      <c r="C57" s="47"/>
      <c r="D57" s="47"/>
      <c r="E57" s="47"/>
      <c r="F57" s="47"/>
      <c r="G57" s="47"/>
      <c r="H57" s="47"/>
      <c r="I57" s="47"/>
      <c r="J57" s="47"/>
    </row>
  </sheetData>
  <mergeCells count="33">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A20:J20"/>
    <mergeCell ref="B21:E21"/>
    <mergeCell ref="B22:E22"/>
    <mergeCell ref="B23:E23"/>
    <mergeCell ref="A25:J25"/>
    <mergeCell ref="A26:J26"/>
    <mergeCell ref="B27:E27"/>
    <mergeCell ref="B28:E28"/>
    <mergeCell ref="B29:E29"/>
    <mergeCell ref="B30:E30"/>
    <mergeCell ref="A32:J32"/>
    <mergeCell ref="A52:J52"/>
    <mergeCell ref="A53:J53"/>
    <mergeCell ref="A54:J54"/>
    <mergeCell ref="A55:J55"/>
    <mergeCell ref="A56:J56"/>
    <mergeCell ref="A57:J57"/>
  </mergeCells>
  <conditionalFormatting sqref="F6:F6 F7:F7 F8:F8 F10: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F23">
    <cfRule type="dataBar" priority="3">
      <dataBar>
        <cfvo type="min"/>
        <cfvo type="max"/>
        <color rgb="FF638EC6"/>
      </dataBar>
    </cfRule>
  </conditionalFormatting>
  <conditionalFormatting sqref="F28:F30">
    <cfRule type="dataBar" priority="4">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dimension ref="A1:P65"/>
  <sheetViews>
    <sheetView workbookViewId="0">
      <selection activeCell="A1" sqref="A1"/>
    </sheetView>
  </sheetViews>
  <sheetFormatPr defaultRowHeight="15"/>
  <cols>
    <col min="1" max="1" width="13" customWidth="1"/>
    <col min="2" max="2" width="8" customWidth="1"/>
    <col min="3" max="4" width="9" customWidth="1"/>
    <col min="5" max="5" width="20" customWidth="1"/>
    <col min="6" max="8" width="8" customWidth="1"/>
    <col min="9" max="9" width="9" customWidth="1"/>
    <col min="10" max="10" width="30" customWidth="1"/>
    <col min="11" max="11" width="12" customWidth="1"/>
    <col min="12" max="14" width="9" customWidth="1"/>
    <col min="15" max="15" width="21" customWidth="1"/>
    <col min="16" max="16" width="11" customWidth="1"/>
  </cols>
  <sheetData>
    <row r="1" ht="24" customHeight="1">
      <c r="A1" s="50" t="inlineStr">
        <is>
          <t xml:space="preserve">SH vs ATM — Batch-to-Batch Comparison</t>
        </is>
      </c>
    </row>
    <row r="2" ht="58" customHeight="1">
      <c r="A2" s="51" t="inlineStr">
        <is>
          <t xml:space="preserve">Batches inspected on the slaughterhouse floor that also appear in the ATM (SAP) receipt data, matched on batch/lot number — 16 matched batches: 12 Martins pelvic 666541 + 4 Nahunta thoracic 666521. This tab is the ATM data restricted to SH-inspected batches. SAP extract as of 09/16/2026 (earlier batch totals carried from the prior extract; new-window postings merged, no double-count). SH figures are floor samples; ATM figures are the full received quantity. 'ATM review' = scrap postings (movement 551); the lag column shows how long after the SH inspection the batch was revised at ATM.</t>
        </is>
      </c>
    </row>
    <row r="3"/>
    <row r="4" ht="20" customHeight="1">
      <c r="A4" s="52" t="inlineStr">
        <is>
          <t xml:space="preserve">BATCH-TO-BATCH: SH FLOOR vs ATM RECEIPT REVIEW</t>
        </is>
      </c>
    </row>
    <row r="5" ht="27" customHeight="1">
      <c r="A5" s="53" t="inlineStr">
        <is>
          <t xml:space="preserve">Batch / Lot</t>
        </is>
      </c>
      <c r="B5" s="53" t="inlineStr">
        <is>
          <t xml:space="preserve">Part</t>
        </is>
      </c>
      <c r="C5" s="53" t="inlineStr">
        <is>
          <t xml:space="preserve">Tissue</t>
        </is>
      </c>
      <c r="D5" s="53" t="inlineStr">
        <is>
          <t xml:space="preserve">SH site</t>
        </is>
      </c>
      <c r="E5" s="53" t="inlineStr">
        <is>
          <t xml:space="preserve">SH inspection dates</t>
        </is>
      </c>
      <c r="F5" s="53" t="inlineStr">
        <is>
          <t xml:space="preserve">SH # Insp</t>
        </is>
      </c>
      <c r="G5" s="53" t="inlineStr">
        <is>
          <t xml:space="preserve">SH # Pass</t>
        </is>
      </c>
      <c r="H5" s="53" t="inlineStr">
        <is>
          <t xml:space="preserve">SH # Fail</t>
        </is>
      </c>
      <c r="I5" s="53" t="inlineStr">
        <is>
          <t xml:space="preserve">SH FPY</t>
        </is>
      </c>
      <c r="J5" s="53" t="inlineStr">
        <is>
          <t xml:space="preserve">SH top defects</t>
        </is>
      </c>
      <c r="K5" s="53" t="inlineStr">
        <is>
          <t xml:space="preserve">ATM first receipt</t>
        </is>
      </c>
      <c r="L5" s="53" t="inlineStr">
        <is>
          <t xml:space="preserve">ATM # Recv</t>
        </is>
      </c>
      <c r="M5" s="53" t="inlineStr">
        <is>
          <t xml:space="preserve">ATM # Scrap</t>
        </is>
      </c>
      <c r="N5" s="53" t="inlineStr">
        <is>
          <t xml:space="preserve">ATM Scrap %</t>
        </is>
      </c>
      <c r="O5" s="53" t="inlineStr">
        <is>
          <t xml:space="preserve">ATM review window</t>
        </is>
      </c>
      <c r="P5" s="53" t="inlineStr">
        <is>
          <t xml:space="preserve">Days SH → ATM review</t>
        </is>
      </c>
    </row>
    <row r="6" ht="27" customHeight="1">
      <c r="A6" s="54" t="inlineStr">
        <is>
          <t xml:space="preserve">5502378434</t>
        </is>
      </c>
      <c r="B6" s="54" t="inlineStr">
        <is>
          <t xml:space="preserve">666541</t>
        </is>
      </c>
      <c r="C6" s="54" t="inlineStr">
        <is>
          <t xml:space="preserve">Pelvic</t>
        </is>
      </c>
      <c r="D6" s="54" t="inlineStr">
        <is>
          <t xml:space="preserve">Martins</t>
        </is>
      </c>
      <c r="E6" s="54" t="inlineStr">
        <is>
          <t xml:space="preserve">04-13, 04-15</t>
        </is>
      </c>
      <c r="F6" s="55" t="n">
        <v>65</v>
      </c>
      <c r="G6" s="55" t="n">
        <v>60</v>
      </c>
      <c r="H6" s="55" t="n">
        <v>5</v>
      </c>
      <c r="I6" s="56" t="n">
        <v>0.9231</v>
      </c>
      <c r="J6" s="57" t="inlineStr">
        <is>
          <t xml:space="preserve">Urethra (2), Blood clots (2), Bowel damage (1)</t>
        </is>
      </c>
      <c r="K6" s="54" t="inlineStr">
        <is>
          <t xml:space="preserve">2026-04-02</t>
        </is>
      </c>
      <c r="L6" s="55" t="n">
        <v>542</v>
      </c>
      <c r="M6" s="55" t="n">
        <v>24</v>
      </c>
      <c r="N6" s="56" t="n">
        <v>0.0443</v>
      </c>
      <c r="O6" s="54" t="inlineStr">
        <is>
          <t xml:space="preserve">2026-05-01 → 2026-05-13</t>
        </is>
      </c>
      <c r="P6" s="55" t="n">
        <v>18</v>
      </c>
    </row>
    <row r="7" ht="27" customHeight="1">
      <c r="A7" s="54" t="inlineStr">
        <is>
          <t xml:space="preserve">5502391862</t>
        </is>
      </c>
      <c r="B7" s="54" t="inlineStr">
        <is>
          <t xml:space="preserve">666541</t>
        </is>
      </c>
      <c r="C7" s="54" t="inlineStr">
        <is>
          <t xml:space="preserve">Pelvic</t>
        </is>
      </c>
      <c r="D7" s="54" t="inlineStr">
        <is>
          <t xml:space="preserve">Martins</t>
        </is>
      </c>
      <c r="E7" s="54" t="inlineStr">
        <is>
          <t xml:space="preserve">04-20, 04-22</t>
        </is>
      </c>
      <c r="F7" s="55" t="n">
        <v>57</v>
      </c>
      <c r="G7" s="55" t="n">
        <v>56</v>
      </c>
      <c r="H7" s="55" t="n">
        <v>1</v>
      </c>
      <c r="I7" s="56" t="n">
        <v>0.9825</v>
      </c>
      <c r="J7" s="57" t="inlineStr">
        <is>
          <t xml:space="preserve">Bowel damage (1)</t>
        </is>
      </c>
      <c r="K7" s="54" t="inlineStr">
        <is>
          <t xml:space="preserve">2026-04-16</t>
        </is>
      </c>
      <c r="L7" s="55" t="n">
        <v>423</v>
      </c>
      <c r="M7" s="55" t="n">
        <v>7</v>
      </c>
      <c r="N7" s="56" t="n">
        <v>0.0165</v>
      </c>
      <c r="O7" s="54" t="inlineStr">
        <is>
          <t xml:space="preserve">2026-05-21 → 2026-05-21</t>
        </is>
      </c>
      <c r="P7" s="55" t="n">
        <v>31</v>
      </c>
    </row>
    <row r="8" ht="27" customHeight="1">
      <c r="A8" s="54" t="inlineStr">
        <is>
          <t xml:space="preserve">5502404928</t>
        </is>
      </c>
      <c r="B8" s="54" t="inlineStr">
        <is>
          <t xml:space="preserve">666541</t>
        </is>
      </c>
      <c r="C8" s="54" t="inlineStr">
        <is>
          <t xml:space="preserve">Pelvic</t>
        </is>
      </c>
      <c r="D8" s="54" t="inlineStr">
        <is>
          <t xml:space="preserve">Martins</t>
        </is>
      </c>
      <c r="E8" s="54" t="inlineStr">
        <is>
          <t xml:space="preserve">05-04, 05-06</t>
        </is>
      </c>
      <c r="F8" s="55" t="n">
        <v>62</v>
      </c>
      <c r="G8" s="55" t="n">
        <v>58</v>
      </c>
      <c r="H8" s="55" t="n">
        <v>4</v>
      </c>
      <c r="I8" s="56" t="n">
        <v>0.9355</v>
      </c>
      <c r="J8" s="57" t="inlineStr">
        <is>
          <t xml:space="preserve">Urethra (4)</t>
        </is>
      </c>
      <c r="K8" s="54" t="inlineStr">
        <is>
          <t xml:space="preserve">2026-04-29</t>
        </is>
      </c>
      <c r="L8" s="55" t="n">
        <v>347</v>
      </c>
      <c r="M8" s="55" t="n">
        <v>22</v>
      </c>
      <c r="N8" s="56" t="n">
        <v>0.0634</v>
      </c>
      <c r="O8" s="54" t="inlineStr">
        <is>
          <t xml:space="preserve">2026-05-29 → 2026-07-30</t>
        </is>
      </c>
      <c r="P8" s="55" t="n">
        <v>25</v>
      </c>
    </row>
    <row r="9" ht="27" customHeight="1">
      <c r="A9" s="54" t="inlineStr">
        <is>
          <t xml:space="preserve">5502421192</t>
        </is>
      </c>
      <c r="B9" s="54" t="inlineStr">
        <is>
          <t xml:space="preserve">666541</t>
        </is>
      </c>
      <c r="C9" s="54" t="inlineStr">
        <is>
          <t xml:space="preserve">Pelvic</t>
        </is>
      </c>
      <c r="D9" s="54" t="inlineStr">
        <is>
          <t xml:space="preserve">Martins</t>
        </is>
      </c>
      <c r="E9" s="54" t="inlineStr">
        <is>
          <t xml:space="preserve">05-18, 05-21, 05-27</t>
        </is>
      </c>
      <c r="F9" s="55" t="n">
        <v>132</v>
      </c>
      <c r="G9" s="55" t="n">
        <v>123</v>
      </c>
      <c r="H9" s="55" t="n">
        <v>9</v>
      </c>
      <c r="I9" s="56" t="n">
        <v>0.9318</v>
      </c>
      <c r="J9" s="57" t="inlineStr">
        <is>
          <t xml:space="preserve">Urethra (5), Membrane damage (2), Short block (1)</t>
        </is>
      </c>
      <c r="K9" s="54" t="inlineStr">
        <is>
          <t xml:space="preserve">2026-05-13</t>
        </is>
      </c>
      <c r="L9" s="55" t="n">
        <v>367</v>
      </c>
      <c r="M9" s="55" t="n">
        <v>24</v>
      </c>
      <c r="N9" s="56" t="n">
        <v>0.0654</v>
      </c>
      <c r="O9" s="54" t="inlineStr">
        <is>
          <t xml:space="preserve">2026-06-03 → 2026-06-18</t>
        </is>
      </c>
      <c r="P9" s="55" t="n">
        <v>16</v>
      </c>
    </row>
    <row r="10" ht="27" customHeight="1">
      <c r="A10" s="54" t="inlineStr">
        <is>
          <t xml:space="preserve">5502428786</t>
        </is>
      </c>
      <c r="B10" s="54" t="inlineStr">
        <is>
          <t xml:space="preserve">666541</t>
        </is>
      </c>
      <c r="C10" s="54" t="inlineStr">
        <is>
          <t xml:space="preserve">Pelvic</t>
        </is>
      </c>
      <c r="D10" s="54" t="inlineStr">
        <is>
          <t xml:space="preserve">Martins</t>
        </is>
      </c>
      <c r="E10" s="54" t="inlineStr">
        <is>
          <t xml:space="preserve">06-01, 06-03, 06-08</t>
        </is>
      </c>
      <c r="F10" s="55" t="n">
        <v>71</v>
      </c>
      <c r="G10" s="55" t="n">
        <v>68</v>
      </c>
      <c r="H10" s="55" t="n">
        <v>3</v>
      </c>
      <c r="I10" s="56" t="n">
        <v>0.9577</v>
      </c>
      <c r="J10" s="57" t="inlineStr">
        <is>
          <t xml:space="preserve">Urethra (3)</t>
        </is>
      </c>
      <c r="K10" s="54" t="inlineStr">
        <is>
          <t xml:space="preserve">2026-05-20</t>
        </is>
      </c>
      <c r="L10" s="55" t="n">
        <v>246</v>
      </c>
      <c r="M10" s="55" t="n">
        <v>7</v>
      </c>
      <c r="N10" s="56" t="n">
        <v>0.0285</v>
      </c>
      <c r="O10" s="54" t="inlineStr">
        <is>
          <t xml:space="preserve">2026-06-18 → 2026-06-24</t>
        </is>
      </c>
      <c r="P10" s="55" t="n">
        <v>17</v>
      </c>
    </row>
    <row r="11" ht="27" customHeight="1">
      <c r="A11" s="54" t="inlineStr">
        <is>
          <t xml:space="preserve">5502462845</t>
        </is>
      </c>
      <c r="B11" s="54" t="inlineStr">
        <is>
          <t xml:space="preserve">666541</t>
        </is>
      </c>
      <c r="C11" s="54" t="inlineStr">
        <is>
          <t xml:space="preserve">Pelvic</t>
        </is>
      </c>
      <c r="D11" s="54" t="inlineStr">
        <is>
          <t xml:space="preserve">Martins</t>
        </is>
      </c>
      <c r="E11" s="54" t="inlineStr">
        <is>
          <t xml:space="preserve">06-15, 06-24</t>
        </is>
      </c>
      <c r="F11" s="55" t="n">
        <v>65</v>
      </c>
      <c r="G11" s="55" t="n">
        <v>60</v>
      </c>
      <c r="H11" s="55" t="n">
        <v>5</v>
      </c>
      <c r="I11" s="56" t="n">
        <v>0.9231</v>
      </c>
      <c r="J11" s="57" t="inlineStr">
        <is>
          <t xml:space="preserve">Membrane damage (3), Bowel damage (1), Urethra (1)</t>
        </is>
      </c>
      <c r="K11" s="54" t="inlineStr">
        <is>
          <t xml:space="preserve">2026-06-10</t>
        </is>
      </c>
      <c r="L11" s="55" t="n">
        <v>270</v>
      </c>
      <c r="M11" s="55" t="n">
        <v>13</v>
      </c>
      <c r="N11" s="56" t="n">
        <v>0.0481</v>
      </c>
      <c r="O11" s="54" t="inlineStr">
        <is>
          <t xml:space="preserve">2026-06-30 → 2026-07-09</t>
        </is>
      </c>
      <c r="P11" s="55" t="n">
        <v>15</v>
      </c>
    </row>
    <row r="12" ht="27" customHeight="1">
      <c r="A12" s="54" t="inlineStr">
        <is>
          <t xml:space="preserve">5502471460</t>
        </is>
      </c>
      <c r="B12" s="54" t="inlineStr">
        <is>
          <t xml:space="preserve">666541</t>
        </is>
      </c>
      <c r="C12" s="54" t="inlineStr">
        <is>
          <t xml:space="preserve">Pelvic</t>
        </is>
      </c>
      <c r="D12" s="54" t="inlineStr">
        <is>
          <t xml:space="preserve">Martins</t>
        </is>
      </c>
      <c r="E12" s="54" t="inlineStr">
        <is>
          <t xml:space="preserve">06-29, 07-06</t>
        </is>
      </c>
      <c r="F12" s="55" t="n">
        <v>28</v>
      </c>
      <c r="G12" s="55" t="n">
        <v>27</v>
      </c>
      <c r="H12" s="55" t="n">
        <v>1</v>
      </c>
      <c r="I12" s="56" t="n">
        <v>0.9643</v>
      </c>
      <c r="J12" s="57" t="inlineStr">
        <is>
          <t xml:space="preserve">Urethra (1)</t>
        </is>
      </c>
      <c r="K12" s="54" t="inlineStr">
        <is>
          <t xml:space="preserve">2026-06-17</t>
        </is>
      </c>
      <c r="L12" s="55" t="n">
        <v>267</v>
      </c>
      <c r="M12" s="55" t="n">
        <v>30</v>
      </c>
      <c r="N12" s="56" t="n">
        <v>0.1124</v>
      </c>
      <c r="O12" s="54" t="inlineStr">
        <is>
          <t xml:space="preserve">2026-07-09 → 2026-08-06</t>
        </is>
      </c>
      <c r="P12" s="55" t="n">
        <v>10</v>
      </c>
    </row>
    <row r="13" ht="27" customHeight="1">
      <c r="A13" s="54" t="inlineStr">
        <is>
          <t xml:space="preserve">5502495107</t>
        </is>
      </c>
      <c r="B13" s="54" t="inlineStr">
        <is>
          <t xml:space="preserve">666541</t>
        </is>
      </c>
      <c r="C13" s="54" t="inlineStr">
        <is>
          <t xml:space="preserve">Pelvic</t>
        </is>
      </c>
      <c r="D13" s="54" t="inlineStr">
        <is>
          <t xml:space="preserve">Martins</t>
        </is>
      </c>
      <c r="E13" s="54" t="inlineStr">
        <is>
          <t xml:space="preserve">07-13, 07-20</t>
        </is>
      </c>
      <c r="F13" s="55" t="n">
        <v>103</v>
      </c>
      <c r="G13" s="55" t="n">
        <v>99</v>
      </c>
      <c r="H13" s="55" t="n">
        <v>4</v>
      </c>
      <c r="I13" s="56" t="n">
        <v>0.9612</v>
      </c>
      <c r="J13" s="57" t="inlineStr">
        <is>
          <t xml:space="preserve">Urethra (2), Membrane damage (1), Undocumented (1)</t>
        </is>
      </c>
      <c r="K13" s="54" t="inlineStr">
        <is>
          <t xml:space="preserve">2026-07-08</t>
        </is>
      </c>
      <c r="L13" s="55" t="n">
        <v>309</v>
      </c>
      <c r="M13" s="55" t="n">
        <v>9</v>
      </c>
      <c r="N13" s="56" t="n">
        <v>0.0291</v>
      </c>
      <c r="O13" s="54" t="inlineStr">
        <is>
          <t xml:space="preserve">2026-07-30 → 2026-08-12</t>
        </is>
      </c>
      <c r="P13" s="55" t="n">
        <v>17</v>
      </c>
    </row>
    <row r="14" ht="27" customHeight="1">
      <c r="A14" s="54" t="inlineStr">
        <is>
          <t xml:space="preserve">5502512228</t>
        </is>
      </c>
      <c r="B14" s="54" t="inlineStr">
        <is>
          <t xml:space="preserve">666541</t>
        </is>
      </c>
      <c r="C14" s="54" t="inlineStr">
        <is>
          <t xml:space="preserve">Pelvic</t>
        </is>
      </c>
      <c r="D14" s="54" t="inlineStr">
        <is>
          <t xml:space="preserve">Martins</t>
        </is>
      </c>
      <c r="E14" s="54" t="inlineStr">
        <is>
          <t xml:space="preserve">07-27, 08-03, 08-05</t>
        </is>
      </c>
      <c r="F14" s="55" t="n">
        <v>125</v>
      </c>
      <c r="G14" s="55" t="n">
        <v>122</v>
      </c>
      <c r="H14" s="55" t="n">
        <v>3</v>
      </c>
      <c r="I14" s="56" t="n">
        <v>0.976</v>
      </c>
      <c r="J14" s="57" t="inlineStr">
        <is>
          <t xml:space="preserve">Membrane damage (2), Bowel damage (1)</t>
        </is>
      </c>
      <c r="K14" s="54" t="inlineStr">
        <is>
          <t xml:space="preserve">2026-07-27</t>
        </is>
      </c>
      <c r="L14" s="55" t="n">
        <v>431</v>
      </c>
      <c r="M14" s="55" t="n">
        <v>30</v>
      </c>
      <c r="N14" s="56" t="n">
        <v>0.0696</v>
      </c>
      <c r="O14" s="54" t="inlineStr">
        <is>
          <t xml:space="preserve">2026-08-18 → 2026-09-09</t>
        </is>
      </c>
      <c r="P14" s="55" t="n">
        <v>22</v>
      </c>
    </row>
    <row r="15" ht="27" customHeight="1">
      <c r="A15" s="54" t="inlineStr">
        <is>
          <t xml:space="preserve">5502523269</t>
        </is>
      </c>
      <c r="B15" s="54" t="inlineStr">
        <is>
          <t xml:space="preserve">666541</t>
        </is>
      </c>
      <c r="C15" s="54" t="inlineStr">
        <is>
          <t xml:space="preserve">Pelvic</t>
        </is>
      </c>
      <c r="D15" s="54" t="inlineStr">
        <is>
          <t xml:space="preserve">Martins</t>
        </is>
      </c>
      <c r="E15" s="54" t="inlineStr">
        <is>
          <t xml:space="preserve">08-10, 08-17</t>
        </is>
      </c>
      <c r="F15" s="55" t="n">
        <v>58</v>
      </c>
      <c r="G15" s="55" t="n">
        <v>55</v>
      </c>
      <c r="H15" s="55" t="n">
        <v>3</v>
      </c>
      <c r="I15" s="56" t="n">
        <v>0.9483</v>
      </c>
      <c r="J15" s="57" t="inlineStr">
        <is>
          <t xml:space="preserve">Urethra (2), Bowel damage (1)</t>
        </is>
      </c>
      <c r="K15" s="54" t="inlineStr">
        <is>
          <t xml:space="preserve">2026-08-05</t>
        </is>
      </c>
      <c r="L15" s="55" t="n">
        <v>499</v>
      </c>
      <c r="M15" s="55" t="n">
        <v>1</v>
      </c>
      <c r="N15" s="56" t="n">
        <v>0.002</v>
      </c>
      <c r="O15" s="54" t="inlineStr">
        <is>
          <t xml:space="preserve">2026-08-26 → 2026-08-26</t>
        </is>
      </c>
      <c r="P15" s="55" t="n">
        <v>16</v>
      </c>
    </row>
    <row r="16" ht="27" customHeight="1">
      <c r="A16" s="54" t="inlineStr">
        <is>
          <t xml:space="preserve">5502539360</t>
        </is>
      </c>
      <c r="B16" s="54" t="inlineStr">
        <is>
          <t xml:space="preserve">666541</t>
        </is>
      </c>
      <c r="C16" s="54" t="inlineStr">
        <is>
          <t xml:space="preserve">Pelvic</t>
        </is>
      </c>
      <c r="D16" s="54" t="inlineStr">
        <is>
          <t xml:space="preserve">Martins</t>
        </is>
      </c>
      <c r="E16" s="54" t="inlineStr">
        <is>
          <t xml:space="preserve">08-24</t>
        </is>
      </c>
      <c r="F16" s="55" t="n">
        <v>30</v>
      </c>
      <c r="G16" s="55" t="n">
        <v>28</v>
      </c>
      <c r="H16" s="55" t="n">
        <v>2</v>
      </c>
      <c r="I16" s="56" t="n">
        <v>0.9333</v>
      </c>
      <c r="J16" s="57" t="inlineStr">
        <is>
          <t xml:space="preserve">Urethra (1), Membrane damage (1)</t>
        </is>
      </c>
      <c r="K16" s="54" t="inlineStr">
        <is>
          <t xml:space="preserve">2026-08-20</t>
        </is>
      </c>
      <c r="L16" s="55" t="n">
        <v>250</v>
      </c>
      <c r="M16" s="55" t="n">
        <v>0</v>
      </c>
      <c r="N16" s="56" t="n">
        <v>0.0</v>
      </c>
      <c r="O16" s="54" t="inlineStr">
        <is>
          <t xml:space="preserve">not yet reviewed</t>
        </is>
      </c>
      <c r="P16" s="54" t="inlineStr">
        <is>
          <t xml:space="preserve">—</t>
        </is>
      </c>
    </row>
    <row r="17" ht="27" customHeight="1">
      <c r="A17" s="54" t="inlineStr">
        <is>
          <t xml:space="preserve">5502550271</t>
        </is>
      </c>
      <c r="B17" s="54" t="inlineStr">
        <is>
          <t xml:space="preserve">666541</t>
        </is>
      </c>
      <c r="C17" s="54" t="inlineStr">
        <is>
          <t xml:space="preserve">Pelvic</t>
        </is>
      </c>
      <c r="D17" s="54" t="inlineStr">
        <is>
          <t xml:space="preserve">Martins</t>
        </is>
      </c>
      <c r="E17" s="54" t="inlineStr">
        <is>
          <t xml:space="preserve">08-31</t>
        </is>
      </c>
      <c r="F17" s="55" t="n">
        <v>31</v>
      </c>
      <c r="G17" s="55" t="n">
        <v>30</v>
      </c>
      <c r="H17" s="55" t="n">
        <v>1</v>
      </c>
      <c r="I17" s="56" t="n">
        <v>0.9677</v>
      </c>
      <c r="J17" s="57" t="inlineStr">
        <is>
          <t xml:space="preserve">Membrane damage (1)</t>
        </is>
      </c>
      <c r="K17" s="54" t="inlineStr">
        <is>
          <t xml:space="preserve">2026-08-26</t>
        </is>
      </c>
      <c r="L17" s="55" t="n">
        <v>622</v>
      </c>
      <c r="M17" s="55" t="n">
        <v>0</v>
      </c>
      <c r="N17" s="56" t="n">
        <v>0.0</v>
      </c>
      <c r="O17" s="54" t="inlineStr">
        <is>
          <t xml:space="preserve">not yet reviewed</t>
        </is>
      </c>
      <c r="P17" s="54" t="inlineStr">
        <is>
          <t xml:space="preserve">—</t>
        </is>
      </c>
    </row>
    <row r="18" ht="27" customHeight="1">
      <c r="A18" s="54" t="inlineStr">
        <is>
          <t xml:space="preserve">5502512218</t>
        </is>
      </c>
      <c r="B18" s="54" t="inlineStr">
        <is>
          <t xml:space="preserve">666521</t>
        </is>
      </c>
      <c r="C18" s="54" t="inlineStr">
        <is>
          <t xml:space="preserve">Thoracic</t>
        </is>
      </c>
      <c r="D18" s="54" t="inlineStr">
        <is>
          <t xml:space="preserve">Nahunta</t>
        </is>
      </c>
      <c r="E18" s="54" t="inlineStr">
        <is>
          <t xml:space="preserve">07-29, 08-05</t>
        </is>
      </c>
      <c r="F18" s="55" t="n">
        <v>34</v>
      </c>
      <c r="G18" s="55" t="n">
        <v>6</v>
      </c>
      <c r="H18" s="55" t="n">
        <v>28</v>
      </c>
      <c r="I18" s="56" t="n">
        <v>0.1765</v>
      </c>
      <c r="J18" s="57" t="inlineStr">
        <is>
          <t xml:space="preserve">Lung laceration (22), Heart damage (6)</t>
        </is>
      </c>
      <c r="K18" s="54" t="inlineStr">
        <is>
          <t xml:space="preserve">2026-07-23</t>
        </is>
      </c>
      <c r="L18" s="55" t="n">
        <v>24</v>
      </c>
      <c r="M18" s="55" t="n">
        <v>10</v>
      </c>
      <c r="N18" s="56" t="n">
        <v>0.4167</v>
      </c>
      <c r="O18" s="54" t="inlineStr">
        <is>
          <t xml:space="preserve">2026-08-17 → 2026-08-27</t>
        </is>
      </c>
      <c r="P18" s="55" t="n">
        <v>19</v>
      </c>
    </row>
    <row r="19" ht="27" customHeight="1">
      <c r="A19" s="54" t="inlineStr">
        <is>
          <t xml:space="preserve">5502523283</t>
        </is>
      </c>
      <c r="B19" s="54" t="inlineStr">
        <is>
          <t xml:space="preserve">666521</t>
        </is>
      </c>
      <c r="C19" s="54" t="inlineStr">
        <is>
          <t xml:space="preserve">Thoracic</t>
        </is>
      </c>
      <c r="D19" s="54" t="inlineStr">
        <is>
          <t xml:space="preserve">Nahunta</t>
        </is>
      </c>
      <c r="E19" s="54" t="inlineStr">
        <is>
          <t xml:space="preserve">08-12, 08-19</t>
        </is>
      </c>
      <c r="F19" s="55" t="n">
        <v>42</v>
      </c>
      <c r="G19" s="55" t="n">
        <v>8</v>
      </c>
      <c r="H19" s="55" t="n">
        <v>34</v>
      </c>
      <c r="I19" s="56" t="n">
        <v>0.1905</v>
      </c>
      <c r="J19" s="57" t="inlineStr">
        <is>
          <t xml:space="preserve">Lung laceration (20), Heart damage (15)</t>
        </is>
      </c>
      <c r="K19" s="54" t="inlineStr">
        <is>
          <t xml:space="preserve">2026-08-05</t>
        </is>
      </c>
      <c r="L19" s="55" t="n">
        <v>29</v>
      </c>
      <c r="M19" s="55" t="n">
        <v>5</v>
      </c>
      <c r="N19" s="56" t="n">
        <v>0.1724</v>
      </c>
      <c r="O19" s="54" t="inlineStr">
        <is>
          <t xml:space="preserve">2026-09-01 → 2026-09-08</t>
        </is>
      </c>
      <c r="P19" s="55" t="n">
        <v>20</v>
      </c>
    </row>
    <row r="20" ht="27" customHeight="1">
      <c r="A20" s="54" t="inlineStr">
        <is>
          <t xml:space="preserve">5502539375</t>
        </is>
      </c>
      <c r="B20" s="54" t="inlineStr">
        <is>
          <t xml:space="preserve">666521</t>
        </is>
      </c>
      <c r="C20" s="54" t="inlineStr">
        <is>
          <t xml:space="preserve">Thoracic</t>
        </is>
      </c>
      <c r="D20" s="54" t="inlineStr">
        <is>
          <t xml:space="preserve">Nahunta</t>
        </is>
      </c>
      <c r="E20" s="54" t="inlineStr">
        <is>
          <t xml:space="preserve">08-26</t>
        </is>
      </c>
      <c r="F20" s="55" t="n">
        <v>9</v>
      </c>
      <c r="G20" s="55" t="n">
        <v>8</v>
      </c>
      <c r="H20" s="55" t="n">
        <v>1</v>
      </c>
      <c r="I20" s="56" t="n">
        <v>0.8889</v>
      </c>
      <c r="J20" s="57" t="inlineStr">
        <is>
          <t xml:space="preserve">Undocumented (1) — QC stage; harvest rejects excl.</t>
        </is>
      </c>
      <c r="K20" s="54" t="inlineStr">
        <is>
          <t xml:space="preserve">2026-08-20</t>
        </is>
      </c>
      <c r="L20" s="55" t="n">
        <v>24</v>
      </c>
      <c r="M20" s="55" t="n">
        <v>9</v>
      </c>
      <c r="N20" s="56" t="n">
        <v>0.375</v>
      </c>
      <c r="O20" s="54" t="inlineStr">
        <is>
          <t xml:space="preserve">2026-09-08 → 2026-09-10</t>
        </is>
      </c>
      <c r="P20" s="55" t="n">
        <v>13</v>
      </c>
    </row>
    <row r="21" ht="27" customHeight="1">
      <c r="A21" s="54" t="inlineStr">
        <is>
          <t xml:space="preserve">5502550281</t>
        </is>
      </c>
      <c r="B21" s="54" t="inlineStr">
        <is>
          <t xml:space="preserve">666521</t>
        </is>
      </c>
      <c r="C21" s="54" t="inlineStr">
        <is>
          <t xml:space="preserve">Thoracic</t>
        </is>
      </c>
      <c r="D21" s="54" t="inlineStr">
        <is>
          <t xml:space="preserve">Nahunta</t>
        </is>
      </c>
      <c r="E21" s="54" t="inlineStr">
        <is>
          <t xml:space="preserve">09-09</t>
        </is>
      </c>
      <c r="F21" s="55" t="n">
        <v>2</v>
      </c>
      <c r="G21" s="55" t="n">
        <v>2</v>
      </c>
      <c r="H21" s="55" t="n">
        <v>0</v>
      </c>
      <c r="I21" s="56" t="n">
        <v>1.0</v>
      </c>
      <c r="J21" s="57" t="inlineStr">
        <is>
          <t xml:space="preserve">clean at QC — harvest rejects excl.</t>
        </is>
      </c>
      <c r="K21" s="54" t="inlineStr">
        <is>
          <t xml:space="preserve">2026-08-26</t>
        </is>
      </c>
      <c r="L21" s="55" t="n">
        <v>50</v>
      </c>
      <c r="M21" s="55" t="n">
        <v>0</v>
      </c>
      <c r="N21" s="56" t="n">
        <v>0.0</v>
      </c>
      <c r="O21" s="54" t="inlineStr">
        <is>
          <t xml:space="preserve">not yet reviewed</t>
        </is>
      </c>
      <c r="P21" s="54" t="inlineStr">
        <is>
          <t xml:space="preserve">—</t>
        </is>
      </c>
    </row>
    <row r="22"/>
    <row r="23" ht="20" customHeight="1">
      <c r="A23" s="52" t="inlineStr">
        <is>
          <t xml:space="preserve">ATM SCRAP REASONS BY BATCH (units, net of reversals)</t>
        </is>
      </c>
    </row>
    <row r="24" ht="40" customHeight="1">
      <c r="A24" s="53" t="inlineStr">
        <is>
          <t xml:space="preserve">Batch / Lot</t>
        </is>
      </c>
      <c r="B24" s="53" t="inlineStr">
        <is>
          <t xml:space="preserve">9972 Laceration/Cut</t>
        </is>
      </c>
      <c r="C24" s="53" t="inlineStr">
        <is>
          <t xml:space="preserve">9987 Blood Clots</t>
        </is>
      </c>
      <c r="D24" s="53" t="inlineStr">
        <is>
          <t xml:space="preserve">9988 Exposed Urethra</t>
        </is>
      </c>
      <c r="E24" s="53" t="inlineStr">
        <is>
          <t xml:space="preserve">9986 Bladder Length</t>
        </is>
      </c>
      <c r="F24" s="53" t="inlineStr">
        <is>
          <t xml:space="preserve">9991 R&amp;D/Testing</t>
        </is>
      </c>
      <c r="G24" s="53" t="inlineStr">
        <is>
          <t xml:space="preserve">1220 Destructive Testing (eng/R&amp;D)</t>
        </is>
      </c>
      <c r="H24" s="53" t="inlineStr">
        <is>
          <t xml:space="preserve">9976 Spoilage</t>
        </is>
      </c>
      <c r="I24" s="53" t="inlineStr">
        <is>
          <t xml:space="preserve">9983 Incorrect Dimensions</t>
        </is>
      </c>
      <c r="J24" s="53" t="inlineStr">
        <is>
          <t xml:space="preserve">9978 Damage to Suspensory</t>
        </is>
      </c>
      <c r="K24" s="53" t="inlineStr">
        <is>
          <t xml:space="preserve">Total</t>
        </is>
      </c>
    </row>
    <row r="25">
      <c r="A25" s="54" t="inlineStr">
        <is>
          <t xml:space="preserve">5502378434</t>
        </is>
      </c>
      <c r="B25" s="55" t="n">
        <v>17</v>
      </c>
      <c r="C25" s="55" t="n">
        <v>4</v>
      </c>
      <c r="E25" s="55" t="n">
        <v>2</v>
      </c>
      <c r="H25" s="55" t="n">
        <v>1</v>
      </c>
      <c r="K25" s="55" t="n">
        <v>24</v>
      </c>
    </row>
    <row r="26">
      <c r="A26" s="54" t="inlineStr">
        <is>
          <t xml:space="preserve">5502391862</t>
        </is>
      </c>
      <c r="B26" s="55" t="n">
        <v>7</v>
      </c>
      <c r="K26" s="55" t="n">
        <v>7</v>
      </c>
    </row>
    <row r="27">
      <c r="A27" s="54" t="inlineStr">
        <is>
          <t xml:space="preserve">5502404928</t>
        </is>
      </c>
      <c r="B27" s="55" t="n">
        <v>12</v>
      </c>
      <c r="F27" s="55" t="n">
        <v>10</v>
      </c>
      <c r="K27" s="55" t="n">
        <v>22</v>
      </c>
    </row>
    <row r="28">
      <c r="A28" s="54" t="inlineStr">
        <is>
          <t xml:space="preserve">5502421192</t>
        </is>
      </c>
      <c r="B28" s="55" t="n">
        <v>21</v>
      </c>
      <c r="D28" s="55" t="n">
        <v>3</v>
      </c>
      <c r="K28" s="55" t="n">
        <v>24</v>
      </c>
    </row>
    <row r="29">
      <c r="A29" s="54" t="inlineStr">
        <is>
          <t xml:space="preserve">5502428786</t>
        </is>
      </c>
      <c r="B29" s="55" t="n">
        <v>2</v>
      </c>
      <c r="D29" s="55" t="n">
        <v>5</v>
      </c>
      <c r="K29" s="55" t="n">
        <v>7</v>
      </c>
    </row>
    <row r="30">
      <c r="A30" s="54" t="inlineStr">
        <is>
          <t xml:space="preserve">5502462845</t>
        </is>
      </c>
      <c r="B30" s="55" t="n">
        <v>10</v>
      </c>
      <c r="D30" s="55" t="n">
        <v>1</v>
      </c>
      <c r="E30" s="55" t="n">
        <v>1</v>
      </c>
      <c r="I30" s="55" t="n">
        <v>1</v>
      </c>
      <c r="K30" s="55" t="n">
        <v>13</v>
      </c>
    </row>
    <row r="31">
      <c r="A31" s="54" t="inlineStr">
        <is>
          <t xml:space="preserve">5502471460</t>
        </is>
      </c>
      <c r="B31" s="55" t="n">
        <v>13</v>
      </c>
      <c r="C31" s="55" t="n">
        <v>9</v>
      </c>
      <c r="D31" s="55" t="n">
        <v>1</v>
      </c>
      <c r="E31" s="55" t="n">
        <v>1</v>
      </c>
      <c r="G31" s="55" t="n">
        <v>5</v>
      </c>
      <c r="H31" s="55" t="n">
        <v>1</v>
      </c>
      <c r="K31" s="55" t="n">
        <v>30</v>
      </c>
    </row>
    <row r="32">
      <c r="A32" s="54" t="inlineStr">
        <is>
          <t xml:space="preserve">5502495107</t>
        </is>
      </c>
      <c r="B32" s="55" t="n">
        <v>3</v>
      </c>
      <c r="D32" s="55" t="n">
        <v>6</v>
      </c>
      <c r="K32" s="55" t="n">
        <v>9</v>
      </c>
    </row>
    <row r="33">
      <c r="A33" s="54" t="inlineStr">
        <is>
          <t xml:space="preserve">5502512228</t>
        </is>
      </c>
      <c r="B33" s="55" t="n">
        <v>14</v>
      </c>
      <c r="C33" s="55" t="n">
        <v>4</v>
      </c>
      <c r="E33" s="55" t="n">
        <v>11</v>
      </c>
      <c r="J33" s="55" t="n">
        <v>1</v>
      </c>
      <c r="K33" s="55" t="n">
        <v>30</v>
      </c>
    </row>
    <row r="34">
      <c r="A34" s="54" t="inlineStr">
        <is>
          <t xml:space="preserve">5502523269</t>
        </is>
      </c>
      <c r="B34" s="55" t="n">
        <v>1</v>
      </c>
      <c r="K34" s="55" t="n">
        <v>1</v>
      </c>
    </row>
    <row r="35">
      <c r="A35" s="54" t="inlineStr">
        <is>
          <t xml:space="preserve">5502512218</t>
        </is>
      </c>
      <c r="B35" s="55" t="n">
        <v>10</v>
      </c>
      <c r="K35" s="55" t="n">
        <v>10</v>
      </c>
    </row>
    <row r="36">
      <c r="A36" s="54" t="inlineStr">
        <is>
          <t xml:space="preserve">5502523283</t>
        </is>
      </c>
      <c r="B36" s="55" t="n">
        <v>5</v>
      </c>
      <c r="K36" s="55" t="n">
        <v>5</v>
      </c>
    </row>
    <row r="37">
      <c r="A37" s="54" t="inlineStr">
        <is>
          <t xml:space="preserve">5502539375</t>
        </is>
      </c>
      <c r="B37" s="55" t="n">
        <v>9</v>
      </c>
      <c r="K37" s="55" t="n">
        <v>9</v>
      </c>
    </row>
    <row r="38"/>
    <row r="39" ht="20" customHeight="1">
      <c r="A39" s="52" t="inlineStr">
        <is>
          <t xml:space="preserve">ATM REASON-CODE LEGEND</t>
        </is>
      </c>
    </row>
    <row r="40">
      <c r="A40" s="54" t="inlineStr">
        <is>
          <t xml:space="preserve">1201</t>
        </is>
      </c>
      <c r="B40" s="57" t="inlineStr">
        <is>
          <t xml:space="preserve">Tech Performance</t>
        </is>
      </c>
      <c r="G40" s="54" t="inlineStr">
        <is>
          <t xml:space="preserve">9985</t>
        </is>
      </c>
      <c r="H40" s="57" t="inlineStr">
        <is>
          <t xml:space="preserve">Tech Damaged</t>
        </is>
      </c>
    </row>
    <row r="41">
      <c r="A41" s="54" t="inlineStr">
        <is>
          <t xml:space="preserve">1220</t>
        </is>
      </c>
      <c r="B41" s="57" t="inlineStr">
        <is>
          <t xml:space="preserve">Destructive Testing (eng/R&amp;D) ●</t>
        </is>
      </c>
      <c r="G41" s="54" t="inlineStr">
        <is>
          <t xml:space="preserve">9986</t>
        </is>
      </c>
      <c r="H41" s="57" t="inlineStr">
        <is>
          <t xml:space="preserve">Bladder Length ●</t>
        </is>
      </c>
    </row>
    <row r="42">
      <c r="A42" s="54" t="inlineStr">
        <is>
          <t xml:space="preserve">7</t>
        </is>
      </c>
      <c r="B42" s="57" t="inlineStr">
        <is>
          <t xml:space="preserve">Others</t>
        </is>
      </c>
      <c r="G42" s="54" t="inlineStr">
        <is>
          <t xml:space="preserve">9987</t>
        </is>
      </c>
      <c r="H42" s="57" t="inlineStr">
        <is>
          <t xml:space="preserve">Blood Clots ●</t>
        </is>
      </c>
    </row>
    <row r="43">
      <c r="A43" s="54" t="inlineStr">
        <is>
          <t xml:space="preserve">9972</t>
        </is>
      </c>
      <c r="B43" s="57" t="inlineStr">
        <is>
          <t xml:space="preserve">Laceration/Cut ●</t>
        </is>
      </c>
      <c r="G43" s="54" t="inlineStr">
        <is>
          <t xml:space="preserve">9988</t>
        </is>
      </c>
      <c r="H43" s="57" t="inlineStr">
        <is>
          <t xml:space="preserve">Exposed Urethra ●</t>
        </is>
      </c>
    </row>
    <row r="44">
      <c r="A44" s="54" t="inlineStr">
        <is>
          <t xml:space="preserve">9973</t>
        </is>
      </c>
      <c r="B44" s="57" t="inlineStr">
        <is>
          <t xml:space="preserve">Out of Spec</t>
        </is>
      </c>
      <c r="G44" s="54" t="inlineStr">
        <is>
          <t xml:space="preserve">9989</t>
        </is>
      </c>
      <c r="H44" s="57" t="inlineStr">
        <is>
          <t xml:space="preserve">Expired Material</t>
        </is>
      </c>
    </row>
    <row r="45">
      <c r="A45" s="54" t="inlineStr">
        <is>
          <t xml:space="preserve">9974</t>
        </is>
      </c>
      <c r="B45" s="57" t="inlineStr">
        <is>
          <t xml:space="preserve">Membrane Too Small</t>
        </is>
      </c>
      <c r="G45" s="54" t="inlineStr">
        <is>
          <t xml:space="preserve">9990</t>
        </is>
      </c>
      <c r="H45" s="57" t="inlineStr">
        <is>
          <t xml:space="preserve">Loss of Traceability</t>
        </is>
      </c>
    </row>
    <row r="46">
      <c r="A46" s="54" t="inlineStr">
        <is>
          <t xml:space="preserve">9975</t>
        </is>
      </c>
      <c r="B46" s="57" t="inlineStr">
        <is>
          <t xml:space="preserve">Reduced Lymph Node</t>
        </is>
      </c>
      <c r="G46" s="54" t="inlineStr">
        <is>
          <t xml:space="preserve">9991</t>
        </is>
      </c>
      <c r="H46" s="57" t="inlineStr">
        <is>
          <t xml:space="preserve">R&amp;D/Testing ●</t>
        </is>
      </c>
    </row>
    <row r="47">
      <c r="A47" s="54" t="inlineStr">
        <is>
          <t xml:space="preserve">9976</t>
        </is>
      </c>
      <c r="B47" s="57" t="inlineStr">
        <is>
          <t xml:space="preserve">Spoilage ●</t>
        </is>
      </c>
      <c r="G47" s="54" t="inlineStr">
        <is>
          <t xml:space="preserve">9992</t>
        </is>
      </c>
      <c r="H47" s="57" t="inlineStr">
        <is>
          <t xml:space="preserve">Label Issue</t>
        </is>
      </c>
    </row>
    <row r="48">
      <c r="A48" s="54" t="inlineStr">
        <is>
          <t xml:space="preserve">9977</t>
        </is>
      </c>
      <c r="B48" s="57" t="inlineStr">
        <is>
          <t xml:space="preserve">Ureter Too Short</t>
        </is>
      </c>
      <c r="G48" s="54" t="inlineStr">
        <is>
          <t xml:space="preserve">9993</t>
        </is>
      </c>
      <c r="H48" s="57" t="inlineStr">
        <is>
          <t xml:space="preserve">3X Refreeze</t>
        </is>
      </c>
    </row>
    <row r="49">
      <c r="A49" s="54" t="inlineStr">
        <is>
          <t xml:space="preserve">9978</t>
        </is>
      </c>
      <c r="B49" s="57" t="inlineStr">
        <is>
          <t xml:space="preserve">Damage to Suspensory ●</t>
        </is>
      </c>
      <c r="G49" s="54" t="inlineStr">
        <is>
          <t xml:space="preserve">9994</t>
        </is>
      </c>
      <c r="H49" s="57" t="inlineStr">
        <is>
          <t xml:space="preserve">Line Clearance</t>
        </is>
      </c>
    </row>
    <row r="50">
      <c r="A50" s="54" t="inlineStr">
        <is>
          <t xml:space="preserve">9979</t>
        </is>
      </c>
      <c r="B50" s="57" t="inlineStr">
        <is>
          <t xml:space="preserve">Damage to Broad Ligament</t>
        </is>
      </c>
      <c r="G50" s="54" t="inlineStr">
        <is>
          <t xml:space="preserve">9995</t>
        </is>
      </c>
      <c r="H50" s="57" t="inlineStr">
        <is>
          <t xml:space="preserve">Received Damage</t>
        </is>
      </c>
    </row>
    <row r="51">
      <c r="A51" s="54" t="inlineStr">
        <is>
          <t xml:space="preserve">9980</t>
        </is>
      </c>
      <c r="B51" s="57" t="inlineStr">
        <is>
          <t xml:space="preserve">Overfilled Jejunum</t>
        </is>
      </c>
      <c r="G51" s="54" t="inlineStr">
        <is>
          <t xml:space="preserve">9996</t>
        </is>
      </c>
      <c r="H51" s="57" t="inlineStr">
        <is>
          <t xml:space="preserve">Missing Anatomy</t>
        </is>
      </c>
    </row>
    <row r="52">
      <c r="A52" s="54" t="inlineStr">
        <is>
          <t xml:space="preserve">9981</t>
        </is>
      </c>
      <c r="B52" s="57" t="inlineStr">
        <is>
          <t xml:space="preserve">Incorrect Thickness</t>
        </is>
      </c>
      <c r="G52" s="54" t="inlineStr">
        <is>
          <t xml:space="preserve">9997</t>
        </is>
      </c>
      <c r="H52" s="57" t="inlineStr">
        <is>
          <t xml:space="preserve">Mesentery Damage</t>
        </is>
      </c>
    </row>
    <row r="53">
      <c r="A53" s="54" t="inlineStr">
        <is>
          <t xml:space="preserve">9982</t>
        </is>
      </c>
      <c r="B53" s="57" t="inlineStr">
        <is>
          <t xml:space="preserve">Incorrect Color</t>
        </is>
      </c>
      <c r="G53" s="54" t="inlineStr">
        <is>
          <t xml:space="preserve">9998</t>
        </is>
      </c>
      <c r="H53" s="57" t="inlineStr">
        <is>
          <t xml:space="preserve">Urethra Damage</t>
        </is>
      </c>
    </row>
    <row r="54">
      <c r="A54" s="54" t="inlineStr">
        <is>
          <t xml:space="preserve">9983</t>
        </is>
      </c>
      <c r="B54" s="57" t="inlineStr">
        <is>
          <t xml:space="preserve">Incorrect Dimensions ●</t>
        </is>
      </c>
      <c r="G54" s="54" t="inlineStr">
        <is>
          <t xml:space="preserve">9999</t>
        </is>
      </c>
      <c r="H54" s="57" t="inlineStr">
        <is>
          <t xml:space="preserve">Bladder Damage</t>
        </is>
      </c>
    </row>
    <row r="55">
      <c r="A55" s="54" t="inlineStr">
        <is>
          <t xml:space="preserve">9984</t>
        </is>
      </c>
      <c r="B55" s="57" t="inlineStr">
        <is>
          <t xml:space="preserve">Partial Qty</t>
        </is>
      </c>
    </row>
    <row r="56">
      <c r="A56" s="59" t="inlineStr">
        <is>
          <t xml:space="preserve">● = code appears in the matched batches above.</t>
        </is>
      </c>
    </row>
    <row r="57"/>
    <row r="58" ht="20" customHeight="1">
      <c r="A58" s="52" t="inlineStr">
        <is>
          <t xml:space="preserve">READ &amp; NOTES</t>
        </is>
      </c>
    </row>
    <row r="59" ht="44" customHeight="1">
      <c r="A59" s="59" t="inlineStr">
        <is>
          <t xml:space="preserve">• The stories still align: 9972 Laceration/Cut remains ATM's dominant code (124 units across matched batches) — the downstream face of the cut/laceration damage the SH floor flags. Bladder Length (9986) and Blood Clots (9987) rose in the new window.</t>
        </is>
      </c>
    </row>
    <row r="60" ht="44" customHeight="1">
      <c r="A60" s="59" t="inlineStr">
        <is>
          <t xml:space="preserve">• Lot 5502512228's review extended deep into September: 30 scrapped (was 7 at the last extract) — the late wave is Bladder Length (11) and Blood Clots (4) plus more lacerations, found as the batch worked through production.</t>
        </is>
      </c>
    </row>
    <row r="61" ht="44" customHeight="1">
      <c r="A61" s="59" t="inlineStr">
        <is>
          <t xml:space="preserve">• Thoracic at ATM: 5502512218 finished at 10/24 (41.7%); 5502523283 at 5/29 (17.2%); 5502539375 — the first two-stage-visit lot (8/26: Jordan passed 9 of 18 at harvest, our QC passed 8 of 9) — has since scrapped 9/24 received (37.5%), all 9972. SH-passed thoracic survivors keep failing on lacerations at receipt: harvesting-side damage confirmed at both stages.</t>
        </is>
      </c>
    </row>
    <row r="62" ht="44" customHeight="1">
      <c r="A62" s="59" t="inlineStr">
        <is>
          <t xml:space="preserve">• Nahunta two-stage visits (8/26 lot 5502539375, 9/9 lot 5502550281): the SH columns are OUR QC inspection of harvest-passed tissue — harvest-tech rejects (9 of 18, then 17 of 19) sit upstream of these figures. See the Slaughterhouse IQC tab.</t>
        </is>
      </c>
    </row>
    <row r="63" ht="44" customHeight="1">
      <c r="A63" s="59" t="inlineStr">
        <is>
          <t xml:space="preserve">• Timing: SH inspection → first ATM scrap review runs 10–31 days, median ≈ 17, on reviewed batches. Three fresh lots have no scrap postings yet (reviews pending): 5502539360 (250 recv), 5502550271 (622 recv), 5502550281 (50 recv).</t>
        </is>
      </c>
    </row>
    <row r="64" ht="44" customHeight="1">
      <c r="A64" s="59" t="inlineStr">
        <is>
          <t xml:space="preserve">• Not linkable: 666506 (non-intact) is not tracked at ATM; Parks tally sheets carry no batch numbers — record lot numbers on Parks sheets to extend this comparison. Codes 1220 Destructive Testing and 9991 R&amp;D/Testing are planned withdrawals, not quality defects.</t>
        </is>
      </c>
    </row>
    <row r="65" ht="44" customHeight="1">
      <c r="A65" s="59" t="inlineStr">
        <is>
          <t xml:space="preserve">• Method: totals for pre-August batches are carried from the prior extract (full history); this extract (08/03–09/16) contributed only postings dated 08/20 or later, so nothing is double-counted.</t>
        </is>
      </c>
    </row>
  </sheetData>
  <mergeCells count="45">
    <mergeCell ref="A1:P1"/>
    <mergeCell ref="A2:P2"/>
    <mergeCell ref="A4:P4"/>
    <mergeCell ref="A23:P23"/>
    <mergeCell ref="A39:P39"/>
    <mergeCell ref="B40:E40"/>
    <mergeCell ref="H40:K40"/>
    <mergeCell ref="B41:E41"/>
    <mergeCell ref="H41:K41"/>
    <mergeCell ref="B42:E42"/>
    <mergeCell ref="H42:K42"/>
    <mergeCell ref="B43:E43"/>
    <mergeCell ref="H43:K43"/>
    <mergeCell ref="B44:E44"/>
    <mergeCell ref="H44:K44"/>
    <mergeCell ref="B45:E45"/>
    <mergeCell ref="H45:K45"/>
    <mergeCell ref="B46:E46"/>
    <mergeCell ref="H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A56:P56"/>
    <mergeCell ref="A58:P58"/>
    <mergeCell ref="A59:P59"/>
    <mergeCell ref="A60:P60"/>
    <mergeCell ref="A61:P61"/>
    <mergeCell ref="A62:P62"/>
    <mergeCell ref="A63:P63"/>
    <mergeCell ref="A64:P64"/>
    <mergeCell ref="A65:P65"/>
  </mergeCells>
  <conditionalFormatting sqref="I6:I21">
    <cfRule type="colorScale" priority="1">
      <colorScale>
        <cfvo type="num" val="0.3"/>
        <cfvo type="num" val="0.8"/>
        <cfvo type="num" val="1"/>
        <color rgb="FFF8696B"/>
        <color rgb="FFFFEB84"/>
        <color rgb="FF63BE7B"/>
      </colorScale>
    </cfRule>
  </conditionalFormatting>
  <conditionalFormatting sqref="N6:N21">
    <cfRule type="colorScale" priority="2">
      <colorScale>
        <cfvo type="num" val="0"/>
        <cfvo type="num" val="0.1"/>
        <cfvo type="num" val="0.35"/>
        <color rgb="FF63BE7B"/>
        <color rgb="FFFFEB84"/>
        <color rgb="FFF8696B"/>
      </colorScale>
    </cfRule>
  </conditionalFormatting>
  <conditionalFormatting sqref="B25:J37">
    <cfRule type="dataBar" priority="3">
      <dataBar>
        <cfvo type="min"/>
        <cfvo type="max"/>
        <color rgb="FF638EC6"/>
      </dataBar>
    </cfRule>
  </conditionalFormatting>
  <pageMargins left="0.5" right="0.5" top="0.6" bottom="0.6" header="0.3" footer="0.3"/>
</worksheet>
</file>

<file path=xl/worksheets/sheet13.xml><?xml version="1.0" encoding="utf-8"?>
<worksheet xmlns="http://schemas.openxmlformats.org/spreadsheetml/2006/main" xmlns:r="http://schemas.openxmlformats.org/officeDocument/2006/relationships">
  <dimension ref="A1:L69"/>
  <sheetViews>
    <sheetView workbookViewId="0">
      <selection activeCell="A1" sqref="A1"/>
    </sheetView>
  </sheetViews>
  <sheetFormatPr defaultRowHeight="15"/>
  <cols>
    <col min="1" max="3" width="11" customWidth="1"/>
    <col min="4" max="4" width="10" customWidth="1"/>
    <col min="5" max="5" width="9" customWidth="1"/>
    <col min="6" max="6" width="3" customWidth="1"/>
    <col min="7" max="9" width="11" customWidth="1"/>
    <col min="10" max="10" width="10" customWidth="1"/>
    <col min="11" max="11" width="9" customWidth="1"/>
    <col min="12" max="12" width="10" customWidth="1"/>
  </cols>
  <sheetData>
    <row r="1" ht="24" customHeight="1">
      <c r="A1" s="50" t="inlineStr">
        <is>
          <t xml:space="preserve">SH Issues vs ATM Issues — by Tissue</t>
        </is>
      </c>
    </row>
    <row r="2" ht="72" customHeight="1">
      <c r="A2" s="51" t="inlineStr">
        <is>
          <t xml:space="preserve">What fails at the slaughterhouse floor vs what gets scrapped at ATM. Section 1 is the like-for-like view: ONLY the 16 batches inspected at the slaughterhouses (matched on batch number, all-time totals). Section 2 is the full material history with a date filter (includes ATM batches that had no SH inspection). SH side: analyst-categorized scrap reasons — named categories only, no 'Other'. ATM side: SAP reason codes net of reversals; extract through 09/16. * = planned/process withdrawal, not a harvest-quality defect.</t>
        </is>
      </c>
    </row>
    <row r="3"/>
    <row r="4" ht="20" customHeight="1">
      <c r="A4" s="52" t="inlineStr">
        <is>
          <t xml:space="preserve">1 · MATCHED BATCHES ONLY — ATM DATA FROM SH-INSPECTED LOTS (16 batches, all-time)</t>
        </is>
      </c>
    </row>
    <row r="5" ht="30" customHeight="1">
      <c r="A5" s="59" t="inlineStr">
        <is>
          <t xml:space="preserve">12 Martins pelvic 666541 lots + 4 Nahunta thoracic 666521 lots. SH counts are our floor-sample fails on those lots; ATM counts are full-batch receipt scrap on the same lots. (666506/666518 can't be matched — no batch tracking.)</t>
        </is>
      </c>
    </row>
    <row r="6" ht="16" customHeight="1">
      <c r="A6" s="58" t="inlineStr">
        <is>
          <t xml:space="preserve">PELVIC  —  SH floor, matched lots (left)  vs  ATM receipt, matched lots (right)</t>
        </is>
      </c>
    </row>
    <row r="7">
      <c r="A7" s="53" t="inlineStr">
        <is>
          <t xml:space="preserve">SH issue category</t>
        </is>
      </c>
      <c r="D7" s="53" t="inlineStr">
        <is>
          <t xml:space="preserve">Units</t>
        </is>
      </c>
      <c r="E7" s="53" t="inlineStr">
        <is>
          <t xml:space="preserve">% of SH</t>
        </is>
      </c>
      <c r="G7" s="53" t="inlineStr">
        <is>
          <t xml:space="preserve">ATM code · reason</t>
        </is>
      </c>
      <c r="J7" s="53" t="inlineStr">
        <is>
          <t xml:space="preserve">Units</t>
        </is>
      </c>
      <c r="K7" s="53" t="inlineStr">
        <is>
          <t xml:space="preserve">% of ATM</t>
        </is>
      </c>
    </row>
    <row r="8">
      <c r="A8" s="54" t="inlineStr">
        <is>
          <t xml:space="preserve">Urethra / bladder damage</t>
        </is>
      </c>
      <c r="D8" s="55" t="n">
        <v>21</v>
      </c>
      <c r="E8" s="56" t="n">
        <v>0.5122</v>
      </c>
      <c r="G8" s="54" t="inlineStr">
        <is>
          <t xml:space="preserve">9972 · Laceration/Cut</t>
        </is>
      </c>
      <c r="J8" s="55" t="n">
        <v>100</v>
      </c>
      <c r="K8" s="56" t="n">
        <v>0.5988</v>
      </c>
    </row>
    <row r="9">
      <c r="A9" s="54" t="inlineStr">
        <is>
          <t xml:space="preserve">Membrane damage</t>
        </is>
      </c>
      <c r="D9" s="55" t="n">
        <v>10</v>
      </c>
      <c r="E9" s="56" t="n">
        <v>0.2439</v>
      </c>
      <c r="G9" s="54" t="inlineStr">
        <is>
          <t xml:space="preserve">9987 · Blood Clots</t>
        </is>
      </c>
      <c r="J9" s="55" t="n">
        <v>17</v>
      </c>
      <c r="K9" s="56" t="n">
        <v>0.1018</v>
      </c>
    </row>
    <row r="10">
      <c r="A10" s="54" t="inlineStr">
        <is>
          <t xml:space="preserve">Bowel damage / separation</t>
        </is>
      </c>
      <c r="D10" s="55" t="n">
        <v>6</v>
      </c>
      <c r="E10" s="56" t="n">
        <v>0.1463</v>
      </c>
      <c r="G10" s="54" t="inlineStr">
        <is>
          <t xml:space="preserve">9988 · Exposed Urethra</t>
        </is>
      </c>
      <c r="J10" s="55" t="n">
        <v>16</v>
      </c>
      <c r="K10" s="56" t="n">
        <v>0.0958</v>
      </c>
    </row>
    <row r="11">
      <c r="A11" s="54" t="inlineStr">
        <is>
          <t xml:space="preserve">Blood clots</t>
        </is>
      </c>
      <c r="D11" s="55" t="n">
        <v>2</v>
      </c>
      <c r="E11" s="56" t="n">
        <v>0.0488</v>
      </c>
      <c r="G11" s="54" t="inlineStr">
        <is>
          <t xml:space="preserve">9986 · Bladder Length</t>
        </is>
      </c>
      <c r="J11" s="55" t="n">
        <v>15</v>
      </c>
      <c r="K11" s="56" t="n">
        <v>0.0898</v>
      </c>
    </row>
    <row r="12">
      <c r="A12" s="54" t="inlineStr">
        <is>
          <t xml:space="preserve">Short block / mesentery length</t>
        </is>
      </c>
      <c r="D12" s="55" t="n">
        <v>1</v>
      </c>
      <c r="E12" s="56" t="n">
        <v>0.0244</v>
      </c>
      <c r="G12" s="54" t="inlineStr">
        <is>
          <t xml:space="preserve">9991 · R&amp;D/Testing*</t>
        </is>
      </c>
      <c r="J12" s="55" t="n">
        <v>10</v>
      </c>
      <c r="K12" s="56" t="n">
        <v>0.0599</v>
      </c>
    </row>
    <row r="13">
      <c r="A13" s="54" t="inlineStr">
        <is>
          <t xml:space="preserve">Undocumented / not itemized</t>
        </is>
      </c>
      <c r="D13" s="55" t="n">
        <v>1</v>
      </c>
      <c r="E13" s="56" t="n">
        <v>0.0244</v>
      </c>
      <c r="G13" s="54" t="inlineStr">
        <is>
          <t xml:space="preserve">1220 · Destructive Testing (eng/R&amp;D)*</t>
        </is>
      </c>
      <c r="J13" s="55" t="n">
        <v>5</v>
      </c>
      <c r="K13" s="56" t="n">
        <v>0.0299</v>
      </c>
    </row>
    <row r="14">
      <c r="G14" s="54" t="inlineStr">
        <is>
          <t xml:space="preserve">9976 · Spoilage</t>
        </is>
      </c>
      <c r="J14" s="55" t="n">
        <v>2</v>
      </c>
      <c r="K14" s="56" t="n">
        <v>0.012</v>
      </c>
    </row>
    <row r="15">
      <c r="G15" s="54" t="inlineStr">
        <is>
          <t xml:space="preserve">9983 · Incorrect Dimensions</t>
        </is>
      </c>
      <c r="J15" s="55" t="n">
        <v>1</v>
      </c>
      <c r="K15" s="56" t="n">
        <v>0.006</v>
      </c>
    </row>
    <row r="16">
      <c r="G16" s="54" t="inlineStr">
        <is>
          <t xml:space="preserve">9978 · Damage to Suspensory</t>
        </is>
      </c>
      <c r="J16" s="55" t="n">
        <v>1</v>
      </c>
      <c r="K16" s="56" t="n">
        <v>0.006</v>
      </c>
    </row>
    <row r="17">
      <c r="A17" s="58" t="inlineStr">
        <is>
          <t xml:space="preserve">Total SH issues (matched lots)</t>
        </is>
      </c>
      <c r="D17" s="55" t="n">
        <v>41</v>
      </c>
      <c r="G17" s="58" t="inlineStr">
        <is>
          <t xml:space="preserve">Total ATM scrapped (matched lots)</t>
        </is>
      </c>
      <c r="J17" s="55" t="n">
        <v>167</v>
      </c>
    </row>
    <row r="18">
      <c r="G18" s="58" t="inlineStr">
        <is>
          <t xml:space="preserve">— quality defects only (excl. *)</t>
        </is>
      </c>
      <c r="J18" s="55" t="n">
        <v>152</v>
      </c>
    </row>
    <row r="19" ht="44" customHeight="1">
      <c r="A19" s="59" t="inlineStr">
        <is>
          <t xml:space="preserve">Read: on the same 12 Martins lots, ATM finds ~6× the SH floor-sample fail count (full-batch review vs ~10% sampling). 9972 Laceration/Cut (100) is the downstream face of the SH urethra/bladder &amp; membrane cut damage; Exposed Urethra (16) and Bladder Length (15) map to the same themes; Blood Clots (17) and Spoilage only surface post-freeze.</t>
        </is>
      </c>
    </row>
    <row r="20"/>
    <row r="21" ht="16" customHeight="1">
      <c r="A21" s="58" t="inlineStr">
        <is>
          <t xml:space="preserve">THORACIC  —  SH floor, matched lots (left)  vs  ATM receipt, matched lots (right)</t>
        </is>
      </c>
    </row>
    <row r="22">
      <c r="A22" s="53" t="inlineStr">
        <is>
          <t xml:space="preserve">SH issue category</t>
        </is>
      </c>
      <c r="D22" s="53" t="inlineStr">
        <is>
          <t xml:space="preserve">Units</t>
        </is>
      </c>
      <c r="E22" s="53" t="inlineStr">
        <is>
          <t xml:space="preserve">% of SH</t>
        </is>
      </c>
      <c r="G22" s="53" t="inlineStr">
        <is>
          <t xml:space="preserve">ATM code · reason</t>
        </is>
      </c>
      <c r="J22" s="53" t="inlineStr">
        <is>
          <t xml:space="preserve">Units</t>
        </is>
      </c>
      <c r="K22" s="53" t="inlineStr">
        <is>
          <t xml:space="preserve">% of ATM</t>
        </is>
      </c>
    </row>
    <row r="23">
      <c r="A23" s="54" t="inlineStr">
        <is>
          <t xml:space="preserve">Lung laceration</t>
        </is>
      </c>
      <c r="D23" s="55" t="n">
        <v>42</v>
      </c>
      <c r="E23" s="56" t="n">
        <v>0.6562</v>
      </c>
      <c r="G23" s="54" t="inlineStr">
        <is>
          <t xml:space="preserve">9972 · Laceration/Cut</t>
        </is>
      </c>
      <c r="J23" s="55" t="n">
        <v>24</v>
      </c>
      <c r="K23" s="56" t="n">
        <v>1.0</v>
      </c>
    </row>
    <row r="24">
      <c r="A24" s="54" t="inlineStr">
        <is>
          <t xml:space="preserve">Heart damage</t>
        </is>
      </c>
      <c r="D24" s="55" t="n">
        <v>21</v>
      </c>
      <c r="E24" s="56" t="n">
        <v>0.3281</v>
      </c>
    </row>
    <row r="25">
      <c r="A25" s="54" t="inlineStr">
        <is>
          <t xml:space="preserve">Undocumented / not itemized</t>
        </is>
      </c>
      <c r="D25" s="55" t="n">
        <v>1</v>
      </c>
      <c r="E25" s="56" t="n">
        <v>0.0156</v>
      </c>
    </row>
    <row r="26">
      <c r="A26" s="58" t="inlineStr">
        <is>
          <t xml:space="preserve">Total SH issues (matched lots)</t>
        </is>
      </c>
      <c r="D26" s="55" t="n">
        <v>64</v>
      </c>
      <c r="G26" s="58" t="inlineStr">
        <is>
          <t xml:space="preserve">Total ATM scrapped (matched lots)</t>
        </is>
      </c>
      <c r="J26" s="55" t="n">
        <v>24</v>
      </c>
    </row>
    <row r="27">
      <c r="G27" s="58" t="inlineStr">
        <is>
          <t xml:space="preserve">— quality defects only (excl. *)</t>
        </is>
      </c>
      <c r="J27" s="55" t="n">
        <v>24</v>
      </c>
    </row>
    <row r="28" ht="44" customHeight="1">
      <c r="A28" s="59" t="inlineStr">
        <is>
          <t xml:space="preserve">Read: every ATM scrap unit on the 4 matched thoracic lots is 9972 Laceration/Cut — the same harvesting-side damage the SH floor flags (lung/heart lacerations). ATM does not yet post Missing Anatomy on these lots; SH QC-stage figures for the two-stage visits (8/26, 9/9) exclude harvest-tech rejects.</t>
        </is>
      </c>
    </row>
    <row r="29"/>
    <row r="30" ht="20" customHeight="1">
      <c r="A30" s="52" t="inlineStr">
        <is>
          <t xml:space="preserve">2 · FULL HISTORY — BY MATERIAL (date-filterable; includes batches without SH inspections)</t>
        </is>
      </c>
    </row>
    <row r="31" ht="20" customHeight="1">
      <c r="A31" s="52" t="inlineStr">
        <is>
          <t xml:space="preserve">Filter — From:</t>
        </is>
      </c>
      <c r="B31" s="48" t="n">
        <v>45474</v>
      </c>
      <c r="C31" s="52" t="inlineStr">
        <is>
          <t xml:space="preserve">To:</t>
        </is>
      </c>
      <c r="D31" s="48" t="n">
        <v>46387</v>
      </c>
      <c r="F31" s="59" t="inlineStr">
        <is>
          <t xml:space="preserve">← Edit these two dates (yellow cells). Every unit count, %, total and data bar in this section recalculates to the window.</t>
        </is>
      </c>
    </row>
    <row r="32"/>
    <row r="33" ht="20" customHeight="1">
      <c r="A33" s="52" t="inlineStr">
        <is>
          <t xml:space="preserve">PELVIC  —  SH floor (left)  vs  ATM receipt (right)</t>
        </is>
      </c>
    </row>
    <row r="34">
      <c r="A34" s="53" t="inlineStr">
        <is>
          <t xml:space="preserve">SH issue category</t>
        </is>
      </c>
      <c r="D34" s="53" t="inlineStr">
        <is>
          <t xml:space="preserve">Units</t>
        </is>
      </c>
      <c r="E34" s="53" t="inlineStr">
        <is>
          <t xml:space="preserve">% of SH</t>
        </is>
      </c>
      <c r="G34" s="53" t="inlineStr">
        <is>
          <t xml:space="preserve">ATM code · reason</t>
        </is>
      </c>
      <c r="J34" s="53" t="inlineStr">
        <is>
          <t xml:space="preserve">Units</t>
        </is>
      </c>
      <c r="K34" s="53" t="inlineStr">
        <is>
          <t xml:space="preserve">% of ATM</t>
        </is>
      </c>
    </row>
    <row r="35">
      <c r="A35" s="54" t="inlineStr">
        <is>
          <t xml:space="preserve">Urethra / bladder damage</t>
        </is>
      </c>
      <c r="D35" s="55" t="n">
        <f aca="false">SUMIFS('Issue Data'!$E:$E,'Issue Data'!$A:$A,"SH",'Issue Data'!$C:$C,"Pelvic",'Issue Data'!$B:$B,"&gt;="&amp;$B$31,'Issue Data'!$B:$B,"&lt;="&amp;$D$31,'Issue Data'!$D:$D,$A35)</f>
      </c>
      <c r="E35" s="56" t="n">
        <f aca="false">IFERROR(D35/D$46,"")</f>
      </c>
      <c r="G35" s="54" t="inlineStr">
        <is>
          <t xml:space="preserve">9972 · Laceration/Cut</t>
        </is>
      </c>
      <c r="J35" s="55" t="n">
        <f aca="false">SUMIFS('Issue Data'!$E:$E,'Issue Data'!$A:$A,"ATM",'Issue Data'!$C:$C,"Pelvic",'Issue Data'!$B:$B,"&gt;="&amp;$B$31,'Issue Data'!$B:$B,"&lt;="&amp;$D$31,'Issue Data'!$D:$D,IF(RIGHT($G35,1)="*",LEFT($G35,LEN($G35)-1),$G35))</f>
      </c>
      <c r="K35" s="56" t="n">
        <f aca="false">IFERROR(J35/J$46,"")</f>
      </c>
    </row>
    <row r="36">
      <c r="A36" s="54" t="inlineStr">
        <is>
          <t xml:space="preserve">Short block / mesentery length</t>
        </is>
      </c>
      <c r="D36" s="55" t="n">
        <f aca="false">SUMIFS('Issue Data'!$E:$E,'Issue Data'!$A:$A,"SH",'Issue Data'!$C:$C,"Pelvic",'Issue Data'!$B:$B,"&gt;="&amp;$B$31,'Issue Data'!$B:$B,"&lt;="&amp;$D$31,'Issue Data'!$D:$D,$A36)</f>
      </c>
      <c r="E36" s="56" t="n">
        <f aca="false">IFERROR(D36/D$46,"")</f>
      </c>
      <c r="G36" s="54" t="inlineStr">
        <is>
          <t xml:space="preserve">9973 · Out of Spec</t>
        </is>
      </c>
      <c r="J36" s="55" t="n">
        <f aca="false">SUMIFS('Issue Data'!$E:$E,'Issue Data'!$A:$A,"ATM",'Issue Data'!$C:$C,"Pelvic",'Issue Data'!$B:$B,"&gt;="&amp;$B$31,'Issue Data'!$B:$B,"&lt;="&amp;$D$31,'Issue Data'!$D:$D,IF(RIGHT($G36,1)="*",LEFT($G36,LEN($G36)-1),$G36))</f>
      </c>
      <c r="K36" s="56" t="n">
        <f aca="false">IFERROR(J36/J$46,"")</f>
      </c>
    </row>
    <row r="37">
      <c r="A37" s="54" t="inlineStr">
        <is>
          <t xml:space="preserve">Bowel damage / separation</t>
        </is>
      </c>
      <c r="D37" s="55" t="n">
        <f aca="false">SUMIFS('Issue Data'!$E:$E,'Issue Data'!$A:$A,"SH",'Issue Data'!$C:$C,"Pelvic",'Issue Data'!$B:$B,"&gt;="&amp;$B$31,'Issue Data'!$B:$B,"&lt;="&amp;$D$31,'Issue Data'!$D:$D,$A37)</f>
      </c>
      <c r="E37" s="56" t="n">
        <f aca="false">IFERROR(D37/D$46,"")</f>
      </c>
      <c r="G37" s="54" t="inlineStr">
        <is>
          <t xml:space="preserve">9987 · Blood Clots</t>
        </is>
      </c>
      <c r="J37" s="55" t="n">
        <f aca="false">SUMIFS('Issue Data'!$E:$E,'Issue Data'!$A:$A,"ATM",'Issue Data'!$C:$C,"Pelvic",'Issue Data'!$B:$B,"&gt;="&amp;$B$31,'Issue Data'!$B:$B,"&lt;="&amp;$D$31,'Issue Data'!$D:$D,IF(RIGHT($G37,1)="*",LEFT($G37,LEN($G37)-1),$G37))</f>
      </c>
      <c r="K37" s="56" t="n">
        <f aca="false">IFERROR(J37/J$46,"")</f>
      </c>
    </row>
    <row r="38">
      <c r="A38" s="54" t="inlineStr">
        <is>
          <t xml:space="preserve">Membrane damage</t>
        </is>
      </c>
      <c r="D38" s="55" t="n">
        <f aca="false">SUMIFS('Issue Data'!$E:$E,'Issue Data'!$A:$A,"SH",'Issue Data'!$C:$C,"Pelvic",'Issue Data'!$B:$B,"&gt;="&amp;$B$31,'Issue Data'!$B:$B,"&lt;="&amp;$D$31,'Issue Data'!$D:$D,$A38)</f>
      </c>
      <c r="E38" s="56" t="n">
        <f aca="false">IFERROR(D38/D$46,"")</f>
      </c>
      <c r="G38" s="54" t="inlineStr">
        <is>
          <t xml:space="preserve">9983 · Incorrect Dimensions</t>
        </is>
      </c>
      <c r="J38" s="55" t="n">
        <f aca="false">SUMIFS('Issue Data'!$E:$E,'Issue Data'!$A:$A,"ATM",'Issue Data'!$C:$C,"Pelvic",'Issue Data'!$B:$B,"&gt;="&amp;$B$31,'Issue Data'!$B:$B,"&lt;="&amp;$D$31,'Issue Data'!$D:$D,IF(RIGHT($G38,1)="*",LEFT($G38,LEN($G38)-1),$G38))</f>
      </c>
      <c r="K38" s="56" t="n">
        <f aca="false">IFERROR(J38/J$46,"")</f>
      </c>
    </row>
    <row r="39">
      <c r="A39" s="54" t="inlineStr">
        <is>
          <t xml:space="preserve">Critical-area laceration</t>
        </is>
      </c>
      <c r="D39" s="55" t="n">
        <f aca="false">SUMIFS('Issue Data'!$E:$E,'Issue Data'!$A:$A,"SH",'Issue Data'!$C:$C,"Pelvic",'Issue Data'!$B:$B,"&gt;="&amp;$B$31,'Issue Data'!$B:$B,"&lt;="&amp;$D$31,'Issue Data'!$D:$D,$A39)</f>
      </c>
      <c r="E39" s="56" t="n">
        <f aca="false">IFERROR(D39/D$46,"")</f>
      </c>
      <c r="G39" s="54" t="inlineStr">
        <is>
          <t xml:space="preserve">9986 · Bladder Length</t>
        </is>
      </c>
      <c r="J39" s="55" t="n">
        <f aca="false">SUMIFS('Issue Data'!$E:$E,'Issue Data'!$A:$A,"ATM",'Issue Data'!$C:$C,"Pelvic",'Issue Data'!$B:$B,"&gt;="&amp;$B$31,'Issue Data'!$B:$B,"&lt;="&amp;$D$31,'Issue Data'!$D:$D,IF(RIGHT($G39,1)="*",LEFT($G39,LEN($G39)-1),$G39))</f>
      </c>
      <c r="K39" s="56" t="n">
        <f aca="false">IFERROR(J39/J$46,"")</f>
      </c>
    </row>
    <row r="40">
      <c r="A40" s="54" t="inlineStr">
        <is>
          <t xml:space="preserve">Ureter damage</t>
        </is>
      </c>
      <c r="D40" s="55" t="n">
        <f aca="false">SUMIFS('Issue Data'!$E:$E,'Issue Data'!$A:$A,"SH",'Issue Data'!$C:$C,"Pelvic",'Issue Data'!$B:$B,"&gt;="&amp;$B$31,'Issue Data'!$B:$B,"&lt;="&amp;$D$31,'Issue Data'!$D:$D,$A40)</f>
      </c>
      <c r="E40" s="56" t="n">
        <f aca="false">IFERROR(D40/D$46,"")</f>
      </c>
      <c r="G40" s="54" t="inlineStr">
        <is>
          <t xml:space="preserve">9995 · Received Damage</t>
        </is>
      </c>
      <c r="J40" s="55" t="n">
        <f aca="false">SUMIFS('Issue Data'!$E:$E,'Issue Data'!$A:$A,"ATM",'Issue Data'!$C:$C,"Pelvic",'Issue Data'!$B:$B,"&gt;="&amp;$B$31,'Issue Data'!$B:$B,"&lt;="&amp;$D$31,'Issue Data'!$D:$D,IF(RIGHT($G40,1)="*",LEFT($G40,LEN($G40)-1),$G40))</f>
      </c>
      <c r="K40" s="56" t="n">
        <f aca="false">IFERROR(J40/J$46,"")</f>
      </c>
    </row>
    <row r="41">
      <c r="A41" s="54" t="inlineStr">
        <is>
          <t xml:space="preserve">Blood clots</t>
        </is>
      </c>
      <c r="D41" s="55" t="n">
        <f aca="false">SUMIFS('Issue Data'!$E:$E,'Issue Data'!$A:$A,"SH",'Issue Data'!$C:$C,"Pelvic",'Issue Data'!$B:$B,"&gt;="&amp;$B$31,'Issue Data'!$B:$B,"&lt;="&amp;$D$31,'Issue Data'!$D:$D,$A41)</f>
      </c>
      <c r="E41" s="56" t="n">
        <f aca="false">IFERROR(D41/D$46,"")</f>
      </c>
      <c r="G41" s="54" t="inlineStr">
        <is>
          <t xml:space="preserve">9988 · Exposed Urethra</t>
        </is>
      </c>
      <c r="J41" s="55" t="n">
        <f aca="false">SUMIFS('Issue Data'!$E:$E,'Issue Data'!$A:$A,"ATM",'Issue Data'!$C:$C,"Pelvic",'Issue Data'!$B:$B,"&gt;="&amp;$B$31,'Issue Data'!$B:$B,"&lt;="&amp;$D$31,'Issue Data'!$D:$D,IF(RIGHT($G41,1)="*",LEFT($G41,LEN($G41)-1),$G41))</f>
      </c>
      <c r="K41" s="56" t="n">
        <f aca="false">IFERROR(J41/J$46,"")</f>
      </c>
    </row>
    <row r="42">
      <c r="A42" s="54" t="inlineStr">
        <is>
          <t xml:space="preserve">Handling damage (cleaning)</t>
        </is>
      </c>
      <c r="D42" s="55" t="n">
        <f aca="false">SUMIFS('Issue Data'!$E:$E,'Issue Data'!$A:$A,"SH",'Issue Data'!$C:$C,"Pelvic",'Issue Data'!$B:$B,"&gt;="&amp;$B$31,'Issue Data'!$B:$B,"&lt;="&amp;$D$31,'Issue Data'!$D:$D,$A42)</f>
      </c>
      <c r="E42" s="56" t="n">
        <f aca="false">IFERROR(D42/D$46,"")</f>
      </c>
      <c r="G42" s="54" t="inlineStr">
        <is>
          <t xml:space="preserve">9991 · R&amp;D/Testing*</t>
        </is>
      </c>
      <c r="J42" s="55" t="n">
        <f aca="false">SUMIFS('Issue Data'!$E:$E,'Issue Data'!$A:$A,"ATM",'Issue Data'!$C:$C,"Pelvic",'Issue Data'!$B:$B,"&gt;="&amp;$B$31,'Issue Data'!$B:$B,"&lt;="&amp;$D$31,'Issue Data'!$D:$D,IF(RIGHT($G42,1)="*",LEFT($G42,LEN($G42)-1),$G42))</f>
      </c>
      <c r="K42" s="56" t="n">
        <f aca="false">IFERROR(J42/J$46,"")</f>
      </c>
    </row>
    <row r="43">
      <c r="A43" s="54" t="inlineStr">
        <is>
          <t xml:space="preserve">Deformed ligaments</t>
        </is>
      </c>
      <c r="D43" s="55" t="n">
        <f aca="false">SUMIFS('Issue Data'!$E:$E,'Issue Data'!$A:$A,"SH",'Issue Data'!$C:$C,"Pelvic",'Issue Data'!$B:$B,"&gt;="&amp;$B$31,'Issue Data'!$B:$B,"&lt;="&amp;$D$31,'Issue Data'!$D:$D,$A43)</f>
      </c>
      <c r="E43" s="56" t="n">
        <f aca="false">IFERROR(D43/D$46,"")</f>
      </c>
      <c r="G43" s="54" t="inlineStr">
        <is>
          <t xml:space="preserve">9976 · Spoilage</t>
        </is>
      </c>
      <c r="J43" s="55" t="n">
        <f aca="false">SUMIFS('Issue Data'!$E:$E,'Issue Data'!$A:$A,"ATM",'Issue Data'!$C:$C,"Pelvic",'Issue Data'!$B:$B,"&gt;="&amp;$B$31,'Issue Data'!$B:$B,"&lt;="&amp;$D$31,'Issue Data'!$D:$D,IF(RIGHT($G43,1)="*",LEFT($G43,LEN($G43)-1),$G43))</f>
      </c>
      <c r="K43" s="56" t="n">
        <f aca="false">IFERROR(J43/J$46,"")</f>
      </c>
    </row>
    <row r="44">
      <c r="A44" s="54" t="inlineStr">
        <is>
          <t xml:space="preserve">Undocumented / not itemized</t>
        </is>
      </c>
      <c r="D44" s="55" t="n">
        <f aca="false">SUMIFS('Issue Data'!$E:$E,'Issue Data'!$A:$A,"SH",'Issue Data'!$C:$C,"Pelvic",'Issue Data'!$B:$B,"&gt;="&amp;$B$31,'Issue Data'!$B:$B,"&lt;="&amp;$D$31,'Issue Data'!$D:$D,$A44)</f>
      </c>
      <c r="E44" s="56" t="n">
        <f aca="false">IFERROR(D44/D$46,"")</f>
      </c>
      <c r="G44" s="54" t="inlineStr">
        <is>
          <t xml:space="preserve">1220 · Destructive Testing (eng/R&amp;D)*</t>
        </is>
      </c>
      <c r="J44" s="55" t="n">
        <f aca="false">SUMIFS('Issue Data'!$E:$E,'Issue Data'!$A:$A,"ATM",'Issue Data'!$C:$C,"Pelvic",'Issue Data'!$B:$B,"&gt;="&amp;$B$31,'Issue Data'!$B:$B,"&lt;="&amp;$D$31,'Issue Data'!$D:$D,IF(RIGHT($G44,1)="*",LEFT($G44,LEN($G44)-1),$G44))</f>
      </c>
      <c r="K44" s="56" t="n">
        <f aca="false">IFERROR(J44/J$46,"")</f>
      </c>
    </row>
    <row r="45">
      <c r="G45" s="54" t="inlineStr">
        <is>
          <t xml:space="preserve">9994 · Line Clearance*</t>
        </is>
      </c>
      <c r="J45" s="55" t="n">
        <f aca="false">SUMIFS('Issue Data'!$E:$E,'Issue Data'!$A:$A,"ATM",'Issue Data'!$C:$C,"Pelvic",'Issue Data'!$B:$B,"&gt;="&amp;$B$31,'Issue Data'!$B:$B,"&lt;="&amp;$D$31,'Issue Data'!$D:$D,IF(RIGHT($G45,1)="*",LEFT($G45,LEN($G45)-1),$G45))</f>
      </c>
      <c r="K45" s="56" t="n">
        <f aca="false">IFERROR(J45/J$46,"")</f>
      </c>
    </row>
    <row r="46">
      <c r="A46" s="58" t="inlineStr">
        <is>
          <t xml:space="preserve">Total SH issues</t>
        </is>
      </c>
      <c r="D46" s="55" t="n">
        <f aca="false">SUM(D35:D45)</f>
      </c>
      <c r="G46" s="58" t="inlineStr">
        <is>
          <t xml:space="preserve">Total ATM scrapped</t>
        </is>
      </c>
      <c r="J46" s="55" t="n">
        <f aca="false">SUM(J35:J45)</f>
      </c>
    </row>
    <row r="47">
      <c r="G47" s="58" t="inlineStr">
        <is>
          <t xml:space="preserve">— quality defects only (excl. *)</t>
        </is>
      </c>
      <c r="J47" s="55" t="n">
        <f aca="false">SUMIFS('Issue Data'!$E:$E,'Issue Data'!$A:$A,"ATM",'Issue Data'!$C:$C,"Pelvic",'Issue Data'!$B:$B,"&gt;="&amp;$B$31,'Issue Data'!$B:$B,"&lt;="&amp;$D$31,'Issue Data'!$F:$F,"Quality")</f>
      </c>
    </row>
    <row r="48" ht="44" customHeight="1">
      <c r="A48" s="59" t="inlineStr">
        <is>
          <t xml:space="preserve">Alignment (full-history reference): ATM's #1 code 9972 Laceration/Cut is the downstream face of the SH urethra/bladder + membrane/ureter cut damage. Exposed Urethra (9988) and Bladder Length (9986) map to the same SH themes; Blood Clots (9987) and Received Damage (9995) only surface post-freeze.</t>
        </is>
      </c>
    </row>
    <row r="49"/>
    <row r="50" ht="20" customHeight="1">
      <c r="A50" s="52" t="inlineStr">
        <is>
          <t xml:space="preserve">THORACIC  —  SH floor (left)  vs  ATM receipt (right)</t>
        </is>
      </c>
    </row>
    <row r="51">
      <c r="A51" s="53" t="inlineStr">
        <is>
          <t xml:space="preserve">SH issue category</t>
        </is>
      </c>
      <c r="D51" s="53" t="inlineStr">
        <is>
          <t xml:space="preserve">Units</t>
        </is>
      </c>
      <c r="E51" s="53" t="inlineStr">
        <is>
          <t xml:space="preserve">% of SH</t>
        </is>
      </c>
      <c r="G51" s="53" t="inlineStr">
        <is>
          <t xml:space="preserve">ATM code · reason</t>
        </is>
      </c>
      <c r="J51" s="53" t="inlineStr">
        <is>
          <t xml:space="preserve">Units</t>
        </is>
      </c>
      <c r="K51" s="53" t="inlineStr">
        <is>
          <t xml:space="preserve">% of ATM</t>
        </is>
      </c>
    </row>
    <row r="52">
      <c r="A52" s="54" t="inlineStr">
        <is>
          <t xml:space="preserve">Lung laceration</t>
        </is>
      </c>
      <c r="D52" s="55" t="n">
        <f aca="false">SUMIFS('Issue Data'!$E:$E,'Issue Data'!$A:$A,"SH",'Issue Data'!$C:$C,"Thoracic",'Issue Data'!$B:$B,"&gt;="&amp;$B$31,'Issue Data'!$B:$B,"&lt;="&amp;$D$31,'Issue Data'!$D:$D,$A52)</f>
      </c>
      <c r="E52" s="56" t="n">
        <f aca="false">IFERROR(D52/D$59,"")</f>
      </c>
      <c r="G52" s="54" t="inlineStr">
        <is>
          <t xml:space="preserve">9972 · Laceration/Cut</t>
        </is>
      </c>
      <c r="J52" s="55" t="n">
        <f aca="false">SUMIFS('Issue Data'!$E:$E,'Issue Data'!$A:$A,"ATM",'Issue Data'!$C:$C,"Thoracic",'Issue Data'!$B:$B,"&gt;="&amp;$B$31,'Issue Data'!$B:$B,"&lt;="&amp;$D$31,'Issue Data'!$D:$D,IF(RIGHT($G52,1)="*",LEFT($G52,LEN($G52)-1),$G52))</f>
      </c>
      <c r="K52" s="56" t="n">
        <f aca="false">IFERROR(J52/J$59,"")</f>
      </c>
    </row>
    <row r="53">
      <c r="A53" s="54" t="inlineStr">
        <is>
          <t xml:space="preserve">Heart damage</t>
        </is>
      </c>
      <c r="D53" s="55" t="n">
        <f aca="false">SUMIFS('Issue Data'!$E:$E,'Issue Data'!$A:$A,"SH",'Issue Data'!$C:$C,"Thoracic",'Issue Data'!$B:$B,"&gt;="&amp;$B$31,'Issue Data'!$B:$B,"&lt;="&amp;$D$31,'Issue Data'!$D:$D,$A53)</f>
      </c>
      <c r="E53" s="56" t="n">
        <f aca="false">IFERROR(D53/D$59,"")</f>
      </c>
      <c r="G53" s="54" t="inlineStr">
        <is>
          <t xml:space="preserve">1220 · Destructive Testing (eng/R&amp;D)*</t>
        </is>
      </c>
      <c r="J53" s="55" t="n">
        <f aca="false">SUMIFS('Issue Data'!$E:$E,'Issue Data'!$A:$A,"ATM",'Issue Data'!$C:$C,"Thoracic",'Issue Data'!$B:$B,"&gt;="&amp;$B$31,'Issue Data'!$B:$B,"&lt;="&amp;$D$31,'Issue Data'!$D:$D,IF(RIGHT($G53,1)="*",LEFT($G53,LEN($G53)-1),$G53))</f>
      </c>
      <c r="K53" s="56" t="n">
        <f aca="false">IFERROR(J53/J$59,"")</f>
      </c>
    </row>
    <row r="54">
      <c r="A54" s="54" t="inlineStr">
        <is>
          <t xml:space="preserve">Missing anatomy (trachea)</t>
        </is>
      </c>
      <c r="D54" s="55" t="n">
        <f aca="false">SUMIFS('Issue Data'!$E:$E,'Issue Data'!$A:$A,"SH",'Issue Data'!$C:$C,"Thoracic",'Issue Data'!$B:$B,"&gt;="&amp;$B$31,'Issue Data'!$B:$B,"&lt;="&amp;$D$31,'Issue Data'!$D:$D,$A54)</f>
      </c>
      <c r="E54" s="56" t="n">
        <f aca="false">IFERROR(D54/D$59,"")</f>
      </c>
      <c r="G54" s="54" t="inlineStr">
        <is>
          <t xml:space="preserve">9985 · Tech Damaged</t>
        </is>
      </c>
      <c r="J54" s="55" t="n">
        <f aca="false">SUMIFS('Issue Data'!$E:$E,'Issue Data'!$A:$A,"ATM",'Issue Data'!$C:$C,"Thoracic",'Issue Data'!$B:$B,"&gt;="&amp;$B$31,'Issue Data'!$B:$B,"&lt;="&amp;$D$31,'Issue Data'!$D:$D,IF(RIGHT($G54,1)="*",LEFT($G54,LEN($G54)-1),$G54))</f>
      </c>
      <c r="K54" s="56" t="n">
        <f aca="false">IFERROR(J54/J$59,"")</f>
      </c>
    </row>
    <row r="55">
      <c r="A55" s="54" t="inlineStr">
        <is>
          <t xml:space="preserve">Undocumented / not itemized</t>
        </is>
      </c>
      <c r="D55" s="55" t="n">
        <f aca="false">SUMIFS('Issue Data'!$E:$E,'Issue Data'!$A:$A,"SH",'Issue Data'!$C:$C,"Thoracic",'Issue Data'!$B:$B,"&gt;="&amp;$B$31,'Issue Data'!$B:$B,"&lt;="&amp;$D$31,'Issue Data'!$D:$D,$A55)</f>
      </c>
      <c r="E55" s="56" t="n">
        <f aca="false">IFERROR(D55/D$59,"")</f>
      </c>
      <c r="G55" s="54" t="inlineStr">
        <is>
          <t xml:space="preserve">7 · Others</t>
        </is>
      </c>
      <c r="J55" s="55" t="n">
        <f aca="false">SUMIFS('Issue Data'!$E:$E,'Issue Data'!$A:$A,"ATM",'Issue Data'!$C:$C,"Thoracic",'Issue Data'!$B:$B,"&gt;="&amp;$B$31,'Issue Data'!$B:$B,"&lt;="&amp;$D$31,'Issue Data'!$D:$D,IF(RIGHT($G55,1)="*",LEFT($G55,LEN($G55)-1),$G55))</f>
      </c>
      <c r="K55" s="56" t="n">
        <f aca="false">IFERROR(J55/J$59,"")</f>
      </c>
    </row>
    <row r="56">
      <c r="G56" s="54" t="inlineStr">
        <is>
          <t xml:space="preserve">9973 · Out of Spec</t>
        </is>
      </c>
      <c r="J56" s="55" t="n">
        <f aca="false">SUMIFS('Issue Data'!$E:$E,'Issue Data'!$A:$A,"ATM",'Issue Data'!$C:$C,"Thoracic",'Issue Data'!$B:$B,"&gt;="&amp;$B$31,'Issue Data'!$B:$B,"&lt;="&amp;$D$31,'Issue Data'!$D:$D,IF(RIGHT($G56,1)="*",LEFT($G56,LEN($G56)-1),$G56))</f>
      </c>
      <c r="K56" s="56" t="n">
        <f aca="false">IFERROR(J56/J$59,"")</f>
      </c>
    </row>
    <row r="57">
      <c r="G57" s="54" t="inlineStr">
        <is>
          <t xml:space="preserve">1201 · Tech Performance</t>
        </is>
      </c>
      <c r="J57" s="55" t="n">
        <f aca="false">SUMIFS('Issue Data'!$E:$E,'Issue Data'!$A:$A,"ATM",'Issue Data'!$C:$C,"Thoracic",'Issue Data'!$B:$B,"&gt;="&amp;$B$31,'Issue Data'!$B:$B,"&lt;="&amp;$D$31,'Issue Data'!$D:$D,IF(RIGHT($G57,1)="*",LEFT($G57,LEN($G57)-1),$G57))</f>
      </c>
      <c r="K57" s="56" t="n">
        <f aca="false">IFERROR(J57/J$59,"")</f>
      </c>
    </row>
    <row r="58">
      <c r="G58" s="54" t="inlineStr">
        <is>
          <t xml:space="preserve">9984 · Partial Qty</t>
        </is>
      </c>
      <c r="J58" s="55" t="n">
        <f aca="false">SUMIFS('Issue Data'!$E:$E,'Issue Data'!$A:$A,"ATM",'Issue Data'!$C:$C,"Thoracic",'Issue Data'!$B:$B,"&gt;="&amp;$B$31,'Issue Data'!$B:$B,"&lt;="&amp;$D$31,'Issue Data'!$D:$D,IF(RIGHT($G58,1)="*",LEFT($G58,LEN($G58)-1),$G58))</f>
      </c>
      <c r="K58" s="56" t="n">
        <f aca="false">IFERROR(J58/J$59,"")</f>
      </c>
    </row>
    <row r="59">
      <c r="A59" s="58" t="inlineStr">
        <is>
          <t xml:space="preserve">Total SH issues</t>
        </is>
      </c>
      <c r="D59" s="55" t="n">
        <f aca="false">SUM(D52:D58)</f>
      </c>
      <c r="G59" s="58" t="inlineStr">
        <is>
          <t xml:space="preserve">Total ATM scrapped</t>
        </is>
      </c>
      <c r="J59" s="55" t="n">
        <f aca="false">SUM(J52:J58)</f>
      </c>
    </row>
    <row r="60">
      <c r="G60" s="58" t="inlineStr">
        <is>
          <t xml:space="preserve">— quality defects only (excl. *)</t>
        </is>
      </c>
      <c r="J60" s="55" t="n">
        <f aca="false">SUMIFS('Issue Data'!$E:$E,'Issue Data'!$A:$A,"ATM",'Issue Data'!$C:$C,"Thoracic",'Issue Data'!$B:$B,"&gt;="&amp;$B$31,'Issue Data'!$B:$B,"&lt;="&amp;$D$31,'Issue Data'!$F:$F,"Quality")</f>
      </c>
    </row>
    <row r="61" ht="44" customHeight="1">
      <c r="A61" s="59" t="inlineStr">
        <is>
          <t xml:space="preserve">Alignment (full-history reference): both stages tell one story — lacerations — with a new SH-side mode in Sep 2026: missing trachea (SH harvesting tracheas for another buyer; ATM analogue would be 9996 Missing Anatomy). Excluding destructive testing (1220), 2026 thoracic quality scrap runs ≈50% of received.</t>
        </is>
      </c>
    </row>
    <row r="62"/>
    <row r="63" ht="20" customHeight="1">
      <c r="A63" s="52" t="inlineStr">
        <is>
          <t xml:space="preserve">NOTES</t>
        </is>
      </c>
    </row>
    <row r="64" ht="44" customHeight="1">
      <c r="A64" s="59" t="inlineStr">
        <is>
          <t xml:space="preserve">• Section 2's filter reads the hidden 'Issue Data' sheet (one row per SH defect tag / ATM reason posting, dated; SH data through 09/09, ATM extract through 09/16). Unhide to audit; append rows there as new data arrives — the section recalculates.</t>
        </is>
      </c>
    </row>
    <row r="65" ht="44" customHeight="1">
      <c r="A65" s="59" t="inlineStr">
        <is>
          <t xml:space="preserve">• Section 1 (matched batches) uses static all-time batch totals: per-batch ATM detail with dates is only retained from the 08/03–09/16 extract onward, so the matched view can't be date-filtered yet. It will become filterable as future extracts accumulate.</t>
        </is>
      </c>
    </row>
    <row r="66" ht="44" customHeight="1">
      <c r="A66" s="59" t="inlineStr">
        <is>
          <t xml:space="preserve">• SH profiles include only incoming-QC fails with verified reasons. Excluded: the Nahunta 8/12 pelvic line (a PRE-RECEIPT SCREEN — 13 blocks inspected prior to receiving them; its 12 rejects never became received product) and Nahunta harvest-stage rejects (two-inspection visits, from 08/26) — SH rows reflect our QC inspections. The former 'Other / unspecified' category no longer exists.</t>
        </is>
      </c>
    </row>
    <row r="67" ht="44" customHeight="1">
      <c r="A67" s="59" t="inlineStr">
        <is>
          <t xml:space="preserve">• Windows differ by design in Section 2: SH began Apr 2026 (thoracic Jul 2026); ATM covers Jan 2026+ (pelvic 666541) and Jul 2024+ (thoracic 666521). Set Apr–Sep 2026 for the like-for-like window.</t>
        </is>
      </c>
    </row>
    <row r="68" ht="44" customHeight="1">
      <c r="A68" s="59" t="inlineStr">
        <is>
          <t xml:space="preserve">• Category systems differ: SH categories are analyst-coded free text; ATM reasons are SAP codes. The pairing in the reads is directional, not a formal crosswalk. SH counts are floor samples; ATM counts are full received quantities.</t>
        </is>
      </c>
    </row>
    <row r="69" ht="44" customHeight="1">
      <c r="A69" s="59" t="inlineStr">
        <is>
          <t xml:space="preserve">• Excluded: legacy ATM codes 4 / 5 / 1 (2024–25 thoracic era, 191 units) have no confirmed legend and are omitted per Quality. Planned/process withdrawals marked *: 1220 Destructive Testing (eng/R&amp;D), 9991 R&amp;D/Testing, 9994 Line Clearance; 7 = Others, 1201 = Tech Performance.</t>
        </is>
      </c>
    </row>
  </sheetData>
  <mergeCells count="92">
    <mergeCell ref="A1:L1"/>
    <mergeCell ref="A2:L2"/>
    <mergeCell ref="A4:L4"/>
    <mergeCell ref="A5:L5"/>
    <mergeCell ref="A6:L6"/>
    <mergeCell ref="A7:C7"/>
    <mergeCell ref="G7:I7"/>
    <mergeCell ref="A8:C8"/>
    <mergeCell ref="G8:I8"/>
    <mergeCell ref="A9:C9"/>
    <mergeCell ref="G9:I9"/>
    <mergeCell ref="A10:C10"/>
    <mergeCell ref="G10:I10"/>
    <mergeCell ref="A11:C11"/>
    <mergeCell ref="G11:I11"/>
    <mergeCell ref="A12:C12"/>
    <mergeCell ref="G12:I12"/>
    <mergeCell ref="A13:C13"/>
    <mergeCell ref="G13:I13"/>
    <mergeCell ref="G14:I14"/>
    <mergeCell ref="G15:I15"/>
    <mergeCell ref="G16:I16"/>
    <mergeCell ref="A17:C17"/>
    <mergeCell ref="G17:I17"/>
    <mergeCell ref="G18:I18"/>
    <mergeCell ref="A19:L19"/>
    <mergeCell ref="A21:L21"/>
    <mergeCell ref="A22:C22"/>
    <mergeCell ref="G22:I22"/>
    <mergeCell ref="A23:C23"/>
    <mergeCell ref="G23:I23"/>
    <mergeCell ref="A24:C24"/>
    <mergeCell ref="A25:C25"/>
    <mergeCell ref="A26:C26"/>
    <mergeCell ref="G26:I26"/>
    <mergeCell ref="G27:I27"/>
    <mergeCell ref="A28:L28"/>
    <mergeCell ref="A30:L30"/>
    <mergeCell ref="F31:L31"/>
    <mergeCell ref="A33:L33"/>
    <mergeCell ref="A34:C34"/>
    <mergeCell ref="G34:I34"/>
    <mergeCell ref="A35:C35"/>
    <mergeCell ref="G35:I35"/>
    <mergeCell ref="A36:C36"/>
    <mergeCell ref="G36:I36"/>
    <mergeCell ref="A37:C37"/>
    <mergeCell ref="G37:I37"/>
    <mergeCell ref="A38:C38"/>
    <mergeCell ref="G38:I38"/>
    <mergeCell ref="A39:C39"/>
    <mergeCell ref="G39:I39"/>
    <mergeCell ref="A40:C40"/>
    <mergeCell ref="G40:I40"/>
    <mergeCell ref="A41:C41"/>
    <mergeCell ref="G41:I41"/>
    <mergeCell ref="A42:C42"/>
    <mergeCell ref="G42:I42"/>
    <mergeCell ref="A43:C43"/>
    <mergeCell ref="G43:I43"/>
    <mergeCell ref="A44:C44"/>
    <mergeCell ref="G44:I44"/>
    <mergeCell ref="G45:I45"/>
    <mergeCell ref="A46:C46"/>
    <mergeCell ref="G46:I46"/>
    <mergeCell ref="G47:I47"/>
    <mergeCell ref="A48:L48"/>
    <mergeCell ref="A50:L50"/>
    <mergeCell ref="A51:C51"/>
    <mergeCell ref="G51:I51"/>
    <mergeCell ref="A52:C52"/>
    <mergeCell ref="G52:I52"/>
    <mergeCell ref="A53:C53"/>
    <mergeCell ref="G53:I53"/>
    <mergeCell ref="A54:C54"/>
    <mergeCell ref="G54:I54"/>
    <mergeCell ref="A55:C55"/>
    <mergeCell ref="G55:I55"/>
    <mergeCell ref="G56:I56"/>
    <mergeCell ref="G57:I57"/>
    <mergeCell ref="G58:I58"/>
    <mergeCell ref="A59:C59"/>
    <mergeCell ref="G59:I59"/>
    <mergeCell ref="G60:I60"/>
    <mergeCell ref="A61:L61"/>
    <mergeCell ref="A63:L63"/>
    <mergeCell ref="A64:L64"/>
    <mergeCell ref="A65:L65"/>
    <mergeCell ref="A66:L66"/>
    <mergeCell ref="A67:L67"/>
    <mergeCell ref="A68:L68"/>
    <mergeCell ref="A69:L69"/>
  </mergeCells>
  <conditionalFormatting sqref="D8:D16">
    <cfRule type="dataBar" priority="1">
      <dataBar>
        <cfvo type="min"/>
        <cfvo type="max"/>
        <color rgb="FF638EC6"/>
      </dataBar>
    </cfRule>
  </conditionalFormatting>
  <conditionalFormatting sqref="J8:J16">
    <cfRule type="dataBar" priority="2">
      <dataBar>
        <cfvo type="min"/>
        <cfvo type="max"/>
        <color rgb="FFE8A33D"/>
      </dataBar>
    </cfRule>
  </conditionalFormatting>
  <conditionalFormatting sqref="D23:D25">
    <cfRule type="dataBar" priority="3">
      <dataBar>
        <cfvo type="min"/>
        <cfvo type="max"/>
        <color rgb="FF638EC6"/>
      </dataBar>
    </cfRule>
  </conditionalFormatting>
  <conditionalFormatting sqref="J23:J25">
    <cfRule type="dataBar" priority="4">
      <dataBar>
        <cfvo type="min"/>
        <cfvo type="max"/>
        <color rgb="FFE8A33D"/>
      </dataBar>
    </cfRule>
  </conditionalFormatting>
  <conditionalFormatting sqref="D35:D45">
    <cfRule type="dataBar" priority="5">
      <dataBar>
        <cfvo type="min"/>
        <cfvo type="max"/>
        <color rgb="FF638EC6"/>
      </dataBar>
    </cfRule>
  </conditionalFormatting>
  <conditionalFormatting sqref="J35:J45">
    <cfRule type="dataBar" priority="6">
      <dataBar>
        <cfvo type="min"/>
        <cfvo type="max"/>
        <color rgb="FFE8A33D"/>
      </dataBar>
    </cfRule>
  </conditionalFormatting>
  <conditionalFormatting sqref="D52:D58">
    <cfRule type="dataBar" priority="7">
      <dataBar>
        <cfvo type="min"/>
        <cfvo type="max"/>
        <color rgb="FF638EC6"/>
      </dataBar>
    </cfRule>
  </conditionalFormatting>
  <conditionalFormatting sqref="J52:J58">
    <cfRule type="dataBar" priority="8">
      <dataBar>
        <cfvo type="min"/>
        <cfvo type="max"/>
        <color rgb="FFE8A33D"/>
      </dataBar>
    </cfRule>
  </conditionalFormatting>
  <pageMargins left="0.5" right="0.5" top="0.6" bottom="0.6" header="0.3" footer="0.3"/>
</worksheet>
</file>

<file path=xl/worksheets/sheet14.xml><?xml version="1.0" encoding="utf-8"?>
<worksheet xmlns="http://schemas.openxmlformats.org/spreadsheetml/2006/main" xmlns:r="http://schemas.openxmlformats.org/officeDocument/2006/relationships">
  <dimension ref="A1:F416"/>
  <sheetViews>
    <sheetView workbookViewId="0">
      <selection activeCell="A1" sqref="A1"/>
    </sheetView>
  </sheetViews>
  <sheetFormatPr defaultRowHeight="15"/>
  <cols>
    <col min="1" max="1" width="8" customWidth="1"/>
    <col min="2" max="2" width="11" customWidth="1"/>
    <col min="3" max="3" width="10" customWidth="1"/>
    <col min="4" max="4" width="34" customWidth="1"/>
    <col min="5" max="5" width="7" customWidth="1"/>
    <col min="6" max="6" width="9" customWidth="1"/>
  </cols>
  <sheetData>
    <row r="1">
      <c r="A1" s="53" t="inlineStr">
        <is>
          <t xml:space="preserve">Source</t>
        </is>
      </c>
      <c r="B1" s="53" t="inlineStr">
        <is>
          <t xml:space="preserve">Date</t>
        </is>
      </c>
      <c r="C1" s="53" t="inlineStr">
        <is>
          <t xml:space="preserve">Tissue</t>
        </is>
      </c>
      <c r="D1" s="53" t="inlineStr">
        <is>
          <t xml:space="preserve">Issue / Reason</t>
        </is>
      </c>
      <c r="E1" s="53" t="inlineStr">
        <is>
          <t xml:space="preserve">Units</t>
        </is>
      </c>
      <c r="F1" s="53" t="inlineStr">
        <is>
          <t xml:space="preserve">Type</t>
        </is>
      </c>
    </row>
    <row r="2">
      <c r="A2" s="54" t="inlineStr">
        <is>
          <t xml:space="preserve">ATM</t>
        </is>
      </c>
      <c r="B2" s="49" t="n">
        <v>45538</v>
      </c>
      <c r="C2" s="54" t="inlineStr">
        <is>
          <t xml:space="preserve">Thoracic</t>
        </is>
      </c>
      <c r="D2" s="54" t="inlineStr">
        <is>
          <t xml:space="preserve">7 · Others</t>
        </is>
      </c>
      <c r="E2" s="55" t="n">
        <v>1</v>
      </c>
      <c r="F2" s="54" t="inlineStr">
        <is>
          <t xml:space="preserve">Quality</t>
        </is>
      </c>
    </row>
    <row r="3">
      <c r="A3" s="54" t="inlineStr">
        <is>
          <t xml:space="preserve">ATM</t>
        </is>
      </c>
      <c r="B3" s="49" t="n">
        <v>45565</v>
      </c>
      <c r="C3" s="54" t="inlineStr">
        <is>
          <t xml:space="preserve">Thoracic</t>
        </is>
      </c>
      <c r="D3" s="54" t="inlineStr">
        <is>
          <t xml:space="preserve">1220 · Destructive Testing (eng/R&amp;D)</t>
        </is>
      </c>
      <c r="E3" s="55" t="n">
        <v>2</v>
      </c>
      <c r="F3" s="54" t="inlineStr">
        <is>
          <t xml:space="preserve">Planned</t>
        </is>
      </c>
    </row>
    <row r="4">
      <c r="A4" s="54" t="inlineStr">
        <is>
          <t xml:space="preserve">ATM</t>
        </is>
      </c>
      <c r="B4" s="49" t="n">
        <v>45567</v>
      </c>
      <c r="C4" s="54" t="inlineStr">
        <is>
          <t xml:space="preserve">Thoracic</t>
        </is>
      </c>
      <c r="D4" s="54" t="inlineStr">
        <is>
          <t xml:space="preserve">1220 · Destructive Testing (eng/R&amp;D)</t>
        </is>
      </c>
      <c r="E4" s="55" t="n">
        <v>2</v>
      </c>
      <c r="F4" s="54" t="inlineStr">
        <is>
          <t xml:space="preserve">Planned</t>
        </is>
      </c>
    </row>
    <row r="5">
      <c r="A5" s="54" t="inlineStr">
        <is>
          <t xml:space="preserve">ATM</t>
        </is>
      </c>
      <c r="B5" s="49" t="n">
        <v>45580</v>
      </c>
      <c r="C5" s="54" t="inlineStr">
        <is>
          <t xml:space="preserve">Thoracic</t>
        </is>
      </c>
      <c r="D5" s="54" t="inlineStr">
        <is>
          <t xml:space="preserve">1220 · Destructive Testing (eng/R&amp;D)</t>
        </is>
      </c>
      <c r="E5" s="55" t="n">
        <v>2</v>
      </c>
      <c r="F5" s="54" t="inlineStr">
        <is>
          <t xml:space="preserve">Planned</t>
        </is>
      </c>
    </row>
    <row r="6">
      <c r="A6" s="54" t="inlineStr">
        <is>
          <t xml:space="preserve">ATM</t>
        </is>
      </c>
      <c r="B6" s="49" t="n">
        <v>45593</v>
      </c>
      <c r="C6" s="54" t="inlineStr">
        <is>
          <t xml:space="preserve">Thoracic</t>
        </is>
      </c>
      <c r="D6" s="54" t="inlineStr">
        <is>
          <t xml:space="preserve">1220 · Destructive Testing (eng/R&amp;D)</t>
        </is>
      </c>
      <c r="E6" s="55" t="n">
        <v>1</v>
      </c>
      <c r="F6" s="54" t="inlineStr">
        <is>
          <t xml:space="preserve">Planned</t>
        </is>
      </c>
    </row>
    <row r="7">
      <c r="A7" s="54" t="inlineStr">
        <is>
          <t xml:space="preserve">ATM</t>
        </is>
      </c>
      <c r="B7" s="49" t="n">
        <v>45615</v>
      </c>
      <c r="C7" s="54" t="inlineStr">
        <is>
          <t xml:space="preserve">Thoracic</t>
        </is>
      </c>
      <c r="D7" s="54" t="inlineStr">
        <is>
          <t xml:space="preserve">1220 · Destructive Testing (eng/R&amp;D)</t>
        </is>
      </c>
      <c r="E7" s="55" t="n">
        <v>2</v>
      </c>
      <c r="F7" s="54" t="inlineStr">
        <is>
          <t xml:space="preserve">Planned</t>
        </is>
      </c>
    </row>
    <row r="8">
      <c r="A8" s="54" t="inlineStr">
        <is>
          <t xml:space="preserve">ATM</t>
        </is>
      </c>
      <c r="B8" s="49" t="n">
        <v>45638</v>
      </c>
      <c r="C8" s="54" t="inlineStr">
        <is>
          <t xml:space="preserve">Thoracic</t>
        </is>
      </c>
      <c r="D8" s="54" t="inlineStr">
        <is>
          <t xml:space="preserve">1220 · Destructive Testing (eng/R&amp;D)</t>
        </is>
      </c>
      <c r="E8" s="55" t="n">
        <v>1</v>
      </c>
      <c r="F8" s="54" t="inlineStr">
        <is>
          <t xml:space="preserve">Planned</t>
        </is>
      </c>
    </row>
    <row r="9">
      <c r="A9" s="54" t="inlineStr">
        <is>
          <t xml:space="preserve">ATM</t>
        </is>
      </c>
      <c r="B9" s="49" t="n">
        <v>45659</v>
      </c>
      <c r="C9" s="54" t="inlineStr">
        <is>
          <t xml:space="preserve">Thoracic</t>
        </is>
      </c>
      <c r="D9" s="54" t="inlineStr">
        <is>
          <t xml:space="preserve">1220 · Destructive Testing (eng/R&amp;D)</t>
        </is>
      </c>
      <c r="E9" s="55" t="n">
        <v>1</v>
      </c>
      <c r="F9" s="54" t="inlineStr">
        <is>
          <t xml:space="preserve">Planned</t>
        </is>
      </c>
    </row>
    <row r="10">
      <c r="A10" s="54" t="inlineStr">
        <is>
          <t xml:space="preserve">ATM</t>
        </is>
      </c>
      <c r="B10" s="49" t="n">
        <v>45663</v>
      </c>
      <c r="C10" s="54" t="inlineStr">
        <is>
          <t xml:space="preserve">Thoracic</t>
        </is>
      </c>
      <c r="D10" s="54" t="inlineStr">
        <is>
          <t xml:space="preserve">7 · Others</t>
        </is>
      </c>
      <c r="E10" s="55" t="n">
        <v>2</v>
      </c>
      <c r="F10" s="54" t="inlineStr">
        <is>
          <t xml:space="preserve">Quality</t>
        </is>
      </c>
    </row>
    <row r="11">
      <c r="A11" s="54" t="inlineStr">
        <is>
          <t xml:space="preserve">ATM</t>
        </is>
      </c>
      <c r="B11" s="49" t="n">
        <v>45664</v>
      </c>
      <c r="C11" s="54" t="inlineStr">
        <is>
          <t xml:space="preserve">Thoracic</t>
        </is>
      </c>
      <c r="D11" s="54" t="inlineStr">
        <is>
          <t xml:space="preserve">1220 · Destructive Testing (eng/R&amp;D)</t>
        </is>
      </c>
      <c r="E11" s="55" t="n">
        <v>1</v>
      </c>
      <c r="F11" s="54" t="inlineStr">
        <is>
          <t xml:space="preserve">Planned</t>
        </is>
      </c>
    </row>
    <row r="12">
      <c r="A12" s="54" t="inlineStr">
        <is>
          <t xml:space="preserve">ATM</t>
        </is>
      </c>
      <c r="B12" s="49" t="n">
        <v>45665</v>
      </c>
      <c r="C12" s="54" t="inlineStr">
        <is>
          <t xml:space="preserve">Thoracic</t>
        </is>
      </c>
      <c r="D12" s="54" t="inlineStr">
        <is>
          <t xml:space="preserve">1220 · Destructive Testing (eng/R&amp;D)</t>
        </is>
      </c>
      <c r="E12" s="55" t="n">
        <v>1</v>
      </c>
      <c r="F12" s="54" t="inlineStr">
        <is>
          <t xml:space="preserve">Planned</t>
        </is>
      </c>
    </row>
    <row r="13">
      <c r="A13" s="54" t="inlineStr">
        <is>
          <t xml:space="preserve">ATM</t>
        </is>
      </c>
      <c r="B13" s="49" t="n">
        <v>45666</v>
      </c>
      <c r="C13" s="54" t="inlineStr">
        <is>
          <t xml:space="preserve">Thoracic</t>
        </is>
      </c>
      <c r="D13" s="54" t="inlineStr">
        <is>
          <t xml:space="preserve">1220 · Destructive Testing (eng/R&amp;D)</t>
        </is>
      </c>
      <c r="E13" s="55" t="n">
        <v>1</v>
      </c>
      <c r="F13" s="54" t="inlineStr">
        <is>
          <t xml:space="preserve">Planned</t>
        </is>
      </c>
    </row>
    <row r="14">
      <c r="A14" s="54" t="inlineStr">
        <is>
          <t xml:space="preserve">ATM</t>
        </is>
      </c>
      <c r="B14" s="49" t="n">
        <v>45670</v>
      </c>
      <c r="C14" s="54" t="inlineStr">
        <is>
          <t xml:space="preserve">Thoracic</t>
        </is>
      </c>
      <c r="D14" s="54" t="inlineStr">
        <is>
          <t xml:space="preserve">1220 · Destructive Testing (eng/R&amp;D)</t>
        </is>
      </c>
      <c r="E14" s="55" t="n">
        <v>1</v>
      </c>
      <c r="F14" s="54" t="inlineStr">
        <is>
          <t xml:space="preserve">Planned</t>
        </is>
      </c>
    </row>
    <row r="15">
      <c r="A15" s="54" t="inlineStr">
        <is>
          <t xml:space="preserve">ATM</t>
        </is>
      </c>
      <c r="B15" s="49" t="n">
        <v>45672</v>
      </c>
      <c r="C15" s="54" t="inlineStr">
        <is>
          <t xml:space="preserve">Thoracic</t>
        </is>
      </c>
      <c r="D15" s="54" t="inlineStr">
        <is>
          <t xml:space="preserve">1220 · Destructive Testing (eng/R&amp;D)</t>
        </is>
      </c>
      <c r="E15" s="55" t="n">
        <v>1</v>
      </c>
      <c r="F15" s="54" t="inlineStr">
        <is>
          <t xml:space="preserve">Planned</t>
        </is>
      </c>
    </row>
    <row r="16">
      <c r="A16" s="54" t="inlineStr">
        <is>
          <t xml:space="preserve">ATM</t>
        </is>
      </c>
      <c r="B16" s="49" t="n">
        <v>45686</v>
      </c>
      <c r="C16" s="54" t="inlineStr">
        <is>
          <t xml:space="preserve">Thoracic</t>
        </is>
      </c>
      <c r="D16" s="54" t="inlineStr">
        <is>
          <t xml:space="preserve">1220 · Destructive Testing (eng/R&amp;D)</t>
        </is>
      </c>
      <c r="E16" s="55" t="n">
        <v>1</v>
      </c>
      <c r="F16" s="54" t="inlineStr">
        <is>
          <t xml:space="preserve">Planned</t>
        </is>
      </c>
    </row>
    <row r="17">
      <c r="A17" s="54" t="inlineStr">
        <is>
          <t xml:space="preserve">ATM</t>
        </is>
      </c>
      <c r="B17" s="49" t="n">
        <v>45693</v>
      </c>
      <c r="C17" s="54" t="inlineStr">
        <is>
          <t xml:space="preserve">Thoracic</t>
        </is>
      </c>
      <c r="D17" s="54" t="inlineStr">
        <is>
          <t xml:space="preserve">1220 · Destructive Testing (eng/R&amp;D)</t>
        </is>
      </c>
      <c r="E17" s="55" t="n">
        <v>2</v>
      </c>
      <c r="F17" s="54" t="inlineStr">
        <is>
          <t xml:space="preserve">Planned</t>
        </is>
      </c>
    </row>
    <row r="18">
      <c r="A18" s="54" t="inlineStr">
        <is>
          <t xml:space="preserve">ATM</t>
        </is>
      </c>
      <c r="B18" s="49" t="n">
        <v>45713</v>
      </c>
      <c r="C18" s="54" t="inlineStr">
        <is>
          <t xml:space="preserve">Thoracic</t>
        </is>
      </c>
      <c r="D18" s="54" t="inlineStr">
        <is>
          <t xml:space="preserve">1220 · Destructive Testing (eng/R&amp;D)</t>
        </is>
      </c>
      <c r="E18" s="55" t="n">
        <v>2</v>
      </c>
      <c r="F18" s="54" t="inlineStr">
        <is>
          <t xml:space="preserve">Planned</t>
        </is>
      </c>
    </row>
    <row r="19">
      <c r="A19" s="54" t="inlineStr">
        <is>
          <t xml:space="preserve">ATM</t>
        </is>
      </c>
      <c r="B19" s="49" t="n">
        <v>45714</v>
      </c>
      <c r="C19" s="54" t="inlineStr">
        <is>
          <t xml:space="preserve">Thoracic</t>
        </is>
      </c>
      <c r="D19" s="54" t="inlineStr">
        <is>
          <t xml:space="preserve">9972 · Laceration/Cut</t>
        </is>
      </c>
      <c r="E19" s="55" t="n">
        <v>7</v>
      </c>
      <c r="F19" s="54" t="inlineStr">
        <is>
          <t xml:space="preserve">Quality</t>
        </is>
      </c>
    </row>
    <row r="20">
      <c r="A20" s="54" t="inlineStr">
        <is>
          <t xml:space="preserve">ATM</t>
        </is>
      </c>
      <c r="B20" s="49" t="n">
        <v>45715</v>
      </c>
      <c r="C20" s="54" t="inlineStr">
        <is>
          <t xml:space="preserve">Thoracic</t>
        </is>
      </c>
      <c r="D20" s="54" t="inlineStr">
        <is>
          <t xml:space="preserve">9972 · Laceration/Cut</t>
        </is>
      </c>
      <c r="E20" s="55" t="n">
        <v>1</v>
      </c>
      <c r="F20" s="54" t="inlineStr">
        <is>
          <t xml:space="preserve">Quality</t>
        </is>
      </c>
    </row>
    <row r="21">
      <c r="A21" s="54" t="inlineStr">
        <is>
          <t xml:space="preserve">ATM</t>
        </is>
      </c>
      <c r="B21" s="49" t="n">
        <v>45716</v>
      </c>
      <c r="C21" s="54" t="inlineStr">
        <is>
          <t xml:space="preserve">Thoracic</t>
        </is>
      </c>
      <c r="D21" s="54" t="inlineStr">
        <is>
          <t xml:space="preserve">1220 · Destructive Testing (eng/R&amp;D)</t>
        </is>
      </c>
      <c r="E21" s="55" t="n">
        <v>4</v>
      </c>
      <c r="F21" s="54" t="inlineStr">
        <is>
          <t xml:space="preserve">Planned</t>
        </is>
      </c>
    </row>
    <row r="22">
      <c r="A22" s="54" t="inlineStr">
        <is>
          <t xml:space="preserve">ATM</t>
        </is>
      </c>
      <c r="B22" s="49" t="n">
        <v>45719</v>
      </c>
      <c r="C22" s="54" t="inlineStr">
        <is>
          <t xml:space="preserve">Thoracic</t>
        </is>
      </c>
      <c r="D22" s="54" t="inlineStr">
        <is>
          <t xml:space="preserve">1201 · Tech Performance</t>
        </is>
      </c>
      <c r="E22" s="55" t="n">
        <v>1</v>
      </c>
      <c r="F22" s="54" t="inlineStr">
        <is>
          <t xml:space="preserve">Quality</t>
        </is>
      </c>
    </row>
    <row r="23">
      <c r="A23" s="54" t="inlineStr">
        <is>
          <t xml:space="preserve">ATM</t>
        </is>
      </c>
      <c r="B23" s="49" t="n">
        <v>45719</v>
      </c>
      <c r="C23" s="54" t="inlineStr">
        <is>
          <t xml:space="preserve">Thoracic</t>
        </is>
      </c>
      <c r="D23" s="54" t="inlineStr">
        <is>
          <t xml:space="preserve">9972 · Laceration/Cut</t>
        </is>
      </c>
      <c r="E23" s="55" t="n">
        <v>2</v>
      </c>
      <c r="F23" s="54" t="inlineStr">
        <is>
          <t xml:space="preserve">Quality</t>
        </is>
      </c>
    </row>
    <row r="24">
      <c r="A24" s="54" t="inlineStr">
        <is>
          <t xml:space="preserve">ATM</t>
        </is>
      </c>
      <c r="B24" s="49" t="n">
        <v>45720</v>
      </c>
      <c r="C24" s="54" t="inlineStr">
        <is>
          <t xml:space="preserve">Thoracic</t>
        </is>
      </c>
      <c r="D24" s="54" t="inlineStr">
        <is>
          <t xml:space="preserve">1201 · Tech Performance</t>
        </is>
      </c>
      <c r="E24" s="55" t="n">
        <v>1</v>
      </c>
      <c r="F24" s="54" t="inlineStr">
        <is>
          <t xml:space="preserve">Quality</t>
        </is>
      </c>
    </row>
    <row r="25">
      <c r="A25" s="54" t="inlineStr">
        <is>
          <t xml:space="preserve">ATM</t>
        </is>
      </c>
      <c r="B25" s="49" t="n">
        <v>45720</v>
      </c>
      <c r="C25" s="54" t="inlineStr">
        <is>
          <t xml:space="preserve">Thoracic</t>
        </is>
      </c>
      <c r="D25" s="54" t="inlineStr">
        <is>
          <t xml:space="preserve">1220 · Destructive Testing (eng/R&amp;D)</t>
        </is>
      </c>
      <c r="E25" s="55" t="n">
        <v>2</v>
      </c>
      <c r="F25" s="54" t="inlineStr">
        <is>
          <t xml:space="preserve">Planned</t>
        </is>
      </c>
    </row>
    <row r="26">
      <c r="A26" s="54" t="inlineStr">
        <is>
          <t xml:space="preserve">ATM</t>
        </is>
      </c>
      <c r="B26" s="49" t="n">
        <v>45720</v>
      </c>
      <c r="C26" s="54" t="inlineStr">
        <is>
          <t xml:space="preserve">Thoracic</t>
        </is>
      </c>
      <c r="D26" s="54" t="inlineStr">
        <is>
          <t xml:space="preserve">9972 · Laceration/Cut</t>
        </is>
      </c>
      <c r="E26" s="55" t="n">
        <v>4</v>
      </c>
      <c r="F26" s="54" t="inlineStr">
        <is>
          <t xml:space="preserve">Quality</t>
        </is>
      </c>
    </row>
    <row r="27">
      <c r="A27" s="54" t="inlineStr">
        <is>
          <t xml:space="preserve">ATM</t>
        </is>
      </c>
      <c r="B27" s="49" t="n">
        <v>45721</v>
      </c>
      <c r="C27" s="54" t="inlineStr">
        <is>
          <t xml:space="preserve">Thoracic</t>
        </is>
      </c>
      <c r="D27" s="54" t="inlineStr">
        <is>
          <t xml:space="preserve">1220 · Destructive Testing (eng/R&amp;D)</t>
        </is>
      </c>
      <c r="E27" s="55" t="n">
        <v>1</v>
      </c>
      <c r="F27" s="54" t="inlineStr">
        <is>
          <t xml:space="preserve">Planned</t>
        </is>
      </c>
    </row>
    <row r="28">
      <c r="A28" s="54" t="inlineStr">
        <is>
          <t xml:space="preserve">ATM</t>
        </is>
      </c>
      <c r="B28" s="49" t="n">
        <v>45721</v>
      </c>
      <c r="C28" s="54" t="inlineStr">
        <is>
          <t xml:space="preserve">Thoracic</t>
        </is>
      </c>
      <c r="D28" s="54" t="inlineStr">
        <is>
          <t xml:space="preserve">9972 · Laceration/Cut</t>
        </is>
      </c>
      <c r="E28" s="55" t="n">
        <v>2</v>
      </c>
      <c r="F28" s="54" t="inlineStr">
        <is>
          <t xml:space="preserve">Quality</t>
        </is>
      </c>
    </row>
    <row r="29">
      <c r="A29" s="54" t="inlineStr">
        <is>
          <t xml:space="preserve">ATM</t>
        </is>
      </c>
      <c r="B29" s="49" t="n">
        <v>45726</v>
      </c>
      <c r="C29" s="54" t="inlineStr">
        <is>
          <t xml:space="preserve">Thoracic</t>
        </is>
      </c>
      <c r="D29" s="54" t="inlineStr">
        <is>
          <t xml:space="preserve">1220 · Destructive Testing (eng/R&amp;D)</t>
        </is>
      </c>
      <c r="E29" s="55" t="n">
        <v>1</v>
      </c>
      <c r="F29" s="54" t="inlineStr">
        <is>
          <t xml:space="preserve">Planned</t>
        </is>
      </c>
    </row>
    <row r="30">
      <c r="A30" s="54" t="inlineStr">
        <is>
          <t xml:space="preserve">ATM</t>
        </is>
      </c>
      <c r="B30" s="49" t="n">
        <v>45733</v>
      </c>
      <c r="C30" s="54" t="inlineStr">
        <is>
          <t xml:space="preserve">Thoracic</t>
        </is>
      </c>
      <c r="D30" s="54" t="inlineStr">
        <is>
          <t xml:space="preserve">1201 · Tech Performance</t>
        </is>
      </c>
      <c r="E30" s="55" t="n">
        <v>2</v>
      </c>
      <c r="F30" s="54" t="inlineStr">
        <is>
          <t xml:space="preserve">Quality</t>
        </is>
      </c>
    </row>
    <row r="31">
      <c r="A31" s="54" t="inlineStr">
        <is>
          <t xml:space="preserve">ATM</t>
        </is>
      </c>
      <c r="B31" s="49" t="n">
        <v>45733</v>
      </c>
      <c r="C31" s="54" t="inlineStr">
        <is>
          <t xml:space="preserve">Thoracic</t>
        </is>
      </c>
      <c r="D31" s="54" t="inlineStr">
        <is>
          <t xml:space="preserve">9972 · Laceration/Cut</t>
        </is>
      </c>
      <c r="E31" s="55" t="n">
        <v>1</v>
      </c>
      <c r="F31" s="54" t="inlineStr">
        <is>
          <t xml:space="preserve">Quality</t>
        </is>
      </c>
    </row>
    <row r="32">
      <c r="A32" s="54" t="inlineStr">
        <is>
          <t xml:space="preserve">ATM</t>
        </is>
      </c>
      <c r="B32" s="49" t="n">
        <v>45735</v>
      </c>
      <c r="C32" s="54" t="inlineStr">
        <is>
          <t xml:space="preserve">Thoracic</t>
        </is>
      </c>
      <c r="D32" s="54" t="inlineStr">
        <is>
          <t xml:space="preserve">1201 · Tech Performance</t>
        </is>
      </c>
      <c r="E32" s="55" t="n">
        <v>1</v>
      </c>
      <c r="F32" s="54" t="inlineStr">
        <is>
          <t xml:space="preserve">Quality</t>
        </is>
      </c>
    </row>
    <row r="33">
      <c r="A33" s="54" t="inlineStr">
        <is>
          <t xml:space="preserve">ATM</t>
        </is>
      </c>
      <c r="B33" s="49" t="n">
        <v>45735</v>
      </c>
      <c r="C33" s="54" t="inlineStr">
        <is>
          <t xml:space="preserve">Thoracic</t>
        </is>
      </c>
      <c r="D33" s="54" t="inlineStr">
        <is>
          <t xml:space="preserve">9972 · Laceration/Cut</t>
        </is>
      </c>
      <c r="E33" s="55" t="n">
        <v>2</v>
      </c>
      <c r="F33" s="54" t="inlineStr">
        <is>
          <t xml:space="preserve">Quality</t>
        </is>
      </c>
    </row>
    <row r="34">
      <c r="A34" s="54" t="inlineStr">
        <is>
          <t xml:space="preserve">ATM</t>
        </is>
      </c>
      <c r="B34" s="49" t="n">
        <v>45740</v>
      </c>
      <c r="C34" s="54" t="inlineStr">
        <is>
          <t xml:space="preserve">Thoracic</t>
        </is>
      </c>
      <c r="D34" s="54" t="inlineStr">
        <is>
          <t xml:space="preserve">9972 · Laceration/Cut</t>
        </is>
      </c>
      <c r="E34" s="55" t="n">
        <v>2</v>
      </c>
      <c r="F34" s="54" t="inlineStr">
        <is>
          <t xml:space="preserve">Quality</t>
        </is>
      </c>
    </row>
    <row r="35">
      <c r="A35" s="54" t="inlineStr">
        <is>
          <t xml:space="preserve">ATM</t>
        </is>
      </c>
      <c r="B35" s="49" t="n">
        <v>45741</v>
      </c>
      <c r="C35" s="54" t="inlineStr">
        <is>
          <t xml:space="preserve">Thoracic</t>
        </is>
      </c>
      <c r="D35" s="54" t="inlineStr">
        <is>
          <t xml:space="preserve">1201 · Tech Performance</t>
        </is>
      </c>
      <c r="E35" s="55" t="n">
        <v>1</v>
      </c>
      <c r="F35" s="54" t="inlineStr">
        <is>
          <t xml:space="preserve">Quality</t>
        </is>
      </c>
    </row>
    <row r="36">
      <c r="A36" s="54" t="inlineStr">
        <is>
          <t xml:space="preserve">ATM</t>
        </is>
      </c>
      <c r="B36" s="49" t="n">
        <v>45741</v>
      </c>
      <c r="C36" s="54" t="inlineStr">
        <is>
          <t xml:space="preserve">Thoracic</t>
        </is>
      </c>
      <c r="D36" s="54" t="inlineStr">
        <is>
          <t xml:space="preserve">9972 · Laceration/Cut</t>
        </is>
      </c>
      <c r="E36" s="55" t="n">
        <v>1</v>
      </c>
      <c r="F36" s="54" t="inlineStr">
        <is>
          <t xml:space="preserve">Quality</t>
        </is>
      </c>
    </row>
    <row r="37">
      <c r="A37" s="54" t="inlineStr">
        <is>
          <t xml:space="preserve">ATM</t>
        </is>
      </c>
      <c r="B37" s="49" t="n">
        <v>45748</v>
      </c>
      <c r="C37" s="54" t="inlineStr">
        <is>
          <t xml:space="preserve">Thoracic</t>
        </is>
      </c>
      <c r="D37" s="54" t="inlineStr">
        <is>
          <t xml:space="preserve">9972 · Laceration/Cut</t>
        </is>
      </c>
      <c r="E37" s="55" t="n">
        <v>1</v>
      </c>
      <c r="F37" s="54" t="inlineStr">
        <is>
          <t xml:space="preserve">Quality</t>
        </is>
      </c>
    </row>
    <row r="38">
      <c r="A38" s="54" t="inlineStr">
        <is>
          <t xml:space="preserve">ATM</t>
        </is>
      </c>
      <c r="B38" s="49" t="n">
        <v>45761</v>
      </c>
      <c r="C38" s="54" t="inlineStr">
        <is>
          <t xml:space="preserve">Thoracic</t>
        </is>
      </c>
      <c r="D38" s="54" t="inlineStr">
        <is>
          <t xml:space="preserve">9972 · Laceration/Cut</t>
        </is>
      </c>
      <c r="E38" s="55" t="n">
        <v>2</v>
      </c>
      <c r="F38" s="54" t="inlineStr">
        <is>
          <t xml:space="preserve">Quality</t>
        </is>
      </c>
    </row>
    <row r="39">
      <c r="A39" s="54" t="inlineStr">
        <is>
          <t xml:space="preserve">ATM</t>
        </is>
      </c>
      <c r="B39" s="49" t="n">
        <v>45762</v>
      </c>
      <c r="C39" s="54" t="inlineStr">
        <is>
          <t xml:space="preserve">Thoracic</t>
        </is>
      </c>
      <c r="D39" s="54" t="inlineStr">
        <is>
          <t xml:space="preserve">1201 · Tech Performance</t>
        </is>
      </c>
      <c r="E39" s="55" t="n">
        <v>1</v>
      </c>
      <c r="F39" s="54" t="inlineStr">
        <is>
          <t xml:space="preserve">Quality</t>
        </is>
      </c>
    </row>
    <row r="40">
      <c r="A40" s="54" t="inlineStr">
        <is>
          <t xml:space="preserve">ATM</t>
        </is>
      </c>
      <c r="B40" s="49" t="n">
        <v>45762</v>
      </c>
      <c r="C40" s="54" t="inlineStr">
        <is>
          <t xml:space="preserve">Thoracic</t>
        </is>
      </c>
      <c r="D40" s="54" t="inlineStr">
        <is>
          <t xml:space="preserve">9972 · Laceration/Cut</t>
        </is>
      </c>
      <c r="E40" s="55" t="n">
        <v>4</v>
      </c>
      <c r="F40" s="54" t="inlineStr">
        <is>
          <t xml:space="preserve">Quality</t>
        </is>
      </c>
    </row>
    <row r="41">
      <c r="A41" s="54" t="inlineStr">
        <is>
          <t xml:space="preserve">ATM</t>
        </is>
      </c>
      <c r="B41" s="49" t="n">
        <v>45770</v>
      </c>
      <c r="C41" s="54" t="inlineStr">
        <is>
          <t xml:space="preserve">Thoracic</t>
        </is>
      </c>
      <c r="D41" s="54" t="inlineStr">
        <is>
          <t xml:space="preserve">1201 · Tech Performance</t>
        </is>
      </c>
      <c r="E41" s="55" t="n">
        <v>1</v>
      </c>
      <c r="F41" s="54" t="inlineStr">
        <is>
          <t xml:space="preserve">Quality</t>
        </is>
      </c>
    </row>
    <row r="42">
      <c r="A42" s="54" t="inlineStr">
        <is>
          <t xml:space="preserve">ATM</t>
        </is>
      </c>
      <c r="B42" s="49" t="n">
        <v>45775</v>
      </c>
      <c r="C42" s="54" t="inlineStr">
        <is>
          <t xml:space="preserve">Thoracic</t>
        </is>
      </c>
      <c r="D42" s="54" t="inlineStr">
        <is>
          <t xml:space="preserve">9972 · Laceration/Cut</t>
        </is>
      </c>
      <c r="E42" s="55" t="n">
        <v>2</v>
      </c>
      <c r="F42" s="54" t="inlineStr">
        <is>
          <t xml:space="preserve">Quality</t>
        </is>
      </c>
    </row>
    <row r="43">
      <c r="A43" s="54" t="inlineStr">
        <is>
          <t xml:space="preserve">ATM</t>
        </is>
      </c>
      <c r="B43" s="49" t="n">
        <v>45779</v>
      </c>
      <c r="C43" s="54" t="inlineStr">
        <is>
          <t xml:space="preserve">Thoracic</t>
        </is>
      </c>
      <c r="D43" s="54" t="inlineStr">
        <is>
          <t xml:space="preserve">9973 · Out of Spec</t>
        </is>
      </c>
      <c r="E43" s="55" t="n">
        <v>3</v>
      </c>
      <c r="F43" s="54" t="inlineStr">
        <is>
          <t xml:space="preserve">Quality</t>
        </is>
      </c>
    </row>
    <row r="44">
      <c r="A44" s="54" t="inlineStr">
        <is>
          <t xml:space="preserve">ATM</t>
        </is>
      </c>
      <c r="B44" s="49" t="n">
        <v>45782</v>
      </c>
      <c r="C44" s="54" t="inlineStr">
        <is>
          <t xml:space="preserve">Thoracic</t>
        </is>
      </c>
      <c r="D44" s="54" t="inlineStr">
        <is>
          <t xml:space="preserve">1201 · Tech Performance</t>
        </is>
      </c>
      <c r="E44" s="55" t="n">
        <v>2</v>
      </c>
      <c r="F44" s="54" t="inlineStr">
        <is>
          <t xml:space="preserve">Quality</t>
        </is>
      </c>
    </row>
    <row r="45">
      <c r="A45" s="54" t="inlineStr">
        <is>
          <t xml:space="preserve">ATM</t>
        </is>
      </c>
      <c r="B45" s="49" t="n">
        <v>45782</v>
      </c>
      <c r="C45" s="54" t="inlineStr">
        <is>
          <t xml:space="preserve">Thoracic</t>
        </is>
      </c>
      <c r="D45" s="54" t="inlineStr">
        <is>
          <t xml:space="preserve">9972 · Laceration/Cut</t>
        </is>
      </c>
      <c r="E45" s="55" t="n">
        <v>3</v>
      </c>
      <c r="F45" s="54" t="inlineStr">
        <is>
          <t xml:space="preserve">Quality</t>
        </is>
      </c>
    </row>
    <row r="46">
      <c r="A46" s="54" t="inlineStr">
        <is>
          <t xml:space="preserve">ATM</t>
        </is>
      </c>
      <c r="B46" s="49" t="n">
        <v>45783</v>
      </c>
      <c r="C46" s="54" t="inlineStr">
        <is>
          <t xml:space="preserve">Thoracic</t>
        </is>
      </c>
      <c r="D46" s="54" t="inlineStr">
        <is>
          <t xml:space="preserve">1201 · Tech Performance</t>
        </is>
      </c>
      <c r="E46" s="55" t="n">
        <v>2</v>
      </c>
      <c r="F46" s="54" t="inlineStr">
        <is>
          <t xml:space="preserve">Quality</t>
        </is>
      </c>
    </row>
    <row r="47">
      <c r="A47" s="54" t="inlineStr">
        <is>
          <t xml:space="preserve">ATM</t>
        </is>
      </c>
      <c r="B47" s="49" t="n">
        <v>45783</v>
      </c>
      <c r="C47" s="54" t="inlineStr">
        <is>
          <t xml:space="preserve">Thoracic</t>
        </is>
      </c>
      <c r="D47" s="54" t="inlineStr">
        <is>
          <t xml:space="preserve">9972 · Laceration/Cut</t>
        </is>
      </c>
      <c r="E47" s="55" t="n">
        <v>2</v>
      </c>
      <c r="F47" s="54" t="inlineStr">
        <is>
          <t xml:space="preserve">Quality</t>
        </is>
      </c>
    </row>
    <row r="48">
      <c r="A48" s="54" t="inlineStr">
        <is>
          <t xml:space="preserve">ATM</t>
        </is>
      </c>
      <c r="B48" s="49" t="n">
        <v>45796</v>
      </c>
      <c r="C48" s="54" t="inlineStr">
        <is>
          <t xml:space="preserve">Thoracic</t>
        </is>
      </c>
      <c r="D48" s="54" t="inlineStr">
        <is>
          <t xml:space="preserve">9972 · Laceration/Cut</t>
        </is>
      </c>
      <c r="E48" s="55" t="n">
        <v>3</v>
      </c>
      <c r="F48" s="54" t="inlineStr">
        <is>
          <t xml:space="preserve">Quality</t>
        </is>
      </c>
    </row>
    <row r="49">
      <c r="A49" s="54" t="inlineStr">
        <is>
          <t xml:space="preserve">ATM</t>
        </is>
      </c>
      <c r="B49" s="49" t="n">
        <v>45798</v>
      </c>
      <c r="C49" s="54" t="inlineStr">
        <is>
          <t xml:space="preserve">Thoracic</t>
        </is>
      </c>
      <c r="D49" s="54" t="inlineStr">
        <is>
          <t xml:space="preserve">9972 · Laceration/Cut</t>
        </is>
      </c>
      <c r="E49" s="55" t="n">
        <v>3</v>
      </c>
      <c r="F49" s="54" t="inlineStr">
        <is>
          <t xml:space="preserve">Quality</t>
        </is>
      </c>
    </row>
    <row r="50">
      <c r="A50" s="54" t="inlineStr">
        <is>
          <t xml:space="preserve">ATM</t>
        </is>
      </c>
      <c r="B50" s="49" t="n">
        <v>45804</v>
      </c>
      <c r="C50" s="54" t="inlineStr">
        <is>
          <t xml:space="preserve">Thoracic</t>
        </is>
      </c>
      <c r="D50" s="54" t="inlineStr">
        <is>
          <t xml:space="preserve">9972 · Laceration/Cut</t>
        </is>
      </c>
      <c r="E50" s="55" t="n">
        <v>2</v>
      </c>
      <c r="F50" s="54" t="inlineStr">
        <is>
          <t xml:space="preserve">Quality</t>
        </is>
      </c>
    </row>
    <row r="51">
      <c r="A51" s="54" t="inlineStr">
        <is>
          <t xml:space="preserve">ATM</t>
        </is>
      </c>
      <c r="B51" s="49" t="n">
        <v>45805</v>
      </c>
      <c r="C51" s="54" t="inlineStr">
        <is>
          <t xml:space="preserve">Thoracic</t>
        </is>
      </c>
      <c r="D51" s="54" t="inlineStr">
        <is>
          <t xml:space="preserve">9972 · Laceration/Cut</t>
        </is>
      </c>
      <c r="E51" s="55" t="n">
        <v>7</v>
      </c>
      <c r="F51" s="54" t="inlineStr">
        <is>
          <t xml:space="preserve">Quality</t>
        </is>
      </c>
    </row>
    <row r="52">
      <c r="A52" s="54" t="inlineStr">
        <is>
          <t xml:space="preserve">ATM</t>
        </is>
      </c>
      <c r="B52" s="49" t="n">
        <v>45806</v>
      </c>
      <c r="C52" s="54" t="inlineStr">
        <is>
          <t xml:space="preserve">Thoracic</t>
        </is>
      </c>
      <c r="D52" s="54" t="inlineStr">
        <is>
          <t xml:space="preserve">9972 · Laceration/Cut</t>
        </is>
      </c>
      <c r="E52" s="55" t="n">
        <v>1</v>
      </c>
      <c r="F52" s="54" t="inlineStr">
        <is>
          <t xml:space="preserve">Quality</t>
        </is>
      </c>
    </row>
    <row r="53">
      <c r="A53" s="54" t="inlineStr">
        <is>
          <t xml:space="preserve">ATM</t>
        </is>
      </c>
      <c r="B53" s="49" t="n">
        <v>45807</v>
      </c>
      <c r="C53" s="54" t="inlineStr">
        <is>
          <t xml:space="preserve">Thoracic</t>
        </is>
      </c>
      <c r="D53" s="54" t="inlineStr">
        <is>
          <t xml:space="preserve">9972 · Laceration/Cut</t>
        </is>
      </c>
      <c r="E53" s="55" t="n">
        <v>1</v>
      </c>
      <c r="F53" s="54" t="inlineStr">
        <is>
          <t xml:space="preserve">Quality</t>
        </is>
      </c>
    </row>
    <row r="54">
      <c r="A54" s="54" t="inlineStr">
        <is>
          <t xml:space="preserve">ATM</t>
        </is>
      </c>
      <c r="B54" s="49" t="n">
        <v>45810</v>
      </c>
      <c r="C54" s="54" t="inlineStr">
        <is>
          <t xml:space="preserve">Thoracic</t>
        </is>
      </c>
      <c r="D54" s="54" t="inlineStr">
        <is>
          <t xml:space="preserve">9972 · Laceration/Cut</t>
        </is>
      </c>
      <c r="E54" s="55" t="n">
        <v>6</v>
      </c>
      <c r="F54" s="54" t="inlineStr">
        <is>
          <t xml:space="preserve">Quality</t>
        </is>
      </c>
    </row>
    <row r="55">
      <c r="A55" s="54" t="inlineStr">
        <is>
          <t xml:space="preserve">ATM</t>
        </is>
      </c>
      <c r="B55" s="49" t="n">
        <v>45810</v>
      </c>
      <c r="C55" s="54" t="inlineStr">
        <is>
          <t xml:space="preserve">Thoracic</t>
        </is>
      </c>
      <c r="D55" s="54" t="inlineStr">
        <is>
          <t xml:space="preserve">9985 · Tech Damaged</t>
        </is>
      </c>
      <c r="E55" s="55" t="n">
        <v>3</v>
      </c>
      <c r="F55" s="54" t="inlineStr">
        <is>
          <t xml:space="preserve">Quality</t>
        </is>
      </c>
    </row>
    <row r="56">
      <c r="A56" s="54" t="inlineStr">
        <is>
          <t xml:space="preserve">ATM</t>
        </is>
      </c>
      <c r="B56" s="49" t="n">
        <v>45811</v>
      </c>
      <c r="C56" s="54" t="inlineStr">
        <is>
          <t xml:space="preserve">Thoracic</t>
        </is>
      </c>
      <c r="D56" s="54" t="inlineStr">
        <is>
          <t xml:space="preserve">9972 · Laceration/Cut</t>
        </is>
      </c>
      <c r="E56" s="55" t="n">
        <v>3</v>
      </c>
      <c r="F56" s="54" t="inlineStr">
        <is>
          <t xml:space="preserve">Quality</t>
        </is>
      </c>
    </row>
    <row r="57">
      <c r="A57" s="54" t="inlineStr">
        <is>
          <t xml:space="preserve">ATM</t>
        </is>
      </c>
      <c r="B57" s="49" t="n">
        <v>45811</v>
      </c>
      <c r="C57" s="54" t="inlineStr">
        <is>
          <t xml:space="preserve">Thoracic</t>
        </is>
      </c>
      <c r="D57" s="54" t="inlineStr">
        <is>
          <t xml:space="preserve">9985 · Tech Damaged</t>
        </is>
      </c>
      <c r="E57" s="55" t="n">
        <v>1</v>
      </c>
      <c r="F57" s="54" t="inlineStr">
        <is>
          <t xml:space="preserve">Quality</t>
        </is>
      </c>
    </row>
    <row r="58">
      <c r="A58" s="54" t="inlineStr">
        <is>
          <t xml:space="preserve">ATM</t>
        </is>
      </c>
      <c r="B58" s="49" t="n">
        <v>45812</v>
      </c>
      <c r="C58" s="54" t="inlineStr">
        <is>
          <t xml:space="preserve">Thoracic</t>
        </is>
      </c>
      <c r="D58" s="54" t="inlineStr">
        <is>
          <t xml:space="preserve">9972 · Laceration/Cut</t>
        </is>
      </c>
      <c r="E58" s="55" t="n">
        <v>2</v>
      </c>
      <c r="F58" s="54" t="inlineStr">
        <is>
          <t xml:space="preserve">Quality</t>
        </is>
      </c>
    </row>
    <row r="59">
      <c r="A59" s="54" t="inlineStr">
        <is>
          <t xml:space="preserve">ATM</t>
        </is>
      </c>
      <c r="B59" s="49" t="n">
        <v>45812</v>
      </c>
      <c r="C59" s="54" t="inlineStr">
        <is>
          <t xml:space="preserve">Thoracic</t>
        </is>
      </c>
      <c r="D59" s="54" t="inlineStr">
        <is>
          <t xml:space="preserve">9985 · Tech Damaged</t>
        </is>
      </c>
      <c r="E59" s="55" t="n">
        <v>1</v>
      </c>
      <c r="F59" s="54" t="inlineStr">
        <is>
          <t xml:space="preserve">Quality</t>
        </is>
      </c>
    </row>
    <row r="60">
      <c r="A60" s="54" t="inlineStr">
        <is>
          <t xml:space="preserve">ATM</t>
        </is>
      </c>
      <c r="B60" s="49" t="n">
        <v>45817</v>
      </c>
      <c r="C60" s="54" t="inlineStr">
        <is>
          <t xml:space="preserve">Thoracic</t>
        </is>
      </c>
      <c r="D60" s="54" t="inlineStr">
        <is>
          <t xml:space="preserve">9972 · Laceration/Cut</t>
        </is>
      </c>
      <c r="E60" s="55" t="n">
        <v>7</v>
      </c>
      <c r="F60" s="54" t="inlineStr">
        <is>
          <t xml:space="preserve">Quality</t>
        </is>
      </c>
    </row>
    <row r="61">
      <c r="A61" s="54" t="inlineStr">
        <is>
          <t xml:space="preserve">ATM</t>
        </is>
      </c>
      <c r="B61" s="49" t="n">
        <v>45818</v>
      </c>
      <c r="C61" s="54" t="inlineStr">
        <is>
          <t xml:space="preserve">Thoracic</t>
        </is>
      </c>
      <c r="D61" s="54" t="inlineStr">
        <is>
          <t xml:space="preserve">9972 · Laceration/Cut</t>
        </is>
      </c>
      <c r="E61" s="55" t="n">
        <v>1</v>
      </c>
      <c r="F61" s="54" t="inlineStr">
        <is>
          <t xml:space="preserve">Quality</t>
        </is>
      </c>
    </row>
    <row r="62">
      <c r="A62" s="54" t="inlineStr">
        <is>
          <t xml:space="preserve">ATM</t>
        </is>
      </c>
      <c r="B62" s="49" t="n">
        <v>45824</v>
      </c>
      <c r="C62" s="54" t="inlineStr">
        <is>
          <t xml:space="preserve">Thoracic</t>
        </is>
      </c>
      <c r="D62" s="54" t="inlineStr">
        <is>
          <t xml:space="preserve">1220 · Destructive Testing (eng/R&amp;D)</t>
        </is>
      </c>
      <c r="E62" s="55" t="n">
        <v>1</v>
      </c>
      <c r="F62" s="54" t="inlineStr">
        <is>
          <t xml:space="preserve">Planned</t>
        </is>
      </c>
    </row>
    <row r="63">
      <c r="A63" s="54" t="inlineStr">
        <is>
          <t xml:space="preserve">ATM</t>
        </is>
      </c>
      <c r="B63" s="49" t="n">
        <v>45825</v>
      </c>
      <c r="C63" s="54" t="inlineStr">
        <is>
          <t xml:space="preserve">Thoracic</t>
        </is>
      </c>
      <c r="D63" s="54" t="inlineStr">
        <is>
          <t xml:space="preserve">9972 · Laceration/Cut</t>
        </is>
      </c>
      <c r="E63" s="55" t="n">
        <v>1</v>
      </c>
      <c r="F63" s="54" t="inlineStr">
        <is>
          <t xml:space="preserve">Quality</t>
        </is>
      </c>
    </row>
    <row r="64">
      <c r="A64" s="54" t="inlineStr">
        <is>
          <t xml:space="preserve">ATM</t>
        </is>
      </c>
      <c r="B64" s="49" t="n">
        <v>45826</v>
      </c>
      <c r="C64" s="54" t="inlineStr">
        <is>
          <t xml:space="preserve">Thoracic</t>
        </is>
      </c>
      <c r="D64" s="54" t="inlineStr">
        <is>
          <t xml:space="preserve">9985 · Tech Damaged</t>
        </is>
      </c>
      <c r="E64" s="55" t="n">
        <v>1</v>
      </c>
      <c r="F64" s="54" t="inlineStr">
        <is>
          <t xml:space="preserve">Quality</t>
        </is>
      </c>
    </row>
    <row r="65">
      <c r="A65" s="54" t="inlineStr">
        <is>
          <t xml:space="preserve">ATM</t>
        </is>
      </c>
      <c r="B65" s="49" t="n">
        <v>45838</v>
      </c>
      <c r="C65" s="54" t="inlineStr">
        <is>
          <t xml:space="preserve">Thoracic</t>
        </is>
      </c>
      <c r="D65" s="54" t="inlineStr">
        <is>
          <t xml:space="preserve">9972 · Laceration/Cut</t>
        </is>
      </c>
      <c r="E65" s="55" t="n">
        <v>2</v>
      </c>
      <c r="F65" s="54" t="inlineStr">
        <is>
          <t xml:space="preserve">Quality</t>
        </is>
      </c>
    </row>
    <row r="66">
      <c r="A66" s="54" t="inlineStr">
        <is>
          <t xml:space="preserve">ATM</t>
        </is>
      </c>
      <c r="B66" s="49" t="n">
        <v>45838</v>
      </c>
      <c r="C66" s="54" t="inlineStr">
        <is>
          <t xml:space="preserve">Thoracic</t>
        </is>
      </c>
      <c r="D66" s="54" t="inlineStr">
        <is>
          <t xml:space="preserve">9985 · Tech Damaged</t>
        </is>
      </c>
      <c r="E66" s="55" t="n">
        <v>1</v>
      </c>
      <c r="F66" s="54" t="inlineStr">
        <is>
          <t xml:space="preserve">Quality</t>
        </is>
      </c>
    </row>
    <row r="67">
      <c r="A67" s="54" t="inlineStr">
        <is>
          <t xml:space="preserve">ATM</t>
        </is>
      </c>
      <c r="B67" s="49" t="n">
        <v>45845</v>
      </c>
      <c r="C67" s="54" t="inlineStr">
        <is>
          <t xml:space="preserve">Thoracic</t>
        </is>
      </c>
      <c r="D67" s="54" t="inlineStr">
        <is>
          <t xml:space="preserve">9972 · Laceration/Cut</t>
        </is>
      </c>
      <c r="E67" s="55" t="n">
        <v>2</v>
      </c>
      <c r="F67" s="54" t="inlineStr">
        <is>
          <t xml:space="preserve">Quality</t>
        </is>
      </c>
    </row>
    <row r="68">
      <c r="A68" s="54" t="inlineStr">
        <is>
          <t xml:space="preserve">ATM</t>
        </is>
      </c>
      <c r="B68" s="49" t="n">
        <v>45848</v>
      </c>
      <c r="C68" s="54" t="inlineStr">
        <is>
          <t xml:space="preserve">Thoracic</t>
        </is>
      </c>
      <c r="D68" s="54" t="inlineStr">
        <is>
          <t xml:space="preserve">9972 · Laceration/Cut</t>
        </is>
      </c>
      <c r="E68" s="55" t="n">
        <v>1</v>
      </c>
      <c r="F68" s="54" t="inlineStr">
        <is>
          <t xml:space="preserve">Quality</t>
        </is>
      </c>
    </row>
    <row r="69">
      <c r="A69" s="54" t="inlineStr">
        <is>
          <t xml:space="preserve">ATM</t>
        </is>
      </c>
      <c r="B69" s="49" t="n">
        <v>45849</v>
      </c>
      <c r="C69" s="54" t="inlineStr">
        <is>
          <t xml:space="preserve">Thoracic</t>
        </is>
      </c>
      <c r="D69" s="54" t="inlineStr">
        <is>
          <t xml:space="preserve">1220 · Destructive Testing (eng/R&amp;D)</t>
        </is>
      </c>
      <c r="E69" s="55" t="n">
        <v>5</v>
      </c>
      <c r="F69" s="54" t="inlineStr">
        <is>
          <t xml:space="preserve">Planned</t>
        </is>
      </c>
    </row>
    <row r="70">
      <c r="A70" s="54" t="inlineStr">
        <is>
          <t xml:space="preserve">ATM</t>
        </is>
      </c>
      <c r="B70" s="49" t="n">
        <v>45852</v>
      </c>
      <c r="C70" s="54" t="inlineStr">
        <is>
          <t xml:space="preserve">Thoracic</t>
        </is>
      </c>
      <c r="D70" s="54" t="inlineStr">
        <is>
          <t xml:space="preserve">9972 · Laceration/Cut</t>
        </is>
      </c>
      <c r="E70" s="55" t="n">
        <v>1</v>
      </c>
      <c r="F70" s="54" t="inlineStr">
        <is>
          <t xml:space="preserve">Quality</t>
        </is>
      </c>
    </row>
    <row r="71">
      <c r="A71" s="54" t="inlineStr">
        <is>
          <t xml:space="preserve">ATM</t>
        </is>
      </c>
      <c r="B71" s="49" t="n">
        <v>45852</v>
      </c>
      <c r="C71" s="54" t="inlineStr">
        <is>
          <t xml:space="preserve">Thoracic</t>
        </is>
      </c>
      <c r="D71" s="54" t="inlineStr">
        <is>
          <t xml:space="preserve">9985 · Tech Damaged</t>
        </is>
      </c>
      <c r="E71" s="55" t="n">
        <v>1</v>
      </c>
      <c r="F71" s="54" t="inlineStr">
        <is>
          <t xml:space="preserve">Quality</t>
        </is>
      </c>
    </row>
    <row r="72">
      <c r="A72" s="54" t="inlineStr">
        <is>
          <t xml:space="preserve">ATM</t>
        </is>
      </c>
      <c r="B72" s="49" t="n">
        <v>45856</v>
      </c>
      <c r="C72" s="54" t="inlineStr">
        <is>
          <t xml:space="preserve">Thoracic</t>
        </is>
      </c>
      <c r="D72" s="54" t="inlineStr">
        <is>
          <t xml:space="preserve">1220 · Destructive Testing (eng/R&amp;D)</t>
        </is>
      </c>
      <c r="E72" s="55" t="n">
        <v>2</v>
      </c>
      <c r="F72" s="54" t="inlineStr">
        <is>
          <t xml:space="preserve">Planned</t>
        </is>
      </c>
    </row>
    <row r="73">
      <c r="A73" s="54" t="inlineStr">
        <is>
          <t xml:space="preserve">ATM</t>
        </is>
      </c>
      <c r="B73" s="49" t="n">
        <v>45856</v>
      </c>
      <c r="C73" s="54" t="inlineStr">
        <is>
          <t xml:space="preserve">Thoracic</t>
        </is>
      </c>
      <c r="D73" s="54" t="inlineStr">
        <is>
          <t xml:space="preserve">9972 · Laceration/Cut</t>
        </is>
      </c>
      <c r="E73" s="55" t="n">
        <v>1</v>
      </c>
      <c r="F73" s="54" t="inlineStr">
        <is>
          <t xml:space="preserve">Quality</t>
        </is>
      </c>
    </row>
    <row r="74">
      <c r="A74" s="54" t="inlineStr">
        <is>
          <t xml:space="preserve">ATM</t>
        </is>
      </c>
      <c r="B74" s="49" t="n">
        <v>45856</v>
      </c>
      <c r="C74" s="54" t="inlineStr">
        <is>
          <t xml:space="preserve">Thoracic</t>
        </is>
      </c>
      <c r="D74" s="54" t="inlineStr">
        <is>
          <t xml:space="preserve">9985 · Tech Damaged</t>
        </is>
      </c>
      <c r="E74" s="55" t="n">
        <v>1</v>
      </c>
      <c r="F74" s="54" t="inlineStr">
        <is>
          <t xml:space="preserve">Quality</t>
        </is>
      </c>
    </row>
    <row r="75">
      <c r="A75" s="54" t="inlineStr">
        <is>
          <t xml:space="preserve">ATM</t>
        </is>
      </c>
      <c r="B75" s="49" t="n">
        <v>45859</v>
      </c>
      <c r="C75" s="54" t="inlineStr">
        <is>
          <t xml:space="preserve">Thoracic</t>
        </is>
      </c>
      <c r="D75" s="54" t="inlineStr">
        <is>
          <t xml:space="preserve">9972 · Laceration/Cut</t>
        </is>
      </c>
      <c r="E75" s="55" t="n">
        <v>3</v>
      </c>
      <c r="F75" s="54" t="inlineStr">
        <is>
          <t xml:space="preserve">Quality</t>
        </is>
      </c>
    </row>
    <row r="76">
      <c r="A76" s="54" t="inlineStr">
        <is>
          <t xml:space="preserve">ATM</t>
        </is>
      </c>
      <c r="B76" s="49" t="n">
        <v>45860</v>
      </c>
      <c r="C76" s="54" t="inlineStr">
        <is>
          <t xml:space="preserve">Thoracic</t>
        </is>
      </c>
      <c r="D76" s="54" t="inlineStr">
        <is>
          <t xml:space="preserve">9972 · Laceration/Cut</t>
        </is>
      </c>
      <c r="E76" s="55" t="n">
        <v>1</v>
      </c>
      <c r="F76" s="54" t="inlineStr">
        <is>
          <t xml:space="preserve">Quality</t>
        </is>
      </c>
    </row>
    <row r="77">
      <c r="A77" s="54" t="inlineStr">
        <is>
          <t xml:space="preserve">ATM</t>
        </is>
      </c>
      <c r="B77" s="49" t="n">
        <v>45866</v>
      </c>
      <c r="C77" s="54" t="inlineStr">
        <is>
          <t xml:space="preserve">Thoracic</t>
        </is>
      </c>
      <c r="D77" s="54" t="inlineStr">
        <is>
          <t xml:space="preserve">9972 · Laceration/Cut</t>
        </is>
      </c>
      <c r="E77" s="55" t="n">
        <v>3</v>
      </c>
      <c r="F77" s="54" t="inlineStr">
        <is>
          <t xml:space="preserve">Quality</t>
        </is>
      </c>
    </row>
    <row r="78">
      <c r="A78" s="54" t="inlineStr">
        <is>
          <t xml:space="preserve">ATM</t>
        </is>
      </c>
      <c r="B78" s="49" t="n">
        <v>45867</v>
      </c>
      <c r="C78" s="54" t="inlineStr">
        <is>
          <t xml:space="preserve">Thoracic</t>
        </is>
      </c>
      <c r="D78" s="54" t="inlineStr">
        <is>
          <t xml:space="preserve">1220 · Destructive Testing (eng/R&amp;D)</t>
        </is>
      </c>
      <c r="E78" s="55" t="n">
        <v>38</v>
      </c>
      <c r="F78" s="54" t="inlineStr">
        <is>
          <t xml:space="preserve">Planned</t>
        </is>
      </c>
    </row>
    <row r="79">
      <c r="A79" s="54" t="inlineStr">
        <is>
          <t xml:space="preserve">ATM</t>
        </is>
      </c>
      <c r="B79" s="49" t="n">
        <v>45869</v>
      </c>
      <c r="C79" s="54" t="inlineStr">
        <is>
          <t xml:space="preserve">Thoracic</t>
        </is>
      </c>
      <c r="D79" s="54" t="inlineStr">
        <is>
          <t xml:space="preserve">9973 · Out of Spec</t>
        </is>
      </c>
      <c r="E79" s="55" t="n">
        <v>5</v>
      </c>
      <c r="F79" s="54" t="inlineStr">
        <is>
          <t xml:space="preserve">Quality</t>
        </is>
      </c>
    </row>
    <row r="80">
      <c r="A80" s="54" t="inlineStr">
        <is>
          <t xml:space="preserve">ATM</t>
        </is>
      </c>
      <c r="B80" s="49" t="n">
        <v>45870</v>
      </c>
      <c r="C80" s="54" t="inlineStr">
        <is>
          <t xml:space="preserve">Thoracic</t>
        </is>
      </c>
      <c r="D80" s="54" t="inlineStr">
        <is>
          <t xml:space="preserve">1220 · Destructive Testing (eng/R&amp;D)</t>
        </is>
      </c>
      <c r="E80" s="55" t="n">
        <v>2</v>
      </c>
      <c r="F80" s="54" t="inlineStr">
        <is>
          <t xml:space="preserve">Planned</t>
        </is>
      </c>
    </row>
    <row r="81">
      <c r="A81" s="54" t="inlineStr">
        <is>
          <t xml:space="preserve">ATM</t>
        </is>
      </c>
      <c r="B81" s="49" t="n">
        <v>45873</v>
      </c>
      <c r="C81" s="54" t="inlineStr">
        <is>
          <t xml:space="preserve">Thoracic</t>
        </is>
      </c>
      <c r="D81" s="54" t="inlineStr">
        <is>
          <t xml:space="preserve">9972 · Laceration/Cut</t>
        </is>
      </c>
      <c r="E81" s="55" t="n">
        <v>3</v>
      </c>
      <c r="F81" s="54" t="inlineStr">
        <is>
          <t xml:space="preserve">Quality</t>
        </is>
      </c>
    </row>
    <row r="82">
      <c r="A82" s="54" t="inlineStr">
        <is>
          <t xml:space="preserve">ATM</t>
        </is>
      </c>
      <c r="B82" s="49" t="n">
        <v>45873</v>
      </c>
      <c r="C82" s="54" t="inlineStr">
        <is>
          <t xml:space="preserve">Thoracic</t>
        </is>
      </c>
      <c r="D82" s="54" t="inlineStr">
        <is>
          <t xml:space="preserve">9985 · Tech Damaged</t>
        </is>
      </c>
      <c r="E82" s="55" t="n">
        <v>1</v>
      </c>
      <c r="F82" s="54" t="inlineStr">
        <is>
          <t xml:space="preserve">Quality</t>
        </is>
      </c>
    </row>
    <row r="83">
      <c r="A83" s="54" t="inlineStr">
        <is>
          <t xml:space="preserve">ATM</t>
        </is>
      </c>
      <c r="B83" s="49" t="n">
        <v>45875</v>
      </c>
      <c r="C83" s="54" t="inlineStr">
        <is>
          <t xml:space="preserve">Thoracic</t>
        </is>
      </c>
      <c r="D83" s="54" t="inlineStr">
        <is>
          <t xml:space="preserve">9972 · Laceration/Cut</t>
        </is>
      </c>
      <c r="E83" s="55" t="n">
        <v>1</v>
      </c>
      <c r="F83" s="54" t="inlineStr">
        <is>
          <t xml:space="preserve">Quality</t>
        </is>
      </c>
    </row>
    <row r="84">
      <c r="A84" s="54" t="inlineStr">
        <is>
          <t xml:space="preserve">ATM</t>
        </is>
      </c>
      <c r="B84" s="49" t="n">
        <v>45880</v>
      </c>
      <c r="C84" s="54" t="inlineStr">
        <is>
          <t xml:space="preserve">Thoracic</t>
        </is>
      </c>
      <c r="D84" s="54" t="inlineStr">
        <is>
          <t xml:space="preserve">9972 · Laceration/Cut</t>
        </is>
      </c>
      <c r="E84" s="55" t="n">
        <v>3</v>
      </c>
      <c r="F84" s="54" t="inlineStr">
        <is>
          <t xml:space="preserve">Quality</t>
        </is>
      </c>
    </row>
    <row r="85">
      <c r="A85" s="54" t="inlineStr">
        <is>
          <t xml:space="preserve">ATM</t>
        </is>
      </c>
      <c r="B85" s="49" t="n">
        <v>45884</v>
      </c>
      <c r="C85" s="54" t="inlineStr">
        <is>
          <t xml:space="preserve">Thoracic</t>
        </is>
      </c>
      <c r="D85" s="54" t="inlineStr">
        <is>
          <t xml:space="preserve">9972 · Laceration/Cut</t>
        </is>
      </c>
      <c r="E85" s="55" t="n">
        <v>2</v>
      </c>
      <c r="F85" s="54" t="inlineStr">
        <is>
          <t xml:space="preserve">Quality</t>
        </is>
      </c>
    </row>
    <row r="86">
      <c r="A86" s="54" t="inlineStr">
        <is>
          <t xml:space="preserve">ATM</t>
        </is>
      </c>
      <c r="B86" s="49" t="n">
        <v>45887</v>
      </c>
      <c r="C86" s="54" t="inlineStr">
        <is>
          <t xml:space="preserve">Thoracic</t>
        </is>
      </c>
      <c r="D86" s="54" t="inlineStr">
        <is>
          <t xml:space="preserve">9972 · Laceration/Cut</t>
        </is>
      </c>
      <c r="E86" s="55" t="n">
        <v>2</v>
      </c>
      <c r="F86" s="54" t="inlineStr">
        <is>
          <t xml:space="preserve">Quality</t>
        </is>
      </c>
    </row>
    <row r="87">
      <c r="A87" s="54" t="inlineStr">
        <is>
          <t xml:space="preserve">ATM</t>
        </is>
      </c>
      <c r="B87" s="49" t="n">
        <v>45887</v>
      </c>
      <c r="C87" s="54" t="inlineStr">
        <is>
          <t xml:space="preserve">Thoracic</t>
        </is>
      </c>
      <c r="D87" s="54" t="inlineStr">
        <is>
          <t xml:space="preserve">9985 · Tech Damaged</t>
        </is>
      </c>
      <c r="E87" s="55" t="n">
        <v>1</v>
      </c>
      <c r="F87" s="54" t="inlineStr">
        <is>
          <t xml:space="preserve">Quality</t>
        </is>
      </c>
    </row>
    <row r="88">
      <c r="A88" s="54" t="inlineStr">
        <is>
          <t xml:space="preserve">ATM</t>
        </is>
      </c>
      <c r="B88" s="49" t="n">
        <v>45888</v>
      </c>
      <c r="C88" s="54" t="inlineStr">
        <is>
          <t xml:space="preserve">Thoracic</t>
        </is>
      </c>
      <c r="D88" s="54" t="inlineStr">
        <is>
          <t xml:space="preserve">9972 · Laceration/Cut</t>
        </is>
      </c>
      <c r="E88" s="55" t="n">
        <v>1</v>
      </c>
      <c r="F88" s="54" t="inlineStr">
        <is>
          <t xml:space="preserve">Quality</t>
        </is>
      </c>
    </row>
    <row r="89">
      <c r="A89" s="54" t="inlineStr">
        <is>
          <t xml:space="preserve">ATM</t>
        </is>
      </c>
      <c r="B89" s="49" t="n">
        <v>45897</v>
      </c>
      <c r="C89" s="54" t="inlineStr">
        <is>
          <t xml:space="preserve">Thoracic</t>
        </is>
      </c>
      <c r="D89" s="54" t="inlineStr">
        <is>
          <t xml:space="preserve">9972 · Laceration/Cut</t>
        </is>
      </c>
      <c r="E89" s="55" t="n">
        <v>1</v>
      </c>
      <c r="F89" s="54" t="inlineStr">
        <is>
          <t xml:space="preserve">Quality</t>
        </is>
      </c>
    </row>
    <row r="90">
      <c r="A90" s="54" t="inlineStr">
        <is>
          <t xml:space="preserve">ATM</t>
        </is>
      </c>
      <c r="B90" s="49" t="n">
        <v>45905</v>
      </c>
      <c r="C90" s="54" t="inlineStr">
        <is>
          <t xml:space="preserve">Thoracic</t>
        </is>
      </c>
      <c r="D90" s="54" t="inlineStr">
        <is>
          <t xml:space="preserve">1220 · Destructive Testing (eng/R&amp;D)</t>
        </is>
      </c>
      <c r="E90" s="55" t="n">
        <v>2</v>
      </c>
      <c r="F90" s="54" t="inlineStr">
        <is>
          <t xml:space="preserve">Planned</t>
        </is>
      </c>
    </row>
    <row r="91">
      <c r="A91" s="54" t="inlineStr">
        <is>
          <t xml:space="preserve">ATM</t>
        </is>
      </c>
      <c r="B91" s="49" t="n">
        <v>45908</v>
      </c>
      <c r="C91" s="54" t="inlineStr">
        <is>
          <t xml:space="preserve">Thoracic</t>
        </is>
      </c>
      <c r="D91" s="54" t="inlineStr">
        <is>
          <t xml:space="preserve">9972 · Laceration/Cut</t>
        </is>
      </c>
      <c r="E91" s="55" t="n">
        <v>1</v>
      </c>
      <c r="F91" s="54" t="inlineStr">
        <is>
          <t xml:space="preserve">Quality</t>
        </is>
      </c>
    </row>
    <row r="92">
      <c r="A92" s="54" t="inlineStr">
        <is>
          <t xml:space="preserve">ATM</t>
        </is>
      </c>
      <c r="B92" s="49" t="n">
        <v>45915</v>
      </c>
      <c r="C92" s="54" t="inlineStr">
        <is>
          <t xml:space="preserve">Thoracic</t>
        </is>
      </c>
      <c r="D92" s="54" t="inlineStr">
        <is>
          <t xml:space="preserve">1220 · Destructive Testing (eng/R&amp;D)</t>
        </is>
      </c>
      <c r="E92" s="55" t="n">
        <v>5</v>
      </c>
      <c r="F92" s="54" t="inlineStr">
        <is>
          <t xml:space="preserve">Planned</t>
        </is>
      </c>
    </row>
    <row r="93">
      <c r="A93" s="54" t="inlineStr">
        <is>
          <t xml:space="preserve">ATM</t>
        </is>
      </c>
      <c r="B93" s="49" t="n">
        <v>45918</v>
      </c>
      <c r="C93" s="54" t="inlineStr">
        <is>
          <t xml:space="preserve">Thoracic</t>
        </is>
      </c>
      <c r="D93" s="54" t="inlineStr">
        <is>
          <t xml:space="preserve">1220 · Destructive Testing (eng/R&amp;D)</t>
        </is>
      </c>
      <c r="E93" s="55" t="n">
        <v>10</v>
      </c>
      <c r="F93" s="54" t="inlineStr">
        <is>
          <t xml:space="preserve">Planned</t>
        </is>
      </c>
    </row>
    <row r="94">
      <c r="A94" s="54" t="inlineStr">
        <is>
          <t xml:space="preserve">ATM</t>
        </is>
      </c>
      <c r="B94" s="49" t="n">
        <v>45923</v>
      </c>
      <c r="C94" s="54" t="inlineStr">
        <is>
          <t xml:space="preserve">Thoracic</t>
        </is>
      </c>
      <c r="D94" s="54" t="inlineStr">
        <is>
          <t xml:space="preserve">1220 · Destructive Testing (eng/R&amp;D)</t>
        </is>
      </c>
      <c r="E94" s="55" t="n">
        <v>1</v>
      </c>
      <c r="F94" s="54" t="inlineStr">
        <is>
          <t xml:space="preserve">Planned</t>
        </is>
      </c>
    </row>
    <row r="95">
      <c r="A95" s="54" t="inlineStr">
        <is>
          <t xml:space="preserve">ATM</t>
        </is>
      </c>
      <c r="B95" s="49" t="n">
        <v>45925</v>
      </c>
      <c r="C95" s="54" t="inlineStr">
        <is>
          <t xml:space="preserve">Thoracic</t>
        </is>
      </c>
      <c r="D95" s="54" t="inlineStr">
        <is>
          <t xml:space="preserve">1220 · Destructive Testing (eng/R&amp;D)</t>
        </is>
      </c>
      <c r="E95" s="55" t="n">
        <v>1</v>
      </c>
      <c r="F95" s="54" t="inlineStr">
        <is>
          <t xml:space="preserve">Planned</t>
        </is>
      </c>
    </row>
    <row r="96">
      <c r="A96" s="54" t="inlineStr">
        <is>
          <t xml:space="preserve">ATM</t>
        </is>
      </c>
      <c r="B96" s="49" t="n">
        <v>45930</v>
      </c>
      <c r="C96" s="54" t="inlineStr">
        <is>
          <t xml:space="preserve">Thoracic</t>
        </is>
      </c>
      <c r="D96" s="54" t="inlineStr">
        <is>
          <t xml:space="preserve">1220 · Destructive Testing (eng/R&amp;D)</t>
        </is>
      </c>
      <c r="E96" s="55" t="n">
        <v>4</v>
      </c>
      <c r="F96" s="54" t="inlineStr">
        <is>
          <t xml:space="preserve">Planned</t>
        </is>
      </c>
    </row>
    <row r="97">
      <c r="A97" s="54" t="inlineStr">
        <is>
          <t xml:space="preserve">ATM</t>
        </is>
      </c>
      <c r="B97" s="49" t="n">
        <v>45933</v>
      </c>
      <c r="C97" s="54" t="inlineStr">
        <is>
          <t xml:space="preserve">Thoracic</t>
        </is>
      </c>
      <c r="D97" s="54" t="inlineStr">
        <is>
          <t xml:space="preserve">1220 · Destructive Testing (eng/R&amp;D)</t>
        </is>
      </c>
      <c r="E97" s="55" t="n">
        <v>1</v>
      </c>
      <c r="F97" s="54" t="inlineStr">
        <is>
          <t xml:space="preserve">Planned</t>
        </is>
      </c>
    </row>
    <row r="98">
      <c r="A98" s="54" t="inlineStr">
        <is>
          <t xml:space="preserve">ATM</t>
        </is>
      </c>
      <c r="B98" s="49" t="n">
        <v>45937</v>
      </c>
      <c r="C98" s="54" t="inlineStr">
        <is>
          <t xml:space="preserve">Thoracic</t>
        </is>
      </c>
      <c r="D98" s="54" t="inlineStr">
        <is>
          <t xml:space="preserve">1220 · Destructive Testing (eng/R&amp;D)</t>
        </is>
      </c>
      <c r="E98" s="55" t="n">
        <v>3</v>
      </c>
      <c r="F98" s="54" t="inlineStr">
        <is>
          <t xml:space="preserve">Planned</t>
        </is>
      </c>
    </row>
    <row r="99">
      <c r="A99" s="54" t="inlineStr">
        <is>
          <t xml:space="preserve">ATM</t>
        </is>
      </c>
      <c r="B99" s="49" t="n">
        <v>45937</v>
      </c>
      <c r="C99" s="54" t="inlineStr">
        <is>
          <t xml:space="preserve">Thoracic</t>
        </is>
      </c>
      <c r="D99" s="54" t="inlineStr">
        <is>
          <t xml:space="preserve">9972 · Laceration/Cut</t>
        </is>
      </c>
      <c r="E99" s="55" t="n">
        <v>2</v>
      </c>
      <c r="F99" s="54" t="inlineStr">
        <is>
          <t xml:space="preserve">Quality</t>
        </is>
      </c>
    </row>
    <row r="100">
      <c r="A100" s="54" t="inlineStr">
        <is>
          <t xml:space="preserve">ATM</t>
        </is>
      </c>
      <c r="B100" s="49" t="n">
        <v>45940</v>
      </c>
      <c r="C100" s="54" t="inlineStr">
        <is>
          <t xml:space="preserve">Thoracic</t>
        </is>
      </c>
      <c r="D100" s="54" t="inlineStr">
        <is>
          <t xml:space="preserve">9972 · Laceration/Cut</t>
        </is>
      </c>
      <c r="E100" s="55" t="n">
        <v>4</v>
      </c>
      <c r="F100" s="54" t="inlineStr">
        <is>
          <t xml:space="preserve">Quality</t>
        </is>
      </c>
    </row>
    <row r="101">
      <c r="A101" s="54" t="inlineStr">
        <is>
          <t xml:space="preserve">ATM</t>
        </is>
      </c>
      <c r="B101" s="49" t="n">
        <v>45945</v>
      </c>
      <c r="C101" s="54" t="inlineStr">
        <is>
          <t xml:space="preserve">Thoracic</t>
        </is>
      </c>
      <c r="D101" s="54" t="inlineStr">
        <is>
          <t xml:space="preserve">1220 · Destructive Testing (eng/R&amp;D)</t>
        </is>
      </c>
      <c r="E101" s="55" t="n">
        <v>8</v>
      </c>
      <c r="F101" s="54" t="inlineStr">
        <is>
          <t xml:space="preserve">Planned</t>
        </is>
      </c>
    </row>
    <row r="102">
      <c r="A102" s="54" t="inlineStr">
        <is>
          <t xml:space="preserve">ATM</t>
        </is>
      </c>
      <c r="B102" s="49" t="n">
        <v>45947</v>
      </c>
      <c r="C102" s="54" t="inlineStr">
        <is>
          <t xml:space="preserve">Thoracic</t>
        </is>
      </c>
      <c r="D102" s="54" t="inlineStr">
        <is>
          <t xml:space="preserve">1220 · Destructive Testing (eng/R&amp;D)</t>
        </is>
      </c>
      <c r="E102" s="55" t="n">
        <v>8</v>
      </c>
      <c r="F102" s="54" t="inlineStr">
        <is>
          <t xml:space="preserve">Planned</t>
        </is>
      </c>
    </row>
    <row r="103">
      <c r="A103" s="54" t="inlineStr">
        <is>
          <t xml:space="preserve">ATM</t>
        </is>
      </c>
      <c r="B103" s="49" t="n">
        <v>45947</v>
      </c>
      <c r="C103" s="54" t="inlineStr">
        <is>
          <t xml:space="preserve">Thoracic</t>
        </is>
      </c>
      <c r="D103" s="54" t="inlineStr">
        <is>
          <t xml:space="preserve">9972 · Laceration/Cut</t>
        </is>
      </c>
      <c r="E103" s="55" t="n">
        <v>6</v>
      </c>
      <c r="F103" s="54" t="inlineStr">
        <is>
          <t xml:space="preserve">Quality</t>
        </is>
      </c>
    </row>
    <row r="104">
      <c r="A104" s="54" t="inlineStr">
        <is>
          <t xml:space="preserve">ATM</t>
        </is>
      </c>
      <c r="B104" s="49" t="n">
        <v>45950</v>
      </c>
      <c r="C104" s="54" t="inlineStr">
        <is>
          <t xml:space="preserve">Thoracic</t>
        </is>
      </c>
      <c r="D104" s="54" t="inlineStr">
        <is>
          <t xml:space="preserve">9972 · Laceration/Cut</t>
        </is>
      </c>
      <c r="E104" s="55" t="n">
        <v>4</v>
      </c>
      <c r="F104" s="54" t="inlineStr">
        <is>
          <t xml:space="preserve">Quality</t>
        </is>
      </c>
    </row>
    <row r="105">
      <c r="A105" s="54" t="inlineStr">
        <is>
          <t xml:space="preserve">ATM</t>
        </is>
      </c>
      <c r="B105" s="49" t="n">
        <v>45954</v>
      </c>
      <c r="C105" s="54" t="inlineStr">
        <is>
          <t xml:space="preserve">Thoracic</t>
        </is>
      </c>
      <c r="D105" s="54" t="inlineStr">
        <is>
          <t xml:space="preserve">9973 · Out of Spec</t>
        </is>
      </c>
      <c r="E105" s="55" t="n">
        <v>2</v>
      </c>
      <c r="F105" s="54" t="inlineStr">
        <is>
          <t xml:space="preserve">Quality</t>
        </is>
      </c>
    </row>
    <row r="106">
      <c r="A106" s="54" t="inlineStr">
        <is>
          <t xml:space="preserve">ATM</t>
        </is>
      </c>
      <c r="B106" s="49" t="n">
        <v>45961</v>
      </c>
      <c r="C106" s="54" t="inlineStr">
        <is>
          <t xml:space="preserve">Thoracic</t>
        </is>
      </c>
      <c r="D106" s="54" t="inlineStr">
        <is>
          <t xml:space="preserve">9972 · Laceration/Cut</t>
        </is>
      </c>
      <c r="E106" s="55" t="n">
        <v>9</v>
      </c>
      <c r="F106" s="54" t="inlineStr">
        <is>
          <t xml:space="preserve">Quality</t>
        </is>
      </c>
    </row>
    <row r="107">
      <c r="A107" s="54" t="inlineStr">
        <is>
          <t xml:space="preserve">ATM</t>
        </is>
      </c>
      <c r="B107" s="49" t="n">
        <v>45961</v>
      </c>
      <c r="C107" s="54" t="inlineStr">
        <is>
          <t xml:space="preserve">Thoracic</t>
        </is>
      </c>
      <c r="D107" s="54" t="inlineStr">
        <is>
          <t xml:space="preserve">9985 · Tech Damaged</t>
        </is>
      </c>
      <c r="E107" s="55" t="n">
        <v>2</v>
      </c>
      <c r="F107" s="54" t="inlineStr">
        <is>
          <t xml:space="preserve">Quality</t>
        </is>
      </c>
    </row>
    <row r="108">
      <c r="A108" s="54" t="inlineStr">
        <is>
          <t xml:space="preserve">ATM</t>
        </is>
      </c>
      <c r="B108" s="49" t="n">
        <v>45964</v>
      </c>
      <c r="C108" s="54" t="inlineStr">
        <is>
          <t xml:space="preserve">Thoracic</t>
        </is>
      </c>
      <c r="D108" s="54" t="inlineStr">
        <is>
          <t xml:space="preserve">9972 · Laceration/Cut</t>
        </is>
      </c>
      <c r="E108" s="55" t="n">
        <v>3</v>
      </c>
      <c r="F108" s="54" t="inlineStr">
        <is>
          <t xml:space="preserve">Quality</t>
        </is>
      </c>
    </row>
    <row r="109">
      <c r="A109" s="54" t="inlineStr">
        <is>
          <t xml:space="preserve">ATM</t>
        </is>
      </c>
      <c r="B109" s="49" t="n">
        <v>45965</v>
      </c>
      <c r="C109" s="54" t="inlineStr">
        <is>
          <t xml:space="preserve">Thoracic</t>
        </is>
      </c>
      <c r="D109" s="54" t="inlineStr">
        <is>
          <t xml:space="preserve">9973 · Out of Spec</t>
        </is>
      </c>
      <c r="E109" s="55" t="n">
        <v>1</v>
      </c>
      <c r="F109" s="54" t="inlineStr">
        <is>
          <t xml:space="preserve">Quality</t>
        </is>
      </c>
    </row>
    <row r="110">
      <c r="A110" s="54" t="inlineStr">
        <is>
          <t xml:space="preserve">ATM</t>
        </is>
      </c>
      <c r="B110" s="49" t="n">
        <v>45971</v>
      </c>
      <c r="C110" s="54" t="inlineStr">
        <is>
          <t xml:space="preserve">Thoracic</t>
        </is>
      </c>
      <c r="D110" s="54" t="inlineStr">
        <is>
          <t xml:space="preserve">9972 · Laceration/Cut</t>
        </is>
      </c>
      <c r="E110" s="55" t="n">
        <v>1</v>
      </c>
      <c r="F110" s="54" t="inlineStr">
        <is>
          <t xml:space="preserve">Quality</t>
        </is>
      </c>
    </row>
    <row r="111">
      <c r="A111" s="54" t="inlineStr">
        <is>
          <t xml:space="preserve">ATM</t>
        </is>
      </c>
      <c r="B111" s="49" t="n">
        <v>45979</v>
      </c>
      <c r="C111" s="54" t="inlineStr">
        <is>
          <t xml:space="preserve">Thoracic</t>
        </is>
      </c>
      <c r="D111" s="54" t="inlineStr">
        <is>
          <t xml:space="preserve">1220 · Destructive Testing (eng/R&amp;D)</t>
        </is>
      </c>
      <c r="E111" s="55" t="n">
        <v>10</v>
      </c>
      <c r="F111" s="54" t="inlineStr">
        <is>
          <t xml:space="preserve">Planned</t>
        </is>
      </c>
    </row>
    <row r="112">
      <c r="A112" s="54" t="inlineStr">
        <is>
          <t xml:space="preserve">ATM</t>
        </is>
      </c>
      <c r="B112" s="49" t="n">
        <v>45979</v>
      </c>
      <c r="C112" s="54" t="inlineStr">
        <is>
          <t xml:space="preserve">Thoracic</t>
        </is>
      </c>
      <c r="D112" s="54" t="inlineStr">
        <is>
          <t xml:space="preserve">9972 · Laceration/Cut</t>
        </is>
      </c>
      <c r="E112" s="55" t="n">
        <v>1</v>
      </c>
      <c r="F112" s="54" t="inlineStr">
        <is>
          <t xml:space="preserve">Quality</t>
        </is>
      </c>
    </row>
    <row r="113">
      <c r="A113" s="54" t="inlineStr">
        <is>
          <t xml:space="preserve">ATM</t>
        </is>
      </c>
      <c r="B113" s="49" t="n">
        <v>45985</v>
      </c>
      <c r="C113" s="54" t="inlineStr">
        <is>
          <t xml:space="preserve">Thoracic</t>
        </is>
      </c>
      <c r="D113" s="54" t="inlineStr">
        <is>
          <t xml:space="preserve">9972 · Laceration/Cut</t>
        </is>
      </c>
      <c r="E113" s="55" t="n">
        <v>1</v>
      </c>
      <c r="F113" s="54" t="inlineStr">
        <is>
          <t xml:space="preserve">Quality</t>
        </is>
      </c>
    </row>
    <row r="114">
      <c r="A114" s="54" t="inlineStr">
        <is>
          <t xml:space="preserve">ATM</t>
        </is>
      </c>
      <c r="B114" s="49" t="n">
        <v>45985</v>
      </c>
      <c r="C114" s="54" t="inlineStr">
        <is>
          <t xml:space="preserve">Thoracic</t>
        </is>
      </c>
      <c r="D114" s="54" t="inlineStr">
        <is>
          <t xml:space="preserve">9985 · Tech Damaged</t>
        </is>
      </c>
      <c r="E114" s="55" t="n">
        <v>2</v>
      </c>
      <c r="F114" s="54" t="inlineStr">
        <is>
          <t xml:space="preserve">Quality</t>
        </is>
      </c>
    </row>
    <row r="115">
      <c r="A115" s="54" t="inlineStr">
        <is>
          <t xml:space="preserve">ATM</t>
        </is>
      </c>
      <c r="B115" s="49" t="n">
        <v>45986</v>
      </c>
      <c r="C115" s="54" t="inlineStr">
        <is>
          <t xml:space="preserve">Thoracic</t>
        </is>
      </c>
      <c r="D115" s="54" t="inlineStr">
        <is>
          <t xml:space="preserve">9972 · Laceration/Cut</t>
        </is>
      </c>
      <c r="E115" s="55" t="n">
        <v>1</v>
      </c>
      <c r="F115" s="54" t="inlineStr">
        <is>
          <t xml:space="preserve">Quality</t>
        </is>
      </c>
    </row>
    <row r="116">
      <c r="A116" s="54" t="inlineStr">
        <is>
          <t xml:space="preserve">ATM</t>
        </is>
      </c>
      <c r="B116" s="49" t="n">
        <v>45986</v>
      </c>
      <c r="C116" s="54" t="inlineStr">
        <is>
          <t xml:space="preserve">Thoracic</t>
        </is>
      </c>
      <c r="D116" s="54" t="inlineStr">
        <is>
          <t xml:space="preserve">9985 · Tech Damaged</t>
        </is>
      </c>
      <c r="E116" s="55" t="n">
        <v>1</v>
      </c>
      <c r="F116" s="54" t="inlineStr">
        <is>
          <t xml:space="preserve">Quality</t>
        </is>
      </c>
    </row>
    <row r="117">
      <c r="A117" s="54" t="inlineStr">
        <is>
          <t xml:space="preserve">ATM</t>
        </is>
      </c>
      <c r="B117" s="49" t="n">
        <v>45987</v>
      </c>
      <c r="C117" s="54" t="inlineStr">
        <is>
          <t xml:space="preserve">Thoracic</t>
        </is>
      </c>
      <c r="D117" s="54" t="inlineStr">
        <is>
          <t xml:space="preserve">9972 · Laceration/Cut</t>
        </is>
      </c>
      <c r="E117" s="55" t="n">
        <v>1</v>
      </c>
      <c r="F117" s="54" t="inlineStr">
        <is>
          <t xml:space="preserve">Quality</t>
        </is>
      </c>
    </row>
    <row r="118">
      <c r="A118" s="54" t="inlineStr">
        <is>
          <t xml:space="preserve">ATM</t>
        </is>
      </c>
      <c r="B118" s="49" t="n">
        <v>45992</v>
      </c>
      <c r="C118" s="54" t="inlineStr">
        <is>
          <t xml:space="preserve">Thoracic</t>
        </is>
      </c>
      <c r="D118" s="54" t="inlineStr">
        <is>
          <t xml:space="preserve">1220 · Destructive Testing (eng/R&amp;D)</t>
        </is>
      </c>
      <c r="E118" s="55" t="n">
        <v>25</v>
      </c>
      <c r="F118" s="54" t="inlineStr">
        <is>
          <t xml:space="preserve">Planned</t>
        </is>
      </c>
    </row>
    <row r="119">
      <c r="A119" s="54" t="inlineStr">
        <is>
          <t xml:space="preserve">ATM</t>
        </is>
      </c>
      <c r="B119" s="49" t="n">
        <v>45993</v>
      </c>
      <c r="C119" s="54" t="inlineStr">
        <is>
          <t xml:space="preserve">Thoracic</t>
        </is>
      </c>
      <c r="D119" s="54" t="inlineStr">
        <is>
          <t xml:space="preserve">9972 · Laceration/Cut</t>
        </is>
      </c>
      <c r="E119" s="55" t="n">
        <v>4</v>
      </c>
      <c r="F119" s="54" t="inlineStr">
        <is>
          <t xml:space="preserve">Quality</t>
        </is>
      </c>
    </row>
    <row r="120">
      <c r="A120" s="54" t="inlineStr">
        <is>
          <t xml:space="preserve">ATM</t>
        </is>
      </c>
      <c r="B120" s="49" t="n">
        <v>45993</v>
      </c>
      <c r="C120" s="54" t="inlineStr">
        <is>
          <t xml:space="preserve">Thoracic</t>
        </is>
      </c>
      <c r="D120" s="54" t="inlineStr">
        <is>
          <t xml:space="preserve">9985 · Tech Damaged</t>
        </is>
      </c>
      <c r="E120" s="55" t="n">
        <v>1</v>
      </c>
      <c r="F120" s="54" t="inlineStr">
        <is>
          <t xml:space="preserve">Quality</t>
        </is>
      </c>
    </row>
    <row r="121">
      <c r="A121" s="54" t="inlineStr">
        <is>
          <t xml:space="preserve">ATM</t>
        </is>
      </c>
      <c r="B121" s="49" t="n">
        <v>45995</v>
      </c>
      <c r="C121" s="54" t="inlineStr">
        <is>
          <t xml:space="preserve">Thoracic</t>
        </is>
      </c>
      <c r="D121" s="54" t="inlineStr">
        <is>
          <t xml:space="preserve">9972 · Laceration/Cut</t>
        </is>
      </c>
      <c r="E121" s="55" t="n">
        <v>2</v>
      </c>
      <c r="F121" s="54" t="inlineStr">
        <is>
          <t xml:space="preserve">Quality</t>
        </is>
      </c>
    </row>
    <row r="122">
      <c r="A122" s="54" t="inlineStr">
        <is>
          <t xml:space="preserve">ATM</t>
        </is>
      </c>
      <c r="B122" s="49" t="n">
        <v>45999</v>
      </c>
      <c r="C122" s="54" t="inlineStr">
        <is>
          <t xml:space="preserve">Thoracic</t>
        </is>
      </c>
      <c r="D122" s="54" t="inlineStr">
        <is>
          <t xml:space="preserve">9972 · Laceration/Cut</t>
        </is>
      </c>
      <c r="E122" s="55" t="n">
        <v>5</v>
      </c>
      <c r="F122" s="54" t="inlineStr">
        <is>
          <t xml:space="preserve">Quality</t>
        </is>
      </c>
    </row>
    <row r="123">
      <c r="A123" s="54" t="inlineStr">
        <is>
          <t xml:space="preserve">ATM</t>
        </is>
      </c>
      <c r="B123" s="49" t="n">
        <v>46001</v>
      </c>
      <c r="C123" s="54" t="inlineStr">
        <is>
          <t xml:space="preserve">Thoracic</t>
        </is>
      </c>
      <c r="D123" s="54" t="inlineStr">
        <is>
          <t xml:space="preserve">9985 · Tech Damaged</t>
        </is>
      </c>
      <c r="E123" s="55" t="n">
        <v>1</v>
      </c>
      <c r="F123" s="54" t="inlineStr">
        <is>
          <t xml:space="preserve">Quality</t>
        </is>
      </c>
    </row>
    <row r="124">
      <c r="A124" s="54" t="inlineStr">
        <is>
          <t xml:space="preserve">ATM</t>
        </is>
      </c>
      <c r="B124" s="49" t="n">
        <v>46006</v>
      </c>
      <c r="C124" s="54" t="inlineStr">
        <is>
          <t xml:space="preserve">Thoracic</t>
        </is>
      </c>
      <c r="D124" s="54" t="inlineStr">
        <is>
          <t xml:space="preserve">1220 · Destructive Testing (eng/R&amp;D)</t>
        </is>
      </c>
      <c r="E124" s="55" t="n">
        <v>20</v>
      </c>
      <c r="F124" s="54" t="inlineStr">
        <is>
          <t xml:space="preserve">Planned</t>
        </is>
      </c>
    </row>
    <row r="125">
      <c r="A125" s="54" t="inlineStr">
        <is>
          <t xml:space="preserve">ATM</t>
        </is>
      </c>
      <c r="B125" s="49" t="n">
        <v>46006</v>
      </c>
      <c r="C125" s="54" t="inlineStr">
        <is>
          <t xml:space="preserve">Thoracic</t>
        </is>
      </c>
      <c r="D125" s="54" t="inlineStr">
        <is>
          <t xml:space="preserve">9972 · Laceration/Cut</t>
        </is>
      </c>
      <c r="E125" s="55" t="n">
        <v>5</v>
      </c>
      <c r="F125" s="54" t="inlineStr">
        <is>
          <t xml:space="preserve">Quality</t>
        </is>
      </c>
    </row>
    <row r="126">
      <c r="A126" s="54" t="inlineStr">
        <is>
          <t xml:space="preserve">ATM</t>
        </is>
      </c>
      <c r="B126" s="49" t="n">
        <v>46006</v>
      </c>
      <c r="C126" s="54" t="inlineStr">
        <is>
          <t xml:space="preserve">Thoracic</t>
        </is>
      </c>
      <c r="D126" s="54" t="inlineStr">
        <is>
          <t xml:space="preserve">9973 · Out of Spec</t>
        </is>
      </c>
      <c r="E126" s="55" t="n">
        <v>1</v>
      </c>
      <c r="F126" s="54" t="inlineStr">
        <is>
          <t xml:space="preserve">Quality</t>
        </is>
      </c>
    </row>
    <row r="127">
      <c r="A127" s="54" t="inlineStr">
        <is>
          <t xml:space="preserve">ATM</t>
        </is>
      </c>
      <c r="B127" s="49" t="n">
        <v>46006</v>
      </c>
      <c r="C127" s="54" t="inlineStr">
        <is>
          <t xml:space="preserve">Thoracic</t>
        </is>
      </c>
      <c r="D127" s="54" t="inlineStr">
        <is>
          <t xml:space="preserve">9985 · Tech Damaged</t>
        </is>
      </c>
      <c r="E127" s="55" t="n">
        <v>1</v>
      </c>
      <c r="F127" s="54" t="inlineStr">
        <is>
          <t xml:space="preserve">Quality</t>
        </is>
      </c>
    </row>
    <row r="128">
      <c r="A128" s="54" t="inlineStr">
        <is>
          <t xml:space="preserve">ATM</t>
        </is>
      </c>
      <c r="B128" s="49" t="n">
        <v>46007</v>
      </c>
      <c r="C128" s="54" t="inlineStr">
        <is>
          <t xml:space="preserve">Pelvic</t>
        </is>
      </c>
      <c r="D128" s="54" t="inlineStr">
        <is>
          <t xml:space="preserve">9973 · Out of Spec</t>
        </is>
      </c>
      <c r="E128" s="55" t="n">
        <v>8</v>
      </c>
      <c r="F128" s="54" t="inlineStr">
        <is>
          <t xml:space="preserve">Quality</t>
        </is>
      </c>
    </row>
    <row r="129">
      <c r="A129" s="54" t="inlineStr">
        <is>
          <t xml:space="preserve">ATM</t>
        </is>
      </c>
      <c r="B129" s="49" t="n">
        <v>46007</v>
      </c>
      <c r="C129" s="54" t="inlineStr">
        <is>
          <t xml:space="preserve">Pelvic</t>
        </is>
      </c>
      <c r="D129" s="54" t="inlineStr">
        <is>
          <t xml:space="preserve">9983 · Incorrect Dimensions</t>
        </is>
      </c>
      <c r="E129" s="55" t="n">
        <v>9</v>
      </c>
      <c r="F129" s="54" t="inlineStr">
        <is>
          <t xml:space="preserve">Quality</t>
        </is>
      </c>
    </row>
    <row r="130">
      <c r="A130" s="54" t="inlineStr">
        <is>
          <t xml:space="preserve">ATM</t>
        </is>
      </c>
      <c r="B130" s="49" t="n">
        <v>46009</v>
      </c>
      <c r="C130" s="54" t="inlineStr">
        <is>
          <t xml:space="preserve">Thoracic</t>
        </is>
      </c>
      <c r="D130" s="54" t="inlineStr">
        <is>
          <t xml:space="preserve">9972 · Laceration/Cut</t>
        </is>
      </c>
      <c r="E130" s="55" t="n">
        <v>3</v>
      </c>
      <c r="F130" s="54" t="inlineStr">
        <is>
          <t xml:space="preserve">Quality</t>
        </is>
      </c>
    </row>
    <row r="131">
      <c r="A131" s="54" t="inlineStr">
        <is>
          <t xml:space="preserve">ATM</t>
        </is>
      </c>
      <c r="B131" s="49" t="n">
        <v>46009</v>
      </c>
      <c r="C131" s="54" t="inlineStr">
        <is>
          <t xml:space="preserve">Pelvic</t>
        </is>
      </c>
      <c r="D131" s="54" t="inlineStr">
        <is>
          <t xml:space="preserve">9973 · Out of Spec</t>
        </is>
      </c>
      <c r="E131" s="55" t="n">
        <v>3</v>
      </c>
      <c r="F131" s="54" t="inlineStr">
        <is>
          <t xml:space="preserve">Quality</t>
        </is>
      </c>
    </row>
    <row r="132">
      <c r="A132" s="54" t="inlineStr">
        <is>
          <t xml:space="preserve">ATM</t>
        </is>
      </c>
      <c r="B132" s="49" t="n">
        <v>46009</v>
      </c>
      <c r="C132" s="54" t="inlineStr">
        <is>
          <t xml:space="preserve">Pelvic</t>
        </is>
      </c>
      <c r="D132" s="54" t="inlineStr">
        <is>
          <t xml:space="preserve">9983 · Incorrect Dimensions</t>
        </is>
      </c>
      <c r="E132" s="55" t="n">
        <v>3</v>
      </c>
      <c r="F132" s="54" t="inlineStr">
        <is>
          <t xml:space="preserve">Quality</t>
        </is>
      </c>
    </row>
    <row r="133">
      <c r="A133" s="54" t="inlineStr">
        <is>
          <t xml:space="preserve">ATM</t>
        </is>
      </c>
      <c r="B133" s="49" t="n">
        <v>46009</v>
      </c>
      <c r="C133" s="54" t="inlineStr">
        <is>
          <t xml:space="preserve">Thoracic</t>
        </is>
      </c>
      <c r="D133" s="54" t="inlineStr">
        <is>
          <t xml:space="preserve">9985 · Tech Damaged</t>
        </is>
      </c>
      <c r="E133" s="55" t="n">
        <v>1</v>
      </c>
      <c r="F133" s="54" t="inlineStr">
        <is>
          <t xml:space="preserve">Quality</t>
        </is>
      </c>
    </row>
    <row r="134">
      <c r="A134" s="54" t="inlineStr">
        <is>
          <t xml:space="preserve">ATM</t>
        </is>
      </c>
      <c r="B134" s="49" t="n">
        <v>46015</v>
      </c>
      <c r="C134" s="54" t="inlineStr">
        <is>
          <t xml:space="preserve">Pelvic</t>
        </is>
      </c>
      <c r="D134" s="54" t="inlineStr">
        <is>
          <t xml:space="preserve">9973 · Out of Spec</t>
        </is>
      </c>
      <c r="E134" s="55" t="n">
        <v>11</v>
      </c>
      <c r="F134" s="54" t="inlineStr">
        <is>
          <t xml:space="preserve">Quality</t>
        </is>
      </c>
    </row>
    <row r="135">
      <c r="A135" s="54" t="inlineStr">
        <is>
          <t xml:space="preserve">ATM</t>
        </is>
      </c>
      <c r="B135" s="49" t="n">
        <v>46022</v>
      </c>
      <c r="C135" s="54" t="inlineStr">
        <is>
          <t xml:space="preserve">Pelvic</t>
        </is>
      </c>
      <c r="D135" s="54" t="inlineStr">
        <is>
          <t xml:space="preserve">9972 · Laceration/Cut</t>
        </is>
      </c>
      <c r="E135" s="55" t="n">
        <v>9</v>
      </c>
      <c r="F135" s="54" t="inlineStr">
        <is>
          <t xml:space="preserve">Quality</t>
        </is>
      </c>
    </row>
    <row r="136">
      <c r="A136" s="54" t="inlineStr">
        <is>
          <t xml:space="preserve">ATM</t>
        </is>
      </c>
      <c r="B136" s="49" t="n">
        <v>46027</v>
      </c>
      <c r="C136" s="54" t="inlineStr">
        <is>
          <t xml:space="preserve">Thoracic</t>
        </is>
      </c>
      <c r="D136" s="54" t="inlineStr">
        <is>
          <t xml:space="preserve">9972 · Laceration/Cut</t>
        </is>
      </c>
      <c r="E136" s="55" t="n">
        <v>3</v>
      </c>
      <c r="F136" s="54" t="inlineStr">
        <is>
          <t xml:space="preserve">Quality</t>
        </is>
      </c>
    </row>
    <row r="137">
      <c r="A137" s="54" t="inlineStr">
        <is>
          <t xml:space="preserve">ATM</t>
        </is>
      </c>
      <c r="B137" s="49" t="n">
        <v>46028</v>
      </c>
      <c r="C137" s="54" t="inlineStr">
        <is>
          <t xml:space="preserve">Thoracic</t>
        </is>
      </c>
      <c r="D137" s="54" t="inlineStr">
        <is>
          <t xml:space="preserve">9985 · Tech Damaged</t>
        </is>
      </c>
      <c r="E137" s="55" t="n">
        <v>2</v>
      </c>
      <c r="F137" s="54" t="inlineStr">
        <is>
          <t xml:space="preserve">Quality</t>
        </is>
      </c>
    </row>
    <row r="138">
      <c r="A138" s="54" t="inlineStr">
        <is>
          <t xml:space="preserve">ATM</t>
        </is>
      </c>
      <c r="B138" s="49" t="n">
        <v>46034</v>
      </c>
      <c r="C138" s="54" t="inlineStr">
        <is>
          <t xml:space="preserve">Thoracic</t>
        </is>
      </c>
      <c r="D138" s="54" t="inlineStr">
        <is>
          <t xml:space="preserve">9972 · Laceration/Cut</t>
        </is>
      </c>
      <c r="E138" s="55" t="n">
        <v>1</v>
      </c>
      <c r="F138" s="54" t="inlineStr">
        <is>
          <t xml:space="preserve">Quality</t>
        </is>
      </c>
    </row>
    <row r="139">
      <c r="A139" s="54" t="inlineStr">
        <is>
          <t xml:space="preserve">ATM</t>
        </is>
      </c>
      <c r="B139" s="49" t="n">
        <v>46035</v>
      </c>
      <c r="C139" s="54" t="inlineStr">
        <is>
          <t xml:space="preserve">Thoracic</t>
        </is>
      </c>
      <c r="D139" s="54" t="inlineStr">
        <is>
          <t xml:space="preserve">9972 · Laceration/Cut</t>
        </is>
      </c>
      <c r="E139" s="55" t="n">
        <v>2</v>
      </c>
      <c r="F139" s="54" t="inlineStr">
        <is>
          <t xml:space="preserve">Quality</t>
        </is>
      </c>
    </row>
    <row r="140">
      <c r="A140" s="54" t="inlineStr">
        <is>
          <t xml:space="preserve">ATM</t>
        </is>
      </c>
      <c r="B140" s="49" t="n">
        <v>46035</v>
      </c>
      <c r="C140" s="54" t="inlineStr">
        <is>
          <t xml:space="preserve">Thoracic</t>
        </is>
      </c>
      <c r="D140" s="54" t="inlineStr">
        <is>
          <t xml:space="preserve">9985 · Tech Damaged</t>
        </is>
      </c>
      <c r="E140" s="55" t="n">
        <v>1</v>
      </c>
      <c r="F140" s="54" t="inlineStr">
        <is>
          <t xml:space="preserve">Quality</t>
        </is>
      </c>
    </row>
    <row r="141">
      <c r="A141" s="54" t="inlineStr">
        <is>
          <t xml:space="preserve">ATM</t>
        </is>
      </c>
      <c r="B141" s="49" t="n">
        <v>46038</v>
      </c>
      <c r="C141" s="54" t="inlineStr">
        <is>
          <t xml:space="preserve">Thoracic</t>
        </is>
      </c>
      <c r="D141" s="54" t="inlineStr">
        <is>
          <t xml:space="preserve">1220 · Destructive Testing (eng/R&amp;D)</t>
        </is>
      </c>
      <c r="E141" s="55" t="n">
        <v>20</v>
      </c>
      <c r="F141" s="54" t="inlineStr">
        <is>
          <t xml:space="preserve">Planned</t>
        </is>
      </c>
    </row>
    <row r="142">
      <c r="A142" s="54" t="inlineStr">
        <is>
          <t xml:space="preserve">ATM</t>
        </is>
      </c>
      <c r="B142" s="49" t="n">
        <v>46043</v>
      </c>
      <c r="C142" s="54" t="inlineStr">
        <is>
          <t xml:space="preserve">Thoracic</t>
        </is>
      </c>
      <c r="D142" s="54" t="inlineStr">
        <is>
          <t xml:space="preserve">9972 · Laceration/Cut</t>
        </is>
      </c>
      <c r="E142" s="55" t="n">
        <v>1</v>
      </c>
      <c r="F142" s="54" t="inlineStr">
        <is>
          <t xml:space="preserve">Quality</t>
        </is>
      </c>
    </row>
    <row r="143">
      <c r="A143" s="54" t="inlineStr">
        <is>
          <t xml:space="preserve">ATM</t>
        </is>
      </c>
      <c r="B143" s="49" t="n">
        <v>46043</v>
      </c>
      <c r="C143" s="54" t="inlineStr">
        <is>
          <t xml:space="preserve">Thoracic</t>
        </is>
      </c>
      <c r="D143" s="54" t="inlineStr">
        <is>
          <t xml:space="preserve">9985 · Tech Damaged</t>
        </is>
      </c>
      <c r="E143" s="55" t="n">
        <v>1</v>
      </c>
      <c r="F143" s="54" t="inlineStr">
        <is>
          <t xml:space="preserve">Quality</t>
        </is>
      </c>
    </row>
    <row r="144">
      <c r="A144" s="54" t="inlineStr">
        <is>
          <t xml:space="preserve">ATM</t>
        </is>
      </c>
      <c r="B144" s="49" t="n">
        <v>46045</v>
      </c>
      <c r="C144" s="54" t="inlineStr">
        <is>
          <t xml:space="preserve">Thoracic</t>
        </is>
      </c>
      <c r="D144" s="54" t="inlineStr">
        <is>
          <t xml:space="preserve">9972 · Laceration/Cut</t>
        </is>
      </c>
      <c r="E144" s="55" t="n">
        <v>1</v>
      </c>
      <c r="F144" s="54" t="inlineStr">
        <is>
          <t xml:space="preserve">Quality</t>
        </is>
      </c>
    </row>
    <row r="145">
      <c r="A145" s="54" t="inlineStr">
        <is>
          <t xml:space="preserve">ATM</t>
        </is>
      </c>
      <c r="B145" s="49" t="n">
        <v>46049</v>
      </c>
      <c r="C145" s="54" t="inlineStr">
        <is>
          <t xml:space="preserve">Thoracic</t>
        </is>
      </c>
      <c r="D145" s="54" t="inlineStr">
        <is>
          <t xml:space="preserve">9972 · Laceration/Cut</t>
        </is>
      </c>
      <c r="E145" s="55" t="n">
        <v>2</v>
      </c>
      <c r="F145" s="54" t="inlineStr">
        <is>
          <t xml:space="preserve">Quality</t>
        </is>
      </c>
    </row>
    <row r="146">
      <c r="A146" s="54" t="inlineStr">
        <is>
          <t xml:space="preserve">ATM</t>
        </is>
      </c>
      <c r="B146" s="49" t="n">
        <v>46050</v>
      </c>
      <c r="C146" s="54" t="inlineStr">
        <is>
          <t xml:space="preserve">Thoracic</t>
        </is>
      </c>
      <c r="D146" s="54" t="inlineStr">
        <is>
          <t xml:space="preserve">1220 · Destructive Testing (eng/R&amp;D)</t>
        </is>
      </c>
      <c r="E146" s="55" t="n">
        <v>20</v>
      </c>
      <c r="F146" s="54" t="inlineStr">
        <is>
          <t xml:space="preserve">Planned</t>
        </is>
      </c>
    </row>
    <row r="147">
      <c r="A147" s="54" t="inlineStr">
        <is>
          <t xml:space="preserve">ATM</t>
        </is>
      </c>
      <c r="B147" s="49" t="n">
        <v>46050</v>
      </c>
      <c r="C147" s="54" t="inlineStr">
        <is>
          <t xml:space="preserve">Thoracic</t>
        </is>
      </c>
      <c r="D147" s="54" t="inlineStr">
        <is>
          <t xml:space="preserve">9972 · Laceration/Cut</t>
        </is>
      </c>
      <c r="E147" s="55" t="n">
        <v>3</v>
      </c>
      <c r="F147" s="54" t="inlineStr">
        <is>
          <t xml:space="preserve">Quality</t>
        </is>
      </c>
    </row>
    <row r="148">
      <c r="A148" s="54" t="inlineStr">
        <is>
          <t xml:space="preserve">ATM</t>
        </is>
      </c>
      <c r="B148" s="49" t="n">
        <v>46050</v>
      </c>
      <c r="C148" s="54" t="inlineStr">
        <is>
          <t xml:space="preserve">Thoracic</t>
        </is>
      </c>
      <c r="D148" s="54" t="inlineStr">
        <is>
          <t xml:space="preserve">9985 · Tech Damaged</t>
        </is>
      </c>
      <c r="E148" s="55" t="n">
        <v>2</v>
      </c>
      <c r="F148" s="54" t="inlineStr">
        <is>
          <t xml:space="preserve">Quality</t>
        </is>
      </c>
    </row>
    <row r="149">
      <c r="A149" s="54" t="inlineStr">
        <is>
          <t xml:space="preserve">ATM</t>
        </is>
      </c>
      <c r="B149" s="49" t="n">
        <v>46051</v>
      </c>
      <c r="C149" s="54" t="inlineStr">
        <is>
          <t xml:space="preserve">Thoracic</t>
        </is>
      </c>
      <c r="D149" s="54" t="inlineStr">
        <is>
          <t xml:space="preserve">1220 · Destructive Testing (eng/R&amp;D)</t>
        </is>
      </c>
      <c r="E149" s="55" t="n">
        <v>3</v>
      </c>
      <c r="F149" s="54" t="inlineStr">
        <is>
          <t xml:space="preserve">Planned</t>
        </is>
      </c>
    </row>
    <row r="150">
      <c r="A150" s="54" t="inlineStr">
        <is>
          <t xml:space="preserve">ATM</t>
        </is>
      </c>
      <c r="B150" s="49" t="n">
        <v>46051</v>
      </c>
      <c r="C150" s="54" t="inlineStr">
        <is>
          <t xml:space="preserve">Thoracic</t>
        </is>
      </c>
      <c r="D150" s="54" t="inlineStr">
        <is>
          <t xml:space="preserve">9972 · Laceration/Cut</t>
        </is>
      </c>
      <c r="E150" s="55" t="n">
        <v>1</v>
      </c>
      <c r="F150" s="54" t="inlineStr">
        <is>
          <t xml:space="preserve">Quality</t>
        </is>
      </c>
    </row>
    <row r="151">
      <c r="A151" s="54" t="inlineStr">
        <is>
          <t xml:space="preserve">ATM</t>
        </is>
      </c>
      <c r="B151" s="49" t="n">
        <v>46052</v>
      </c>
      <c r="C151" s="54" t="inlineStr">
        <is>
          <t xml:space="preserve">Thoracic</t>
        </is>
      </c>
      <c r="D151" s="54" t="inlineStr">
        <is>
          <t xml:space="preserve">7 · Others</t>
        </is>
      </c>
      <c r="E151" s="55" t="n">
        <v>1</v>
      </c>
      <c r="F151" s="54" t="inlineStr">
        <is>
          <t xml:space="preserve">Quality</t>
        </is>
      </c>
    </row>
    <row r="152">
      <c r="A152" s="54" t="inlineStr">
        <is>
          <t xml:space="preserve">ATM</t>
        </is>
      </c>
      <c r="B152" s="49" t="n">
        <v>46052</v>
      </c>
      <c r="C152" s="54" t="inlineStr">
        <is>
          <t xml:space="preserve">Thoracic</t>
        </is>
      </c>
      <c r="D152" s="54" t="inlineStr">
        <is>
          <t xml:space="preserve">9972 · Laceration/Cut</t>
        </is>
      </c>
      <c r="E152" s="55" t="n">
        <v>2</v>
      </c>
      <c r="F152" s="54" t="inlineStr">
        <is>
          <t xml:space="preserve">Quality</t>
        </is>
      </c>
    </row>
    <row r="153">
      <c r="A153" s="54" t="inlineStr">
        <is>
          <t xml:space="preserve">ATM</t>
        </is>
      </c>
      <c r="B153" s="49" t="n">
        <v>46052</v>
      </c>
      <c r="C153" s="54" t="inlineStr">
        <is>
          <t xml:space="preserve">Thoracic</t>
        </is>
      </c>
      <c r="D153" s="54" t="inlineStr">
        <is>
          <t xml:space="preserve">9973 · Out of Spec</t>
        </is>
      </c>
      <c r="E153" s="55" t="n">
        <v>2</v>
      </c>
      <c r="F153" s="54" t="inlineStr">
        <is>
          <t xml:space="preserve">Quality</t>
        </is>
      </c>
    </row>
    <row r="154">
      <c r="A154" s="54" t="inlineStr">
        <is>
          <t xml:space="preserve">ATM</t>
        </is>
      </c>
      <c r="B154" s="49" t="n">
        <v>46052</v>
      </c>
      <c r="C154" s="54" t="inlineStr">
        <is>
          <t xml:space="preserve">Pelvic</t>
        </is>
      </c>
      <c r="D154" s="54" t="inlineStr">
        <is>
          <t xml:space="preserve">9973 · Out of Spec</t>
        </is>
      </c>
      <c r="E154" s="55" t="n">
        <v>37</v>
      </c>
      <c r="F154" s="54" t="inlineStr">
        <is>
          <t xml:space="preserve">Quality</t>
        </is>
      </c>
    </row>
    <row r="155">
      <c r="A155" s="54" t="inlineStr">
        <is>
          <t xml:space="preserve">ATM</t>
        </is>
      </c>
      <c r="B155" s="49" t="n">
        <v>46055</v>
      </c>
      <c r="C155" s="54" t="inlineStr">
        <is>
          <t xml:space="preserve">Thoracic</t>
        </is>
      </c>
      <c r="D155" s="54" t="inlineStr">
        <is>
          <t xml:space="preserve">9972 · Laceration/Cut</t>
        </is>
      </c>
      <c r="E155" s="55" t="n">
        <v>3</v>
      </c>
      <c r="F155" s="54" t="inlineStr">
        <is>
          <t xml:space="preserve">Quality</t>
        </is>
      </c>
    </row>
    <row r="156">
      <c r="A156" s="54" t="inlineStr">
        <is>
          <t xml:space="preserve">ATM</t>
        </is>
      </c>
      <c r="B156" s="49" t="n">
        <v>46056</v>
      </c>
      <c r="C156" s="54" t="inlineStr">
        <is>
          <t xml:space="preserve">Thoracic</t>
        </is>
      </c>
      <c r="D156" s="54" t="inlineStr">
        <is>
          <t xml:space="preserve">9972 · Laceration/Cut</t>
        </is>
      </c>
      <c r="E156" s="55" t="n">
        <v>5</v>
      </c>
      <c r="F156" s="54" t="inlineStr">
        <is>
          <t xml:space="preserve">Quality</t>
        </is>
      </c>
    </row>
    <row r="157">
      <c r="A157" s="54" t="inlineStr">
        <is>
          <t xml:space="preserve">ATM</t>
        </is>
      </c>
      <c r="B157" s="49" t="n">
        <v>46056</v>
      </c>
      <c r="C157" s="54" t="inlineStr">
        <is>
          <t xml:space="preserve">Pelvic</t>
        </is>
      </c>
      <c r="D157" s="54" t="inlineStr">
        <is>
          <t xml:space="preserve">9973 · Out of Spec</t>
        </is>
      </c>
      <c r="E157" s="55" t="n">
        <v>21</v>
      </c>
      <c r="F157" s="54" t="inlineStr">
        <is>
          <t xml:space="preserve">Quality</t>
        </is>
      </c>
    </row>
    <row r="158">
      <c r="A158" s="54" t="inlineStr">
        <is>
          <t xml:space="preserve">ATM</t>
        </is>
      </c>
      <c r="B158" s="49" t="n">
        <v>46056</v>
      </c>
      <c r="C158" s="54" t="inlineStr">
        <is>
          <t xml:space="preserve">Thoracic</t>
        </is>
      </c>
      <c r="D158" s="54" t="inlineStr">
        <is>
          <t xml:space="preserve">9985 · Tech Damaged</t>
        </is>
      </c>
      <c r="E158" s="55" t="n">
        <v>1</v>
      </c>
      <c r="F158" s="54" t="inlineStr">
        <is>
          <t xml:space="preserve">Quality</t>
        </is>
      </c>
    </row>
    <row r="159">
      <c r="A159" s="54" t="inlineStr">
        <is>
          <t xml:space="preserve">ATM</t>
        </is>
      </c>
      <c r="B159" s="49" t="n">
        <v>46057</v>
      </c>
      <c r="C159" s="54" t="inlineStr">
        <is>
          <t xml:space="preserve">Thoracic</t>
        </is>
      </c>
      <c r="D159" s="54" t="inlineStr">
        <is>
          <t xml:space="preserve">1220 · Destructive Testing (eng/R&amp;D)</t>
        </is>
      </c>
      <c r="E159" s="55" t="n">
        <v>4</v>
      </c>
      <c r="F159" s="54" t="inlineStr">
        <is>
          <t xml:space="preserve">Planned</t>
        </is>
      </c>
    </row>
    <row r="160">
      <c r="A160" s="54" t="inlineStr">
        <is>
          <t xml:space="preserve">ATM</t>
        </is>
      </c>
      <c r="B160" s="49" t="n">
        <v>46057</v>
      </c>
      <c r="C160" s="54" t="inlineStr">
        <is>
          <t xml:space="preserve">Thoracic</t>
        </is>
      </c>
      <c r="D160" s="54" t="inlineStr">
        <is>
          <t xml:space="preserve">9972 · Laceration/Cut</t>
        </is>
      </c>
      <c r="E160" s="55" t="n">
        <v>2</v>
      </c>
      <c r="F160" s="54" t="inlineStr">
        <is>
          <t xml:space="preserve">Quality</t>
        </is>
      </c>
    </row>
    <row r="161">
      <c r="A161" s="54" t="inlineStr">
        <is>
          <t xml:space="preserve">ATM</t>
        </is>
      </c>
      <c r="B161" s="49" t="n">
        <v>46058</v>
      </c>
      <c r="C161" s="54" t="inlineStr">
        <is>
          <t xml:space="preserve">Thoracic</t>
        </is>
      </c>
      <c r="D161" s="54" t="inlineStr">
        <is>
          <t xml:space="preserve">9972 · Laceration/Cut</t>
        </is>
      </c>
      <c r="E161" s="55" t="n">
        <v>1</v>
      </c>
      <c r="F161" s="54" t="inlineStr">
        <is>
          <t xml:space="preserve">Quality</t>
        </is>
      </c>
    </row>
    <row r="162">
      <c r="A162" s="54" t="inlineStr">
        <is>
          <t xml:space="preserve">ATM</t>
        </is>
      </c>
      <c r="B162" s="49" t="n">
        <v>46063</v>
      </c>
      <c r="C162" s="54" t="inlineStr">
        <is>
          <t xml:space="preserve">Pelvic</t>
        </is>
      </c>
      <c r="D162" s="54" t="inlineStr">
        <is>
          <t xml:space="preserve">9973 · Out of Spec</t>
        </is>
      </c>
      <c r="E162" s="55" t="n">
        <v>11</v>
      </c>
      <c r="F162" s="54" t="inlineStr">
        <is>
          <t xml:space="preserve">Quality</t>
        </is>
      </c>
    </row>
    <row r="163">
      <c r="A163" s="54" t="inlineStr">
        <is>
          <t xml:space="preserve">ATM</t>
        </is>
      </c>
      <c r="B163" s="49" t="n">
        <v>46063</v>
      </c>
      <c r="C163" s="54" t="inlineStr">
        <is>
          <t xml:space="preserve">Pelvic</t>
        </is>
      </c>
      <c r="D163" s="54" t="inlineStr">
        <is>
          <t xml:space="preserve">9983 · Incorrect Dimensions</t>
        </is>
      </c>
      <c r="E163" s="55" t="n">
        <v>8</v>
      </c>
      <c r="F163" s="54" t="inlineStr">
        <is>
          <t xml:space="preserve">Quality</t>
        </is>
      </c>
    </row>
    <row r="164">
      <c r="A164" s="54" t="inlineStr">
        <is>
          <t xml:space="preserve">ATM</t>
        </is>
      </c>
      <c r="B164" s="49" t="n">
        <v>46064</v>
      </c>
      <c r="C164" s="54" t="inlineStr">
        <is>
          <t xml:space="preserve">Thoracic</t>
        </is>
      </c>
      <c r="D164" s="54" t="inlineStr">
        <is>
          <t xml:space="preserve">1220 · Destructive Testing (eng/R&amp;D)</t>
        </is>
      </c>
      <c r="E164" s="55" t="n">
        <v>6</v>
      </c>
      <c r="F164" s="54" t="inlineStr">
        <is>
          <t xml:space="preserve">Planned</t>
        </is>
      </c>
    </row>
    <row r="165">
      <c r="A165" s="54" t="inlineStr">
        <is>
          <t xml:space="preserve">ATM</t>
        </is>
      </c>
      <c r="B165" s="49" t="n">
        <v>46066</v>
      </c>
      <c r="C165" s="54" t="inlineStr">
        <is>
          <t xml:space="preserve">Thoracic</t>
        </is>
      </c>
      <c r="D165" s="54" t="inlineStr">
        <is>
          <t xml:space="preserve">1220 · Destructive Testing (eng/R&amp;D)</t>
        </is>
      </c>
      <c r="E165" s="55" t="n">
        <v>20</v>
      </c>
      <c r="F165" s="54" t="inlineStr">
        <is>
          <t xml:space="preserve">Planned</t>
        </is>
      </c>
    </row>
    <row r="166">
      <c r="A166" s="54" t="inlineStr">
        <is>
          <t xml:space="preserve">ATM</t>
        </is>
      </c>
      <c r="B166" s="49" t="n">
        <v>46072</v>
      </c>
      <c r="C166" s="54" t="inlineStr">
        <is>
          <t xml:space="preserve">Pelvic</t>
        </is>
      </c>
      <c r="D166" s="54" t="inlineStr">
        <is>
          <t xml:space="preserve">9972 · Laceration/Cut</t>
        </is>
      </c>
      <c r="E166" s="55" t="n">
        <v>16</v>
      </c>
      <c r="F166" s="54" t="inlineStr">
        <is>
          <t xml:space="preserve">Quality</t>
        </is>
      </c>
    </row>
    <row r="167">
      <c r="A167" s="54" t="inlineStr">
        <is>
          <t xml:space="preserve">ATM</t>
        </is>
      </c>
      <c r="B167" s="49" t="n">
        <v>46072</v>
      </c>
      <c r="C167" s="54" t="inlineStr">
        <is>
          <t xml:space="preserve">Pelvic</t>
        </is>
      </c>
      <c r="D167" s="54" t="inlineStr">
        <is>
          <t xml:space="preserve">9976 · Spoilage</t>
        </is>
      </c>
      <c r="E167" s="55" t="n">
        <v>3</v>
      </c>
      <c r="F167" s="54" t="inlineStr">
        <is>
          <t xml:space="preserve">Quality</t>
        </is>
      </c>
    </row>
    <row r="168">
      <c r="A168" s="54" t="inlineStr">
        <is>
          <t xml:space="preserve">ATM</t>
        </is>
      </c>
      <c r="B168" s="49" t="n">
        <v>46072</v>
      </c>
      <c r="C168" s="54" t="inlineStr">
        <is>
          <t xml:space="preserve">Pelvic</t>
        </is>
      </c>
      <c r="D168" s="54" t="inlineStr">
        <is>
          <t xml:space="preserve">9983 · Incorrect Dimensions</t>
        </is>
      </c>
      <c r="E168" s="55" t="n">
        <v>15</v>
      </c>
      <c r="F168" s="54" t="inlineStr">
        <is>
          <t xml:space="preserve">Quality</t>
        </is>
      </c>
    </row>
    <row r="169">
      <c r="A169" s="54" t="inlineStr">
        <is>
          <t xml:space="preserve">ATM</t>
        </is>
      </c>
      <c r="B169" s="49" t="n">
        <v>46076</v>
      </c>
      <c r="C169" s="54" t="inlineStr">
        <is>
          <t xml:space="preserve">Thoracic</t>
        </is>
      </c>
      <c r="D169" s="54" t="inlineStr">
        <is>
          <t xml:space="preserve">9972 · Laceration/Cut</t>
        </is>
      </c>
      <c r="E169" s="55" t="n">
        <v>4</v>
      </c>
      <c r="F169" s="54" t="inlineStr">
        <is>
          <t xml:space="preserve">Quality</t>
        </is>
      </c>
    </row>
    <row r="170">
      <c r="A170" s="54" t="inlineStr">
        <is>
          <t xml:space="preserve">ATM</t>
        </is>
      </c>
      <c r="B170" s="49" t="n">
        <v>46077</v>
      </c>
      <c r="C170" s="54" t="inlineStr">
        <is>
          <t xml:space="preserve">Thoracic</t>
        </is>
      </c>
      <c r="D170" s="54" t="inlineStr">
        <is>
          <t xml:space="preserve">1220 · Destructive Testing (eng/R&amp;D)</t>
        </is>
      </c>
      <c r="E170" s="55" t="n">
        <v>28</v>
      </c>
      <c r="F170" s="54" t="inlineStr">
        <is>
          <t xml:space="preserve">Planned</t>
        </is>
      </c>
    </row>
    <row r="171">
      <c r="A171" s="54" t="inlineStr">
        <is>
          <t xml:space="preserve">ATM</t>
        </is>
      </c>
      <c r="B171" s="49" t="n">
        <v>46077</v>
      </c>
      <c r="C171" s="54" t="inlineStr">
        <is>
          <t xml:space="preserve">Thoracic</t>
        </is>
      </c>
      <c r="D171" s="54" t="inlineStr">
        <is>
          <t xml:space="preserve">9972 · Laceration/Cut</t>
        </is>
      </c>
      <c r="E171" s="55" t="n">
        <v>1</v>
      </c>
      <c r="F171" s="54" t="inlineStr">
        <is>
          <t xml:space="preserve">Quality</t>
        </is>
      </c>
    </row>
    <row r="172">
      <c r="A172" s="54" t="inlineStr">
        <is>
          <t xml:space="preserve">ATM</t>
        </is>
      </c>
      <c r="B172" s="49" t="n">
        <v>46077</v>
      </c>
      <c r="C172" s="54" t="inlineStr">
        <is>
          <t xml:space="preserve">Thoracic</t>
        </is>
      </c>
      <c r="D172" s="54" t="inlineStr">
        <is>
          <t xml:space="preserve">9985 · Tech Damaged</t>
        </is>
      </c>
      <c r="E172" s="55" t="n">
        <v>2</v>
      </c>
      <c r="F172" s="54" t="inlineStr">
        <is>
          <t xml:space="preserve">Quality</t>
        </is>
      </c>
    </row>
    <row r="173">
      <c r="A173" s="54" t="inlineStr">
        <is>
          <t xml:space="preserve">ATM</t>
        </is>
      </c>
      <c r="B173" s="49" t="n">
        <v>46079</v>
      </c>
      <c r="C173" s="54" t="inlineStr">
        <is>
          <t xml:space="preserve">Thoracic</t>
        </is>
      </c>
      <c r="D173" s="54" t="inlineStr">
        <is>
          <t xml:space="preserve">1220 · Destructive Testing (eng/R&amp;D)</t>
        </is>
      </c>
      <c r="E173" s="55" t="n">
        <v>3</v>
      </c>
      <c r="F173" s="54" t="inlineStr">
        <is>
          <t xml:space="preserve">Planned</t>
        </is>
      </c>
    </row>
    <row r="174">
      <c r="A174" s="54" t="inlineStr">
        <is>
          <t xml:space="preserve">ATM</t>
        </is>
      </c>
      <c r="B174" s="49" t="n">
        <v>46079</v>
      </c>
      <c r="C174" s="54" t="inlineStr">
        <is>
          <t xml:space="preserve">Pelvic</t>
        </is>
      </c>
      <c r="D174" s="54" t="inlineStr">
        <is>
          <t xml:space="preserve">9972 · Laceration/Cut</t>
        </is>
      </c>
      <c r="E174" s="55" t="n">
        <v>28</v>
      </c>
      <c r="F174" s="54" t="inlineStr">
        <is>
          <t xml:space="preserve">Quality</t>
        </is>
      </c>
    </row>
    <row r="175">
      <c r="A175" s="54" t="inlineStr">
        <is>
          <t xml:space="preserve">ATM</t>
        </is>
      </c>
      <c r="B175" s="49" t="n">
        <v>46079</v>
      </c>
      <c r="C175" s="54" t="inlineStr">
        <is>
          <t xml:space="preserve">Pelvic</t>
        </is>
      </c>
      <c r="D175" s="54" t="inlineStr">
        <is>
          <t xml:space="preserve">9973 · Out of Spec</t>
        </is>
      </c>
      <c r="E175" s="55" t="n">
        <v>16</v>
      </c>
      <c r="F175" s="54" t="inlineStr">
        <is>
          <t xml:space="preserve">Quality</t>
        </is>
      </c>
    </row>
    <row r="176">
      <c r="A176" s="54" t="inlineStr">
        <is>
          <t xml:space="preserve">ATM</t>
        </is>
      </c>
      <c r="B176" s="49" t="n">
        <v>46080</v>
      </c>
      <c r="C176" s="54" t="inlineStr">
        <is>
          <t xml:space="preserve">Thoracic</t>
        </is>
      </c>
      <c r="D176" s="54" t="inlineStr">
        <is>
          <t xml:space="preserve">9972 · Laceration/Cut</t>
        </is>
      </c>
      <c r="E176" s="55" t="n">
        <v>28</v>
      </c>
      <c r="F176" s="54" t="inlineStr">
        <is>
          <t xml:space="preserve">Quality</t>
        </is>
      </c>
    </row>
    <row r="177">
      <c r="A177" s="54" t="inlineStr">
        <is>
          <t xml:space="preserve">ATM</t>
        </is>
      </c>
      <c r="B177" s="49" t="n">
        <v>46080</v>
      </c>
      <c r="C177" s="54" t="inlineStr">
        <is>
          <t xml:space="preserve">Thoracic</t>
        </is>
      </c>
      <c r="D177" s="54" t="inlineStr">
        <is>
          <t xml:space="preserve">9985 · Tech Damaged</t>
        </is>
      </c>
      <c r="E177" s="55" t="n">
        <v>2</v>
      </c>
      <c r="F177" s="54" t="inlineStr">
        <is>
          <t xml:space="preserve">Quality</t>
        </is>
      </c>
    </row>
    <row r="178">
      <c r="A178" s="54" t="inlineStr">
        <is>
          <t xml:space="preserve">ATM</t>
        </is>
      </c>
      <c r="B178" s="49" t="n">
        <v>46083</v>
      </c>
      <c r="C178" s="54" t="inlineStr">
        <is>
          <t xml:space="preserve">Thoracic</t>
        </is>
      </c>
      <c r="D178" s="54" t="inlineStr">
        <is>
          <t xml:space="preserve">9972 · Laceration/Cut</t>
        </is>
      </c>
      <c r="E178" s="55" t="n">
        <v>5</v>
      </c>
      <c r="F178" s="54" t="inlineStr">
        <is>
          <t xml:space="preserve">Quality</t>
        </is>
      </c>
    </row>
    <row r="179">
      <c r="A179" s="54" t="inlineStr">
        <is>
          <t xml:space="preserve">ATM</t>
        </is>
      </c>
      <c r="B179" s="49" t="n">
        <v>46084</v>
      </c>
      <c r="C179" s="54" t="inlineStr">
        <is>
          <t xml:space="preserve">Thoracic</t>
        </is>
      </c>
      <c r="D179" s="54" t="inlineStr">
        <is>
          <t xml:space="preserve">9972 · Laceration/Cut</t>
        </is>
      </c>
      <c r="E179" s="55" t="n">
        <v>7</v>
      </c>
      <c r="F179" s="54" t="inlineStr">
        <is>
          <t xml:space="preserve">Quality</t>
        </is>
      </c>
    </row>
    <row r="180">
      <c r="A180" s="54" t="inlineStr">
        <is>
          <t xml:space="preserve">ATM</t>
        </is>
      </c>
      <c r="B180" s="49" t="n">
        <v>46084</v>
      </c>
      <c r="C180" s="54" t="inlineStr">
        <is>
          <t xml:space="preserve">Thoracic</t>
        </is>
      </c>
      <c r="D180" s="54" t="inlineStr">
        <is>
          <t xml:space="preserve">9985 · Tech Damaged</t>
        </is>
      </c>
      <c r="E180" s="55" t="n">
        <v>2</v>
      </c>
      <c r="F180" s="54" t="inlineStr">
        <is>
          <t xml:space="preserve">Quality</t>
        </is>
      </c>
    </row>
    <row r="181">
      <c r="A181" s="54" t="inlineStr">
        <is>
          <t xml:space="preserve">ATM</t>
        </is>
      </c>
      <c r="B181" s="49" t="n">
        <v>46084</v>
      </c>
      <c r="C181" s="54" t="inlineStr">
        <is>
          <t xml:space="preserve">Pelvic</t>
        </is>
      </c>
      <c r="D181" s="54" t="inlineStr">
        <is>
          <t xml:space="preserve">9986 · Bladder Length</t>
        </is>
      </c>
      <c r="E181" s="55" t="n">
        <v>7</v>
      </c>
      <c r="F181" s="54" t="inlineStr">
        <is>
          <t xml:space="preserve">Quality</t>
        </is>
      </c>
    </row>
    <row r="182">
      <c r="A182" s="54" t="inlineStr">
        <is>
          <t xml:space="preserve">ATM</t>
        </is>
      </c>
      <c r="B182" s="49" t="n">
        <v>46084</v>
      </c>
      <c r="C182" s="54" t="inlineStr">
        <is>
          <t xml:space="preserve">Pelvic</t>
        </is>
      </c>
      <c r="D182" s="54" t="inlineStr">
        <is>
          <t xml:space="preserve">9987 · Blood Clots</t>
        </is>
      </c>
      <c r="E182" s="55" t="n">
        <v>2</v>
      </c>
      <c r="F182" s="54" t="inlineStr">
        <is>
          <t xml:space="preserve">Quality</t>
        </is>
      </c>
    </row>
    <row r="183">
      <c r="A183" s="54" t="inlineStr">
        <is>
          <t xml:space="preserve">ATM</t>
        </is>
      </c>
      <c r="B183" s="49" t="n">
        <v>46084</v>
      </c>
      <c r="C183" s="54" t="inlineStr">
        <is>
          <t xml:space="preserve">Pelvic</t>
        </is>
      </c>
      <c r="D183" s="54" t="inlineStr">
        <is>
          <t xml:space="preserve">9995 · Received Damage</t>
        </is>
      </c>
      <c r="E183" s="55" t="n">
        <v>15</v>
      </c>
      <c r="F183" s="54" t="inlineStr">
        <is>
          <t xml:space="preserve">Quality</t>
        </is>
      </c>
    </row>
    <row r="184">
      <c r="A184" s="54" t="inlineStr">
        <is>
          <t xml:space="preserve">ATM</t>
        </is>
      </c>
      <c r="B184" s="49" t="n">
        <v>46085</v>
      </c>
      <c r="C184" s="54" t="inlineStr">
        <is>
          <t xml:space="preserve">Thoracic</t>
        </is>
      </c>
      <c r="D184" s="54" t="inlineStr">
        <is>
          <t xml:space="preserve">9972 · Laceration/Cut</t>
        </is>
      </c>
      <c r="E184" s="55" t="n">
        <v>2</v>
      </c>
      <c r="F184" s="54" t="inlineStr">
        <is>
          <t xml:space="preserve">Quality</t>
        </is>
      </c>
    </row>
    <row r="185">
      <c r="A185" s="54" t="inlineStr">
        <is>
          <t xml:space="preserve">ATM</t>
        </is>
      </c>
      <c r="B185" s="49" t="n">
        <v>46090</v>
      </c>
      <c r="C185" s="54" t="inlineStr">
        <is>
          <t xml:space="preserve">Thoracic</t>
        </is>
      </c>
      <c r="D185" s="54" t="inlineStr">
        <is>
          <t xml:space="preserve">9972 · Laceration/Cut</t>
        </is>
      </c>
      <c r="E185" s="55" t="n">
        <v>6</v>
      </c>
      <c r="F185" s="54" t="inlineStr">
        <is>
          <t xml:space="preserve">Quality</t>
        </is>
      </c>
    </row>
    <row r="186">
      <c r="A186" s="54" t="inlineStr">
        <is>
          <t xml:space="preserve">ATM</t>
        </is>
      </c>
      <c r="B186" s="49" t="n">
        <v>46091</v>
      </c>
      <c r="C186" s="54" t="inlineStr">
        <is>
          <t xml:space="preserve">Thoracic</t>
        </is>
      </c>
      <c r="D186" s="54" t="inlineStr">
        <is>
          <t xml:space="preserve">9972 · Laceration/Cut</t>
        </is>
      </c>
      <c r="E186" s="55" t="n">
        <v>1</v>
      </c>
      <c r="F186" s="54" t="inlineStr">
        <is>
          <t xml:space="preserve">Quality</t>
        </is>
      </c>
    </row>
    <row r="187">
      <c r="A187" s="54" t="inlineStr">
        <is>
          <t xml:space="preserve">ATM</t>
        </is>
      </c>
      <c r="B187" s="49" t="n">
        <v>46091</v>
      </c>
      <c r="C187" s="54" t="inlineStr">
        <is>
          <t xml:space="preserve">Pelvic</t>
        </is>
      </c>
      <c r="D187" s="54" t="inlineStr">
        <is>
          <t xml:space="preserve">9972 · Laceration/Cut</t>
        </is>
      </c>
      <c r="E187" s="55" t="n">
        <v>13</v>
      </c>
      <c r="F187" s="54" t="inlineStr">
        <is>
          <t xml:space="preserve">Quality</t>
        </is>
      </c>
    </row>
    <row r="188">
      <c r="A188" s="54" t="inlineStr">
        <is>
          <t xml:space="preserve">ATM</t>
        </is>
      </c>
      <c r="B188" s="49" t="n">
        <v>46091</v>
      </c>
      <c r="C188" s="54" t="inlineStr">
        <is>
          <t xml:space="preserve">Thoracic</t>
        </is>
      </c>
      <c r="D188" s="54" t="inlineStr">
        <is>
          <t xml:space="preserve">9985 · Tech Damaged</t>
        </is>
      </c>
      <c r="E188" s="55" t="n">
        <v>2</v>
      </c>
      <c r="F188" s="54" t="inlineStr">
        <is>
          <t xml:space="preserve">Quality</t>
        </is>
      </c>
    </row>
    <row r="189">
      <c r="A189" s="54" t="inlineStr">
        <is>
          <t xml:space="preserve">ATM</t>
        </is>
      </c>
      <c r="B189" s="49" t="n">
        <v>46091</v>
      </c>
      <c r="C189" s="54" t="inlineStr">
        <is>
          <t xml:space="preserve">Pelvic</t>
        </is>
      </c>
      <c r="D189" s="54" t="inlineStr">
        <is>
          <t xml:space="preserve">9986 · Bladder Length</t>
        </is>
      </c>
      <c r="E189" s="55" t="n">
        <v>9</v>
      </c>
      <c r="F189" s="54" t="inlineStr">
        <is>
          <t xml:space="preserve">Quality</t>
        </is>
      </c>
    </row>
    <row r="190">
      <c r="A190" s="54" t="inlineStr">
        <is>
          <t xml:space="preserve">ATM</t>
        </is>
      </c>
      <c r="B190" s="49" t="n">
        <v>46091</v>
      </c>
      <c r="C190" s="54" t="inlineStr">
        <is>
          <t xml:space="preserve">Pelvic</t>
        </is>
      </c>
      <c r="D190" s="54" t="inlineStr">
        <is>
          <t xml:space="preserve">9987 · Blood Clots</t>
        </is>
      </c>
      <c r="E190" s="55" t="n">
        <v>9</v>
      </c>
      <c r="F190" s="54" t="inlineStr">
        <is>
          <t xml:space="preserve">Quality</t>
        </is>
      </c>
    </row>
    <row r="191">
      <c r="A191" s="54" t="inlineStr">
        <is>
          <t xml:space="preserve">ATM</t>
        </is>
      </c>
      <c r="B191" s="49" t="n">
        <v>46091</v>
      </c>
      <c r="C191" s="54" t="inlineStr">
        <is>
          <t xml:space="preserve">Pelvic</t>
        </is>
      </c>
      <c r="D191" s="54" t="inlineStr">
        <is>
          <t xml:space="preserve">9995 · Received Damage</t>
        </is>
      </c>
      <c r="E191" s="55" t="n">
        <v>6</v>
      </c>
      <c r="F191" s="54" t="inlineStr">
        <is>
          <t xml:space="preserve">Quality</t>
        </is>
      </c>
    </row>
    <row r="192">
      <c r="A192" s="54" t="inlineStr">
        <is>
          <t xml:space="preserve">ATM</t>
        </is>
      </c>
      <c r="B192" s="49" t="n">
        <v>46094</v>
      </c>
      <c r="C192" s="54" t="inlineStr">
        <is>
          <t xml:space="preserve">Thoracic</t>
        </is>
      </c>
      <c r="D192" s="54" t="inlineStr">
        <is>
          <t xml:space="preserve">9972 · Laceration/Cut</t>
        </is>
      </c>
      <c r="E192" s="55" t="n">
        <v>6</v>
      </c>
      <c r="F192" s="54" t="inlineStr">
        <is>
          <t xml:space="preserve">Quality</t>
        </is>
      </c>
    </row>
    <row r="193">
      <c r="A193" s="54" t="inlineStr">
        <is>
          <t xml:space="preserve">ATM</t>
        </is>
      </c>
      <c r="B193" s="49" t="n">
        <v>46098</v>
      </c>
      <c r="C193" s="54" t="inlineStr">
        <is>
          <t xml:space="preserve">Thoracic</t>
        </is>
      </c>
      <c r="D193" s="54" t="inlineStr">
        <is>
          <t xml:space="preserve">7 · Others</t>
        </is>
      </c>
      <c r="E193" s="55" t="n">
        <v>16</v>
      </c>
      <c r="F193" s="54" t="inlineStr">
        <is>
          <t xml:space="preserve">Quality</t>
        </is>
      </c>
    </row>
    <row r="194">
      <c r="A194" s="54" t="inlineStr">
        <is>
          <t xml:space="preserve">ATM</t>
        </is>
      </c>
      <c r="B194" s="49" t="n">
        <v>46098</v>
      </c>
      <c r="C194" s="54" t="inlineStr">
        <is>
          <t xml:space="preserve">Thoracic</t>
        </is>
      </c>
      <c r="D194" s="54" t="inlineStr">
        <is>
          <t xml:space="preserve">9972 · Laceration/Cut</t>
        </is>
      </c>
      <c r="E194" s="55" t="n">
        <v>30</v>
      </c>
      <c r="F194" s="54" t="inlineStr">
        <is>
          <t xml:space="preserve">Quality</t>
        </is>
      </c>
    </row>
    <row r="195">
      <c r="A195" s="54" t="inlineStr">
        <is>
          <t xml:space="preserve">ATM</t>
        </is>
      </c>
      <c r="B195" s="49" t="n">
        <v>46099</v>
      </c>
      <c r="C195" s="54" t="inlineStr">
        <is>
          <t xml:space="preserve">Thoracic</t>
        </is>
      </c>
      <c r="D195" s="54" t="inlineStr">
        <is>
          <t xml:space="preserve">1220 · Destructive Testing (eng/R&amp;D)</t>
        </is>
      </c>
      <c r="E195" s="55" t="n">
        <v>3</v>
      </c>
      <c r="F195" s="54" t="inlineStr">
        <is>
          <t xml:space="preserve">Planned</t>
        </is>
      </c>
    </row>
    <row r="196">
      <c r="A196" s="54" t="inlineStr">
        <is>
          <t xml:space="preserve">ATM</t>
        </is>
      </c>
      <c r="B196" s="49" t="n">
        <v>46099</v>
      </c>
      <c r="C196" s="54" t="inlineStr">
        <is>
          <t xml:space="preserve">Thoracic</t>
        </is>
      </c>
      <c r="D196" s="54" t="inlineStr">
        <is>
          <t xml:space="preserve">9972 · Laceration/Cut</t>
        </is>
      </c>
      <c r="E196" s="55" t="n">
        <v>1</v>
      </c>
      <c r="F196" s="54" t="inlineStr">
        <is>
          <t xml:space="preserve">Quality</t>
        </is>
      </c>
    </row>
    <row r="197">
      <c r="A197" s="54" t="inlineStr">
        <is>
          <t xml:space="preserve">ATM</t>
        </is>
      </c>
      <c r="B197" s="49" t="n">
        <v>46099</v>
      </c>
      <c r="C197" s="54" t="inlineStr">
        <is>
          <t xml:space="preserve">Pelvic</t>
        </is>
      </c>
      <c r="D197" s="54" t="inlineStr">
        <is>
          <t xml:space="preserve">9972 · Laceration/Cut</t>
        </is>
      </c>
      <c r="E197" s="55" t="n">
        <v>23</v>
      </c>
      <c r="F197" s="54" t="inlineStr">
        <is>
          <t xml:space="preserve">Quality</t>
        </is>
      </c>
    </row>
    <row r="198">
      <c r="A198" s="54" t="inlineStr">
        <is>
          <t xml:space="preserve">ATM</t>
        </is>
      </c>
      <c r="B198" s="49" t="n">
        <v>46099</v>
      </c>
      <c r="C198" s="54" t="inlineStr">
        <is>
          <t xml:space="preserve">Pelvic</t>
        </is>
      </c>
      <c r="D198" s="54" t="inlineStr">
        <is>
          <t xml:space="preserve">9987 · Blood Clots</t>
        </is>
      </c>
      <c r="E198" s="55" t="n">
        <v>3</v>
      </c>
      <c r="F198" s="54" t="inlineStr">
        <is>
          <t xml:space="preserve">Quality</t>
        </is>
      </c>
    </row>
    <row r="199">
      <c r="A199" s="54" t="inlineStr">
        <is>
          <t xml:space="preserve">ATM</t>
        </is>
      </c>
      <c r="B199" s="49" t="n">
        <v>46100</v>
      </c>
      <c r="C199" s="54" t="inlineStr">
        <is>
          <t xml:space="preserve">Thoracic</t>
        </is>
      </c>
      <c r="D199" s="54" t="inlineStr">
        <is>
          <t xml:space="preserve">9972 · Laceration/Cut</t>
        </is>
      </c>
      <c r="E199" s="55" t="n">
        <v>2</v>
      </c>
      <c r="F199" s="54" t="inlineStr">
        <is>
          <t xml:space="preserve">Quality</t>
        </is>
      </c>
    </row>
    <row r="200">
      <c r="A200" s="54" t="inlineStr">
        <is>
          <t xml:space="preserve">ATM</t>
        </is>
      </c>
      <c r="B200" s="49" t="n">
        <v>46101</v>
      </c>
      <c r="C200" s="54" t="inlineStr">
        <is>
          <t xml:space="preserve">Thoracic</t>
        </is>
      </c>
      <c r="D200" s="54" t="inlineStr">
        <is>
          <t xml:space="preserve">9972 · Laceration/Cut</t>
        </is>
      </c>
      <c r="E200" s="55" t="n">
        <v>1</v>
      </c>
      <c r="F200" s="54" t="inlineStr">
        <is>
          <t xml:space="preserve">Quality</t>
        </is>
      </c>
    </row>
    <row r="201">
      <c r="A201" s="54" t="inlineStr">
        <is>
          <t xml:space="preserve">ATM</t>
        </is>
      </c>
      <c r="B201" s="49" t="n">
        <v>46104</v>
      </c>
      <c r="C201" s="54" t="inlineStr">
        <is>
          <t xml:space="preserve">Thoracic</t>
        </is>
      </c>
      <c r="D201" s="54" t="inlineStr">
        <is>
          <t xml:space="preserve">1220 · Destructive Testing (eng/R&amp;D)</t>
        </is>
      </c>
      <c r="E201" s="55" t="n">
        <v>15</v>
      </c>
      <c r="F201" s="54" t="inlineStr">
        <is>
          <t xml:space="preserve">Planned</t>
        </is>
      </c>
    </row>
    <row r="202">
      <c r="A202" s="54" t="inlineStr">
        <is>
          <t xml:space="preserve">ATM</t>
        </is>
      </c>
      <c r="B202" s="49" t="n">
        <v>46104</v>
      </c>
      <c r="C202" s="54" t="inlineStr">
        <is>
          <t xml:space="preserve">Thoracic</t>
        </is>
      </c>
      <c r="D202" s="54" t="inlineStr">
        <is>
          <t xml:space="preserve">9972 · Laceration/Cut</t>
        </is>
      </c>
      <c r="E202" s="55" t="n">
        <v>6</v>
      </c>
      <c r="F202" s="54" t="inlineStr">
        <is>
          <t xml:space="preserve">Quality</t>
        </is>
      </c>
    </row>
    <row r="203">
      <c r="A203" s="54" t="inlineStr">
        <is>
          <t xml:space="preserve">ATM</t>
        </is>
      </c>
      <c r="B203" s="49" t="n">
        <v>46107</v>
      </c>
      <c r="C203" s="54" t="inlineStr">
        <is>
          <t xml:space="preserve">Pelvic</t>
        </is>
      </c>
      <c r="D203" s="54" t="inlineStr">
        <is>
          <t xml:space="preserve">9972 · Laceration/Cut</t>
        </is>
      </c>
      <c r="E203" s="55" t="n">
        <v>31</v>
      </c>
      <c r="F203" s="54" t="inlineStr">
        <is>
          <t xml:space="preserve">Quality</t>
        </is>
      </c>
    </row>
    <row r="204">
      <c r="A204" s="54" t="inlineStr">
        <is>
          <t xml:space="preserve">ATM</t>
        </is>
      </c>
      <c r="B204" s="49" t="n">
        <v>46107</v>
      </c>
      <c r="C204" s="54" t="inlineStr">
        <is>
          <t xml:space="preserve">Pelvic</t>
        </is>
      </c>
      <c r="D204" s="54" t="inlineStr">
        <is>
          <t xml:space="preserve">9987 · Blood Clots</t>
        </is>
      </c>
      <c r="E204" s="55" t="n">
        <v>2</v>
      </c>
      <c r="F204" s="54" t="inlineStr">
        <is>
          <t xml:space="preserve">Quality</t>
        </is>
      </c>
    </row>
    <row r="205">
      <c r="A205" s="54" t="inlineStr">
        <is>
          <t xml:space="preserve">ATM</t>
        </is>
      </c>
      <c r="B205" s="49" t="n">
        <v>46108</v>
      </c>
      <c r="C205" s="54" t="inlineStr">
        <is>
          <t xml:space="preserve">Thoracic</t>
        </is>
      </c>
      <c r="D205" s="54" t="inlineStr">
        <is>
          <t xml:space="preserve">1220 · Destructive Testing (eng/R&amp;D)</t>
        </is>
      </c>
      <c r="E205" s="55" t="n">
        <v>12</v>
      </c>
      <c r="F205" s="54" t="inlineStr">
        <is>
          <t xml:space="preserve">Planned</t>
        </is>
      </c>
    </row>
    <row r="206">
      <c r="A206" s="54" t="inlineStr">
        <is>
          <t xml:space="preserve">ATM</t>
        </is>
      </c>
      <c r="B206" s="49" t="n">
        <v>46111</v>
      </c>
      <c r="C206" s="54" t="inlineStr">
        <is>
          <t xml:space="preserve">Thoracic</t>
        </is>
      </c>
      <c r="D206" s="54" t="inlineStr">
        <is>
          <t xml:space="preserve">9972 · Laceration/Cut</t>
        </is>
      </c>
      <c r="E206" s="55" t="n">
        <v>9</v>
      </c>
      <c r="F206" s="54" t="inlineStr">
        <is>
          <t xml:space="preserve">Quality</t>
        </is>
      </c>
    </row>
    <row r="207">
      <c r="A207" s="54" t="inlineStr">
        <is>
          <t xml:space="preserve">ATM</t>
        </is>
      </c>
      <c r="B207" s="49" t="n">
        <v>46112</v>
      </c>
      <c r="C207" s="54" t="inlineStr">
        <is>
          <t xml:space="preserve">Thoracic</t>
        </is>
      </c>
      <c r="D207" s="54" t="inlineStr">
        <is>
          <t xml:space="preserve">9972 · Laceration/Cut</t>
        </is>
      </c>
      <c r="E207" s="55" t="n">
        <v>5</v>
      </c>
      <c r="F207" s="54" t="inlineStr">
        <is>
          <t xml:space="preserve">Quality</t>
        </is>
      </c>
    </row>
    <row r="208">
      <c r="A208" s="54" t="inlineStr">
        <is>
          <t xml:space="preserve">ATM</t>
        </is>
      </c>
      <c r="B208" s="49" t="n">
        <v>46113</v>
      </c>
      <c r="C208" s="54" t="inlineStr">
        <is>
          <t xml:space="preserve">Pelvic</t>
        </is>
      </c>
      <c r="D208" s="54" t="inlineStr">
        <is>
          <t xml:space="preserve">9972 · Laceration/Cut</t>
        </is>
      </c>
      <c r="E208" s="55" t="n">
        <v>16</v>
      </c>
      <c r="F208" s="54" t="inlineStr">
        <is>
          <t xml:space="preserve">Quality</t>
        </is>
      </c>
    </row>
    <row r="209">
      <c r="A209" s="54" t="inlineStr">
        <is>
          <t xml:space="preserve">ATM</t>
        </is>
      </c>
      <c r="B209" s="49" t="n">
        <v>46113</v>
      </c>
      <c r="C209" s="54" t="inlineStr">
        <is>
          <t xml:space="preserve">Pelvic</t>
        </is>
      </c>
      <c r="D209" s="54" t="inlineStr">
        <is>
          <t xml:space="preserve">9987 · Blood Clots</t>
        </is>
      </c>
      <c r="E209" s="55" t="n">
        <v>3</v>
      </c>
      <c r="F209" s="54" t="inlineStr">
        <is>
          <t xml:space="preserve">Quality</t>
        </is>
      </c>
    </row>
    <row r="210">
      <c r="A210" s="54" t="inlineStr">
        <is>
          <t xml:space="preserve">ATM</t>
        </is>
      </c>
      <c r="B210" s="49" t="n">
        <v>46114</v>
      </c>
      <c r="C210" s="54" t="inlineStr">
        <is>
          <t xml:space="preserve">Thoracic</t>
        </is>
      </c>
      <c r="D210" s="54" t="inlineStr">
        <is>
          <t xml:space="preserve">9972 · Laceration/Cut</t>
        </is>
      </c>
      <c r="E210" s="55" t="n">
        <v>3</v>
      </c>
      <c r="F210" s="54" t="inlineStr">
        <is>
          <t xml:space="preserve">Quality</t>
        </is>
      </c>
    </row>
    <row r="211">
      <c r="A211" s="54" t="inlineStr">
        <is>
          <t xml:space="preserve">ATM</t>
        </is>
      </c>
      <c r="B211" s="49" t="n">
        <v>46115</v>
      </c>
      <c r="C211" s="54" t="inlineStr">
        <is>
          <t xml:space="preserve">Thoracic</t>
        </is>
      </c>
      <c r="D211" s="54" t="inlineStr">
        <is>
          <t xml:space="preserve">1220 · Destructive Testing (eng/R&amp;D)</t>
        </is>
      </c>
      <c r="E211" s="55" t="n">
        <v>3</v>
      </c>
      <c r="F211" s="54" t="inlineStr">
        <is>
          <t xml:space="preserve">Planned</t>
        </is>
      </c>
    </row>
    <row r="212">
      <c r="A212" s="54" t="inlineStr">
        <is>
          <t xml:space="preserve">ATM</t>
        </is>
      </c>
      <c r="B212" s="49" t="n">
        <v>46119</v>
      </c>
      <c r="C212" s="54" t="inlineStr">
        <is>
          <t xml:space="preserve">Thoracic</t>
        </is>
      </c>
      <c r="D212" s="54" t="inlineStr">
        <is>
          <t xml:space="preserve">1220 · Destructive Testing (eng/R&amp;D)</t>
        </is>
      </c>
      <c r="E212" s="55" t="n">
        <v>6</v>
      </c>
      <c r="F212" s="54" t="inlineStr">
        <is>
          <t xml:space="preserve">Planned</t>
        </is>
      </c>
    </row>
    <row r="213">
      <c r="A213" s="54" t="inlineStr">
        <is>
          <t xml:space="preserve">ATM</t>
        </is>
      </c>
      <c r="B213" s="49" t="n">
        <v>46119</v>
      </c>
      <c r="C213" s="54" t="inlineStr">
        <is>
          <t xml:space="preserve">Thoracic</t>
        </is>
      </c>
      <c r="D213" s="54" t="inlineStr">
        <is>
          <t xml:space="preserve">9972 · Laceration/Cut</t>
        </is>
      </c>
      <c r="E213" s="55" t="n">
        <v>7</v>
      </c>
      <c r="F213" s="54" t="inlineStr">
        <is>
          <t xml:space="preserve">Quality</t>
        </is>
      </c>
    </row>
    <row r="214">
      <c r="A214" s="54" t="inlineStr">
        <is>
          <t xml:space="preserve">ATM</t>
        </is>
      </c>
      <c r="B214" s="49" t="n">
        <v>46120</v>
      </c>
      <c r="C214" s="54" t="inlineStr">
        <is>
          <t xml:space="preserve">Pelvic</t>
        </is>
      </c>
      <c r="D214" s="54" t="inlineStr">
        <is>
          <t xml:space="preserve">9972 · Laceration/Cut</t>
        </is>
      </c>
      <c r="E214" s="55" t="n">
        <v>17</v>
      </c>
      <c r="F214" s="54" t="inlineStr">
        <is>
          <t xml:space="preserve">Quality</t>
        </is>
      </c>
    </row>
    <row r="215">
      <c r="A215" s="54" t="inlineStr">
        <is>
          <t xml:space="preserve">ATM</t>
        </is>
      </c>
      <c r="B215" s="49" t="n">
        <v>46120</v>
      </c>
      <c r="C215" s="54" t="inlineStr">
        <is>
          <t xml:space="preserve">Pelvic</t>
        </is>
      </c>
      <c r="D215" s="54" t="inlineStr">
        <is>
          <t xml:space="preserve">9976 · Spoilage</t>
        </is>
      </c>
      <c r="E215" s="55" t="n">
        <v>1</v>
      </c>
      <c r="F215" s="54" t="inlineStr">
        <is>
          <t xml:space="preserve">Quality</t>
        </is>
      </c>
    </row>
    <row r="216">
      <c r="A216" s="54" t="inlineStr">
        <is>
          <t xml:space="preserve">ATM</t>
        </is>
      </c>
      <c r="B216" s="49" t="n">
        <v>46120</v>
      </c>
      <c r="C216" s="54" t="inlineStr">
        <is>
          <t xml:space="preserve">Pelvic</t>
        </is>
      </c>
      <c r="D216" s="54" t="inlineStr">
        <is>
          <t xml:space="preserve">9987 · Blood Clots</t>
        </is>
      </c>
      <c r="E216" s="55" t="n">
        <v>2</v>
      </c>
      <c r="F216" s="54" t="inlineStr">
        <is>
          <t xml:space="preserve">Quality</t>
        </is>
      </c>
    </row>
    <row r="217">
      <c r="A217" s="54" t="inlineStr">
        <is>
          <t xml:space="preserve">ATM</t>
        </is>
      </c>
      <c r="B217" s="49" t="n">
        <v>46122</v>
      </c>
      <c r="C217" s="54" t="inlineStr">
        <is>
          <t xml:space="preserve">Thoracic</t>
        </is>
      </c>
      <c r="D217" s="54" t="inlineStr">
        <is>
          <t xml:space="preserve">9972 · Laceration/Cut</t>
        </is>
      </c>
      <c r="E217" s="55" t="n">
        <v>6</v>
      </c>
      <c r="F217" s="54" t="inlineStr">
        <is>
          <t xml:space="preserve">Quality</t>
        </is>
      </c>
    </row>
    <row r="218">
      <c r="A218" s="54" t="inlineStr">
        <is>
          <t xml:space="preserve">ATM</t>
        </is>
      </c>
      <c r="B218" s="49" t="n">
        <v>46126</v>
      </c>
      <c r="C218" s="54" t="inlineStr">
        <is>
          <t xml:space="preserve">Thoracic</t>
        </is>
      </c>
      <c r="D218" s="54" t="inlineStr">
        <is>
          <t xml:space="preserve">9972 · Laceration/Cut</t>
        </is>
      </c>
      <c r="E218" s="55" t="n">
        <v>4</v>
      </c>
      <c r="F218" s="54" t="inlineStr">
        <is>
          <t xml:space="preserve">Quality</t>
        </is>
      </c>
    </row>
    <row r="219">
      <c r="A219" s="54" t="inlineStr">
        <is>
          <t xml:space="preserve">ATM</t>
        </is>
      </c>
      <c r="B219" s="49" t="n">
        <v>46126</v>
      </c>
      <c r="C219" s="54" t="inlineStr">
        <is>
          <t xml:space="preserve">Thoracic</t>
        </is>
      </c>
      <c r="D219" s="54" t="inlineStr">
        <is>
          <t xml:space="preserve">9985 · Tech Damaged</t>
        </is>
      </c>
      <c r="E219" s="55" t="n">
        <v>1</v>
      </c>
      <c r="F219" s="54" t="inlineStr">
        <is>
          <t xml:space="preserve">Quality</t>
        </is>
      </c>
    </row>
    <row r="220">
      <c r="A220" s="54" t="inlineStr">
        <is>
          <t xml:space="preserve">ATM</t>
        </is>
      </c>
      <c r="B220" s="49" t="n">
        <v>46127</v>
      </c>
      <c r="C220" s="54" t="inlineStr">
        <is>
          <t xml:space="preserve">Thoracic</t>
        </is>
      </c>
      <c r="D220" s="54" t="inlineStr">
        <is>
          <t xml:space="preserve">9985 · Tech Damaged</t>
        </is>
      </c>
      <c r="E220" s="55" t="n">
        <v>1</v>
      </c>
      <c r="F220" s="54" t="inlineStr">
        <is>
          <t xml:space="preserve">Quality</t>
        </is>
      </c>
    </row>
    <row r="221">
      <c r="A221" s="54" t="inlineStr">
        <is>
          <t xml:space="preserve">ATM</t>
        </is>
      </c>
      <c r="B221" s="49" t="n">
        <v>46128</v>
      </c>
      <c r="C221" s="54" t="inlineStr">
        <is>
          <t xml:space="preserve">Thoracic</t>
        </is>
      </c>
      <c r="D221" s="54" t="inlineStr">
        <is>
          <t xml:space="preserve">1220 · Destructive Testing (eng/R&amp;D)</t>
        </is>
      </c>
      <c r="E221" s="55" t="n">
        <v>10</v>
      </c>
      <c r="F221" s="54" t="inlineStr">
        <is>
          <t xml:space="preserve">Planned</t>
        </is>
      </c>
    </row>
    <row r="222">
      <c r="A222" s="54" t="inlineStr">
        <is>
          <t xml:space="preserve">ATM</t>
        </is>
      </c>
      <c r="B222" s="49" t="n">
        <v>46128</v>
      </c>
      <c r="C222" s="54" t="inlineStr">
        <is>
          <t xml:space="preserve">Pelvic</t>
        </is>
      </c>
      <c r="D222" s="54" t="inlineStr">
        <is>
          <t xml:space="preserve">9972 · Laceration/Cut</t>
        </is>
      </c>
      <c r="E222" s="55" t="n">
        <v>10</v>
      </c>
      <c r="F222" s="54" t="inlineStr">
        <is>
          <t xml:space="preserve">Quality</t>
        </is>
      </c>
    </row>
    <row r="223">
      <c r="A223" s="54" t="inlineStr">
        <is>
          <t xml:space="preserve">ATM</t>
        </is>
      </c>
      <c r="B223" s="49" t="n">
        <v>46132</v>
      </c>
      <c r="C223" s="54" t="inlineStr">
        <is>
          <t xml:space="preserve">Thoracic</t>
        </is>
      </c>
      <c r="D223" s="54" t="inlineStr">
        <is>
          <t xml:space="preserve">9972 · Laceration/Cut</t>
        </is>
      </c>
      <c r="E223" s="55" t="n">
        <v>2</v>
      </c>
      <c r="F223" s="54" t="inlineStr">
        <is>
          <t xml:space="preserve">Quality</t>
        </is>
      </c>
    </row>
    <row r="224">
      <c r="A224" s="54" t="inlineStr">
        <is>
          <t xml:space="preserve">ATM</t>
        </is>
      </c>
      <c r="B224" s="49" t="n">
        <v>46133</v>
      </c>
      <c r="C224" s="54" t="inlineStr">
        <is>
          <t xml:space="preserve">Thoracic</t>
        </is>
      </c>
      <c r="D224" s="54" t="inlineStr">
        <is>
          <t xml:space="preserve">9972 · Laceration/Cut</t>
        </is>
      </c>
      <c r="E224" s="55" t="n">
        <v>5</v>
      </c>
      <c r="F224" s="54" t="inlineStr">
        <is>
          <t xml:space="preserve">Quality</t>
        </is>
      </c>
    </row>
    <row r="225">
      <c r="A225" s="54" t="inlineStr">
        <is>
          <t xml:space="preserve">ATM</t>
        </is>
      </c>
      <c r="B225" s="49" t="n">
        <v>46133</v>
      </c>
      <c r="C225" s="54" t="inlineStr">
        <is>
          <t xml:space="preserve">Thoracic</t>
        </is>
      </c>
      <c r="D225" s="54" t="inlineStr">
        <is>
          <t xml:space="preserve">9985 · Tech Damaged</t>
        </is>
      </c>
      <c r="E225" s="55" t="n">
        <v>1</v>
      </c>
      <c r="F225" s="54" t="inlineStr">
        <is>
          <t xml:space="preserve">Quality</t>
        </is>
      </c>
    </row>
    <row r="226">
      <c r="A226" s="54" t="inlineStr">
        <is>
          <t xml:space="preserve">ATM</t>
        </is>
      </c>
      <c r="B226" s="49" t="n">
        <v>46134</v>
      </c>
      <c r="C226" s="54" t="inlineStr">
        <is>
          <t xml:space="preserve">Thoracic</t>
        </is>
      </c>
      <c r="D226" s="54" t="inlineStr">
        <is>
          <t xml:space="preserve">9972 · Laceration/Cut</t>
        </is>
      </c>
      <c r="E226" s="55" t="n">
        <v>2</v>
      </c>
      <c r="F226" s="54" t="inlineStr">
        <is>
          <t xml:space="preserve">Quality</t>
        </is>
      </c>
    </row>
    <row r="227">
      <c r="A227" s="54" t="inlineStr">
        <is>
          <t xml:space="preserve">ATM</t>
        </is>
      </c>
      <c r="B227" s="49" t="n">
        <v>46135</v>
      </c>
      <c r="C227" s="54" t="inlineStr">
        <is>
          <t xml:space="preserve">Pelvic</t>
        </is>
      </c>
      <c r="D227" s="54" t="inlineStr">
        <is>
          <t xml:space="preserve">9972 · Laceration/Cut</t>
        </is>
      </c>
      <c r="E227" s="55" t="n">
        <v>18</v>
      </c>
      <c r="F227" s="54" t="inlineStr">
        <is>
          <t xml:space="preserve">Quality</t>
        </is>
      </c>
    </row>
    <row r="228">
      <c r="A228" s="54" t="inlineStr">
        <is>
          <t xml:space="preserve">ATM</t>
        </is>
      </c>
      <c r="B228" s="49" t="n">
        <v>46135</v>
      </c>
      <c r="C228" s="54" t="inlineStr">
        <is>
          <t xml:space="preserve">Pelvic</t>
        </is>
      </c>
      <c r="D228" s="54" t="inlineStr">
        <is>
          <t xml:space="preserve">9987 · Blood Clots</t>
        </is>
      </c>
      <c r="E228" s="55" t="n">
        <v>6</v>
      </c>
      <c r="F228" s="54" t="inlineStr">
        <is>
          <t xml:space="preserve">Quality</t>
        </is>
      </c>
    </row>
    <row r="229">
      <c r="A229" s="54" t="inlineStr">
        <is>
          <t xml:space="preserve">ATM</t>
        </is>
      </c>
      <c r="B229" s="49" t="n">
        <v>46139</v>
      </c>
      <c r="C229" s="54" t="inlineStr">
        <is>
          <t xml:space="preserve">Thoracic</t>
        </is>
      </c>
      <c r="D229" s="54" t="inlineStr">
        <is>
          <t xml:space="preserve">9972 · Laceration/Cut</t>
        </is>
      </c>
      <c r="E229" s="55" t="n">
        <v>14</v>
      </c>
      <c r="F229" s="54" t="inlineStr">
        <is>
          <t xml:space="preserve">Quality</t>
        </is>
      </c>
    </row>
    <row r="230">
      <c r="A230" s="54" t="inlineStr">
        <is>
          <t xml:space="preserve">ATM</t>
        </is>
      </c>
      <c r="B230" s="49" t="n">
        <v>46140</v>
      </c>
      <c r="C230" s="54" t="inlineStr">
        <is>
          <t xml:space="preserve">Thoracic</t>
        </is>
      </c>
      <c r="D230" s="54" t="inlineStr">
        <is>
          <t xml:space="preserve">9972 · Laceration/Cut</t>
        </is>
      </c>
      <c r="E230" s="55" t="n">
        <v>7</v>
      </c>
      <c r="F230" s="54" t="inlineStr">
        <is>
          <t xml:space="preserve">Quality</t>
        </is>
      </c>
    </row>
    <row r="231">
      <c r="A231" s="54" t="inlineStr">
        <is>
          <t xml:space="preserve">ATM</t>
        </is>
      </c>
      <c r="B231" s="49" t="n">
        <v>46141</v>
      </c>
      <c r="C231" s="54" t="inlineStr">
        <is>
          <t xml:space="preserve">Thoracic</t>
        </is>
      </c>
      <c r="D231" s="54" t="inlineStr">
        <is>
          <t xml:space="preserve">7 · Others</t>
        </is>
      </c>
      <c r="E231" s="55" t="n">
        <v>1</v>
      </c>
      <c r="F231" s="54" t="inlineStr">
        <is>
          <t xml:space="preserve">Quality</t>
        </is>
      </c>
    </row>
    <row r="232">
      <c r="A232" s="54" t="inlineStr">
        <is>
          <t xml:space="preserve">ATM</t>
        </is>
      </c>
      <c r="B232" s="49" t="n">
        <v>46141</v>
      </c>
      <c r="C232" s="54" t="inlineStr">
        <is>
          <t xml:space="preserve">Thoracic</t>
        </is>
      </c>
      <c r="D232" s="54" t="inlineStr">
        <is>
          <t xml:space="preserve">9972 · Laceration/Cut</t>
        </is>
      </c>
      <c r="E232" s="55" t="n">
        <v>5</v>
      </c>
      <c r="F232" s="54" t="inlineStr">
        <is>
          <t xml:space="preserve">Quality</t>
        </is>
      </c>
    </row>
    <row r="233">
      <c r="A233" s="54" t="inlineStr">
        <is>
          <t xml:space="preserve">ATM</t>
        </is>
      </c>
      <c r="B233" s="49" t="n">
        <v>46141</v>
      </c>
      <c r="C233" s="54" t="inlineStr">
        <is>
          <t xml:space="preserve">Thoracic</t>
        </is>
      </c>
      <c r="D233" s="54" t="inlineStr">
        <is>
          <t xml:space="preserve">9984 · Partial Qty</t>
        </is>
      </c>
      <c r="E233" s="55" t="n">
        <v>1</v>
      </c>
      <c r="F233" s="54" t="inlineStr">
        <is>
          <t xml:space="preserve">Quality</t>
        </is>
      </c>
    </row>
    <row r="234">
      <c r="A234" s="54" t="inlineStr">
        <is>
          <t xml:space="preserve">ATM</t>
        </is>
      </c>
      <c r="B234" s="49" t="n">
        <v>46141</v>
      </c>
      <c r="C234" s="54" t="inlineStr">
        <is>
          <t xml:space="preserve">Thoracic</t>
        </is>
      </c>
      <c r="D234" s="54" t="inlineStr">
        <is>
          <t xml:space="preserve">9985 · Tech Damaged</t>
        </is>
      </c>
      <c r="E234" s="55" t="n">
        <v>1</v>
      </c>
      <c r="F234" s="54" t="inlineStr">
        <is>
          <t xml:space="preserve">Quality</t>
        </is>
      </c>
    </row>
    <row r="235">
      <c r="A235" s="54" t="inlineStr">
        <is>
          <t xml:space="preserve">ATM</t>
        </is>
      </c>
      <c r="B235" s="49" t="n">
        <v>46143</v>
      </c>
      <c r="C235" s="54" t="inlineStr">
        <is>
          <t xml:space="preserve">Pelvic</t>
        </is>
      </c>
      <c r="D235" s="54" t="inlineStr">
        <is>
          <t xml:space="preserve">9972 · Laceration/Cut</t>
        </is>
      </c>
      <c r="E235" s="55" t="n">
        <v>10</v>
      </c>
      <c r="F235" s="54" t="inlineStr">
        <is>
          <t xml:space="preserve">Quality</t>
        </is>
      </c>
    </row>
    <row r="236">
      <c r="A236" s="54" t="inlineStr">
        <is>
          <t xml:space="preserve">ATM</t>
        </is>
      </c>
      <c r="B236" s="49" t="n">
        <v>46143</v>
      </c>
      <c r="C236" s="54" t="inlineStr">
        <is>
          <t xml:space="preserve">Pelvic</t>
        </is>
      </c>
      <c r="D236" s="54" t="inlineStr">
        <is>
          <t xml:space="preserve">9976 · Spoilage</t>
        </is>
      </c>
      <c r="E236" s="55" t="n">
        <v>1</v>
      </c>
      <c r="F236" s="54" t="inlineStr">
        <is>
          <t xml:space="preserve">Quality</t>
        </is>
      </c>
    </row>
    <row r="237">
      <c r="A237" s="54" t="inlineStr">
        <is>
          <t xml:space="preserve">ATM</t>
        </is>
      </c>
      <c r="B237" s="49" t="n">
        <v>46143</v>
      </c>
      <c r="C237" s="54" t="inlineStr">
        <is>
          <t xml:space="preserve">Pelvic</t>
        </is>
      </c>
      <c r="D237" s="54" t="inlineStr">
        <is>
          <t xml:space="preserve">9986 · Bladder Length</t>
        </is>
      </c>
      <c r="E237" s="55" t="n">
        <v>3</v>
      </c>
      <c r="F237" s="54" t="inlineStr">
        <is>
          <t xml:space="preserve">Quality</t>
        </is>
      </c>
    </row>
    <row r="238">
      <c r="A238" s="54" t="inlineStr">
        <is>
          <t xml:space="preserve">ATM</t>
        </is>
      </c>
      <c r="B238" s="49" t="n">
        <v>46148</v>
      </c>
      <c r="C238" s="54" t="inlineStr">
        <is>
          <t xml:space="preserve">Thoracic</t>
        </is>
      </c>
      <c r="D238" s="54" t="inlineStr">
        <is>
          <t xml:space="preserve">9972 · Laceration/Cut</t>
        </is>
      </c>
      <c r="E238" s="55" t="n">
        <v>8</v>
      </c>
      <c r="F238" s="54" t="inlineStr">
        <is>
          <t xml:space="preserve">Quality</t>
        </is>
      </c>
    </row>
    <row r="239">
      <c r="A239" s="54" t="inlineStr">
        <is>
          <t xml:space="preserve">ATM</t>
        </is>
      </c>
      <c r="B239" s="49" t="n">
        <v>46148</v>
      </c>
      <c r="C239" s="54" t="inlineStr">
        <is>
          <t xml:space="preserve">Thoracic</t>
        </is>
      </c>
      <c r="D239" s="54" t="inlineStr">
        <is>
          <t xml:space="preserve">9985 · Tech Damaged</t>
        </is>
      </c>
      <c r="E239" s="55" t="n">
        <v>4</v>
      </c>
      <c r="F239" s="54" t="inlineStr">
        <is>
          <t xml:space="preserve">Quality</t>
        </is>
      </c>
    </row>
    <row r="240">
      <c r="A240" s="54" t="inlineStr">
        <is>
          <t xml:space="preserve">ATM</t>
        </is>
      </c>
      <c r="B240" s="49" t="n">
        <v>46149</v>
      </c>
      <c r="C240" s="54" t="inlineStr">
        <is>
          <t xml:space="preserve">Pelvic</t>
        </is>
      </c>
      <c r="D240" s="54" t="inlineStr">
        <is>
          <t xml:space="preserve">9972 · Laceration/Cut</t>
        </is>
      </c>
      <c r="E240" s="55" t="n">
        <v>10</v>
      </c>
      <c r="F240" s="54" t="inlineStr">
        <is>
          <t xml:space="preserve">Quality</t>
        </is>
      </c>
    </row>
    <row r="241">
      <c r="A241" s="54" t="inlineStr">
        <is>
          <t xml:space="preserve">ATM</t>
        </is>
      </c>
      <c r="B241" s="49" t="n">
        <v>46149</v>
      </c>
      <c r="C241" s="54" t="inlineStr">
        <is>
          <t xml:space="preserve">Pelvic</t>
        </is>
      </c>
      <c r="D241" s="54" t="inlineStr">
        <is>
          <t xml:space="preserve">9976 · Spoilage</t>
        </is>
      </c>
      <c r="E241" s="55" t="n">
        <v>1</v>
      </c>
      <c r="F241" s="54" t="inlineStr">
        <is>
          <t xml:space="preserve">Quality</t>
        </is>
      </c>
    </row>
    <row r="242">
      <c r="A242" s="54" t="inlineStr">
        <is>
          <t xml:space="preserve">ATM</t>
        </is>
      </c>
      <c r="B242" s="49" t="n">
        <v>46149</v>
      </c>
      <c r="C242" s="54" t="inlineStr">
        <is>
          <t xml:space="preserve">Pelvic</t>
        </is>
      </c>
      <c r="D242" s="54" t="inlineStr">
        <is>
          <t xml:space="preserve">9987 · Blood Clots</t>
        </is>
      </c>
      <c r="E242" s="55" t="n">
        <v>3</v>
      </c>
      <c r="F242" s="54" t="inlineStr">
        <is>
          <t xml:space="preserve">Quality</t>
        </is>
      </c>
    </row>
    <row r="243">
      <c r="A243" s="54" t="inlineStr">
        <is>
          <t xml:space="preserve">ATM</t>
        </is>
      </c>
      <c r="B243" s="49" t="n">
        <v>46153</v>
      </c>
      <c r="C243" s="54" t="inlineStr">
        <is>
          <t xml:space="preserve">Thoracic</t>
        </is>
      </c>
      <c r="D243" s="54" t="inlineStr">
        <is>
          <t xml:space="preserve">9972 · Laceration/Cut</t>
        </is>
      </c>
      <c r="E243" s="55" t="n">
        <v>9</v>
      </c>
      <c r="F243" s="54" t="inlineStr">
        <is>
          <t xml:space="preserve">Quality</t>
        </is>
      </c>
    </row>
    <row r="244">
      <c r="A244" s="54" t="inlineStr">
        <is>
          <t xml:space="preserve">ATM</t>
        </is>
      </c>
      <c r="B244" s="49" t="n">
        <v>46154</v>
      </c>
      <c r="C244" s="54" t="inlineStr">
        <is>
          <t xml:space="preserve">Thoracic</t>
        </is>
      </c>
      <c r="D244" s="54" t="inlineStr">
        <is>
          <t xml:space="preserve">9972 · Laceration/Cut</t>
        </is>
      </c>
      <c r="E244" s="55" t="n">
        <v>3</v>
      </c>
      <c r="F244" s="54" t="inlineStr">
        <is>
          <t xml:space="preserve">Quality</t>
        </is>
      </c>
    </row>
    <row r="245">
      <c r="A245" s="54" t="inlineStr">
        <is>
          <t xml:space="preserve">ATM</t>
        </is>
      </c>
      <c r="B245" s="49" t="n">
        <v>46155</v>
      </c>
      <c r="C245" s="54" t="inlineStr">
        <is>
          <t xml:space="preserve">Thoracic</t>
        </is>
      </c>
      <c r="D245" s="54" t="inlineStr">
        <is>
          <t xml:space="preserve">9972 · Laceration/Cut</t>
        </is>
      </c>
      <c r="E245" s="55" t="n">
        <v>5</v>
      </c>
      <c r="F245" s="54" t="inlineStr">
        <is>
          <t xml:space="preserve">Quality</t>
        </is>
      </c>
    </row>
    <row r="246">
      <c r="A246" s="54" t="inlineStr">
        <is>
          <t xml:space="preserve">ATM</t>
        </is>
      </c>
      <c r="B246" s="49" t="n">
        <v>46155</v>
      </c>
      <c r="C246" s="54" t="inlineStr">
        <is>
          <t xml:space="preserve">Pelvic</t>
        </is>
      </c>
      <c r="D246" s="54" t="inlineStr">
        <is>
          <t xml:space="preserve">9972 · Laceration/Cut</t>
        </is>
      </c>
      <c r="E246" s="55" t="n">
        <v>2</v>
      </c>
      <c r="F246" s="54" t="inlineStr">
        <is>
          <t xml:space="preserve">Quality</t>
        </is>
      </c>
    </row>
    <row r="247">
      <c r="A247" s="54" t="inlineStr">
        <is>
          <t xml:space="preserve">ATM</t>
        </is>
      </c>
      <c r="B247" s="49" t="n">
        <v>46155</v>
      </c>
      <c r="C247" s="54" t="inlineStr">
        <is>
          <t xml:space="preserve">Pelvic</t>
        </is>
      </c>
      <c r="D247" s="54" t="inlineStr">
        <is>
          <t xml:space="preserve">9987 · Blood Clots</t>
        </is>
      </c>
      <c r="E247" s="55" t="n">
        <v>1</v>
      </c>
      <c r="F247" s="54" t="inlineStr">
        <is>
          <t xml:space="preserve">Quality</t>
        </is>
      </c>
    </row>
    <row r="248">
      <c r="A248" s="54" t="inlineStr">
        <is>
          <t xml:space="preserve">ATM</t>
        </is>
      </c>
      <c r="B248" s="49" t="n">
        <v>46156</v>
      </c>
      <c r="C248" s="54" t="inlineStr">
        <is>
          <t xml:space="preserve">Thoracic</t>
        </is>
      </c>
      <c r="D248" s="54" t="inlineStr">
        <is>
          <t xml:space="preserve">9985 · Tech Damaged</t>
        </is>
      </c>
      <c r="E248" s="55" t="n">
        <v>1</v>
      </c>
      <c r="F248" s="54" t="inlineStr">
        <is>
          <t xml:space="preserve">Quality</t>
        </is>
      </c>
    </row>
    <row r="249">
      <c r="A249" s="54" t="inlineStr">
        <is>
          <t xml:space="preserve">ATM</t>
        </is>
      </c>
      <c r="B249" s="49" t="n">
        <v>46160</v>
      </c>
      <c r="C249" s="54" t="inlineStr">
        <is>
          <t xml:space="preserve">Thoracic</t>
        </is>
      </c>
      <c r="D249" s="54" t="inlineStr">
        <is>
          <t xml:space="preserve">9972 · Laceration/Cut</t>
        </is>
      </c>
      <c r="E249" s="55" t="n">
        <v>11</v>
      </c>
      <c r="F249" s="54" t="inlineStr">
        <is>
          <t xml:space="preserve">Quality</t>
        </is>
      </c>
    </row>
    <row r="250">
      <c r="A250" s="54" t="inlineStr">
        <is>
          <t xml:space="preserve">ATM</t>
        </is>
      </c>
      <c r="B250" s="49" t="n">
        <v>46161</v>
      </c>
      <c r="C250" s="54" t="inlineStr">
        <is>
          <t xml:space="preserve">Thoracic</t>
        </is>
      </c>
      <c r="D250" s="54" t="inlineStr">
        <is>
          <t xml:space="preserve">9972 · Laceration/Cut</t>
        </is>
      </c>
      <c r="E250" s="55" t="n">
        <v>2</v>
      </c>
      <c r="F250" s="54" t="inlineStr">
        <is>
          <t xml:space="preserve">Quality</t>
        </is>
      </c>
    </row>
    <row r="251">
      <c r="A251" s="54" t="inlineStr">
        <is>
          <t xml:space="preserve">ATM</t>
        </is>
      </c>
      <c r="B251" s="49" t="n">
        <v>46162</v>
      </c>
      <c r="C251" s="54" t="inlineStr">
        <is>
          <t xml:space="preserve">Thoracic</t>
        </is>
      </c>
      <c r="D251" s="54" t="inlineStr">
        <is>
          <t xml:space="preserve">9972 · Laceration/Cut</t>
        </is>
      </c>
      <c r="E251" s="55" t="n">
        <v>1</v>
      </c>
      <c r="F251" s="54" t="inlineStr">
        <is>
          <t xml:space="preserve">Quality</t>
        </is>
      </c>
    </row>
    <row r="252">
      <c r="A252" s="54" t="inlineStr">
        <is>
          <t xml:space="preserve">ATM</t>
        </is>
      </c>
      <c r="B252" s="49" t="n">
        <v>46163</v>
      </c>
      <c r="C252" s="54" t="inlineStr">
        <is>
          <t xml:space="preserve">Thoracic</t>
        </is>
      </c>
      <c r="D252" s="54" t="inlineStr">
        <is>
          <t xml:space="preserve">9972 · Laceration/Cut</t>
        </is>
      </c>
      <c r="E252" s="55" t="n">
        <v>1</v>
      </c>
      <c r="F252" s="54" t="inlineStr">
        <is>
          <t xml:space="preserve">Quality</t>
        </is>
      </c>
    </row>
    <row r="253">
      <c r="A253" s="54" t="inlineStr">
        <is>
          <t xml:space="preserve">ATM</t>
        </is>
      </c>
      <c r="B253" s="49" t="n">
        <v>46163</v>
      </c>
      <c r="C253" s="54" t="inlineStr">
        <is>
          <t xml:space="preserve">Pelvic</t>
        </is>
      </c>
      <c r="D253" s="54" t="inlineStr">
        <is>
          <t xml:space="preserve">9972 · Laceration/Cut</t>
        </is>
      </c>
      <c r="E253" s="55" t="n">
        <v>7</v>
      </c>
      <c r="F253" s="54" t="inlineStr">
        <is>
          <t xml:space="preserve">Quality</t>
        </is>
      </c>
    </row>
    <row r="254">
      <c r="A254" s="54" t="inlineStr">
        <is>
          <t xml:space="preserve">ATM</t>
        </is>
      </c>
      <c r="B254" s="49" t="n">
        <v>46168</v>
      </c>
      <c r="C254" s="54" t="inlineStr">
        <is>
          <t xml:space="preserve">Thoracic</t>
        </is>
      </c>
      <c r="D254" s="54" t="inlineStr">
        <is>
          <t xml:space="preserve">9972 · Laceration/Cut</t>
        </is>
      </c>
      <c r="E254" s="55" t="n">
        <v>2</v>
      </c>
      <c r="F254" s="54" t="inlineStr">
        <is>
          <t xml:space="preserve">Quality</t>
        </is>
      </c>
    </row>
    <row r="255">
      <c r="A255" s="54" t="inlineStr">
        <is>
          <t xml:space="preserve">ATM</t>
        </is>
      </c>
      <c r="B255" s="49" t="n">
        <v>46168</v>
      </c>
      <c r="C255" s="54" t="inlineStr">
        <is>
          <t xml:space="preserve">Thoracic</t>
        </is>
      </c>
      <c r="D255" s="54" t="inlineStr">
        <is>
          <t xml:space="preserve">9985 · Tech Damaged</t>
        </is>
      </c>
      <c r="E255" s="55" t="n">
        <v>1</v>
      </c>
      <c r="F255" s="54" t="inlineStr">
        <is>
          <t xml:space="preserve">Quality</t>
        </is>
      </c>
    </row>
    <row r="256">
      <c r="A256" s="54" t="inlineStr">
        <is>
          <t xml:space="preserve">ATM</t>
        </is>
      </c>
      <c r="B256" s="49" t="n">
        <v>46169</v>
      </c>
      <c r="C256" s="54" t="inlineStr">
        <is>
          <t xml:space="preserve">Thoracic</t>
        </is>
      </c>
      <c r="D256" s="54" t="inlineStr">
        <is>
          <t xml:space="preserve">9972 · Laceration/Cut</t>
        </is>
      </c>
      <c r="E256" s="55" t="n">
        <v>2</v>
      </c>
      <c r="F256" s="54" t="inlineStr">
        <is>
          <t xml:space="preserve">Quality</t>
        </is>
      </c>
    </row>
    <row r="257">
      <c r="A257" s="54" t="inlineStr">
        <is>
          <t xml:space="preserve">ATM</t>
        </is>
      </c>
      <c r="B257" s="49" t="n">
        <v>46169</v>
      </c>
      <c r="C257" s="54" t="inlineStr">
        <is>
          <t xml:space="preserve">Thoracic</t>
        </is>
      </c>
      <c r="D257" s="54" t="inlineStr">
        <is>
          <t xml:space="preserve">9985 · Tech Damaged</t>
        </is>
      </c>
      <c r="E257" s="55" t="n">
        <v>1</v>
      </c>
      <c r="F257" s="54" t="inlineStr">
        <is>
          <t xml:space="preserve">Quality</t>
        </is>
      </c>
    </row>
    <row r="258">
      <c r="A258" s="54" t="inlineStr">
        <is>
          <t xml:space="preserve">ATM</t>
        </is>
      </c>
      <c r="B258" s="49" t="n">
        <v>46171</v>
      </c>
      <c r="C258" s="54" t="inlineStr">
        <is>
          <t xml:space="preserve">Pelvic</t>
        </is>
      </c>
      <c r="D258" s="54" t="inlineStr">
        <is>
          <t xml:space="preserve">9972 · Laceration/Cut</t>
        </is>
      </c>
      <c r="E258" s="55" t="n">
        <v>5</v>
      </c>
      <c r="F258" s="54" t="inlineStr">
        <is>
          <t xml:space="preserve">Quality</t>
        </is>
      </c>
    </row>
    <row r="259">
      <c r="A259" s="54" t="inlineStr">
        <is>
          <t xml:space="preserve">ATM</t>
        </is>
      </c>
      <c r="B259" s="49" t="n">
        <v>46174</v>
      </c>
      <c r="C259" s="54" t="inlineStr">
        <is>
          <t xml:space="preserve">Thoracic</t>
        </is>
      </c>
      <c r="D259" s="54" t="inlineStr">
        <is>
          <t xml:space="preserve">9972 · Laceration/Cut</t>
        </is>
      </c>
      <c r="E259" s="55" t="n">
        <v>3</v>
      </c>
      <c r="F259" s="54" t="inlineStr">
        <is>
          <t xml:space="preserve">Quality</t>
        </is>
      </c>
    </row>
    <row r="260">
      <c r="A260" s="54" t="inlineStr">
        <is>
          <t xml:space="preserve">ATM</t>
        </is>
      </c>
      <c r="B260" s="49" t="n">
        <v>46174</v>
      </c>
      <c r="C260" s="54" t="inlineStr">
        <is>
          <t xml:space="preserve">Thoracic</t>
        </is>
      </c>
      <c r="D260" s="54" t="inlineStr">
        <is>
          <t xml:space="preserve">9985 · Tech Damaged</t>
        </is>
      </c>
      <c r="E260" s="55" t="n">
        <v>1</v>
      </c>
      <c r="F260" s="54" t="inlineStr">
        <is>
          <t xml:space="preserve">Quality</t>
        </is>
      </c>
    </row>
    <row r="261">
      <c r="A261" s="54" t="inlineStr">
        <is>
          <t xml:space="preserve">ATM</t>
        </is>
      </c>
      <c r="B261" s="49" t="n">
        <v>46175</v>
      </c>
      <c r="C261" s="54" t="inlineStr">
        <is>
          <t xml:space="preserve">Thoracic</t>
        </is>
      </c>
      <c r="D261" s="54" t="inlineStr">
        <is>
          <t xml:space="preserve">9972 · Laceration/Cut</t>
        </is>
      </c>
      <c r="E261" s="55" t="n">
        <v>5</v>
      </c>
      <c r="F261" s="54" t="inlineStr">
        <is>
          <t xml:space="preserve">Quality</t>
        </is>
      </c>
    </row>
    <row r="262">
      <c r="A262" s="54" t="inlineStr">
        <is>
          <t xml:space="preserve">ATM</t>
        </is>
      </c>
      <c r="B262" s="49" t="n">
        <v>46176</v>
      </c>
      <c r="C262" s="54" t="inlineStr">
        <is>
          <t xml:space="preserve">Pelvic</t>
        </is>
      </c>
      <c r="D262" s="54" t="inlineStr">
        <is>
          <t xml:space="preserve">9972 · Laceration/Cut</t>
        </is>
      </c>
      <c r="E262" s="55" t="n">
        <v>9</v>
      </c>
      <c r="F262" s="54" t="inlineStr">
        <is>
          <t xml:space="preserve">Quality</t>
        </is>
      </c>
    </row>
    <row r="263">
      <c r="A263" s="54" t="inlineStr">
        <is>
          <t xml:space="preserve">ATM</t>
        </is>
      </c>
      <c r="B263" s="49" t="n">
        <v>46176</v>
      </c>
      <c r="C263" s="54" t="inlineStr">
        <is>
          <t xml:space="preserve">Pelvic</t>
        </is>
      </c>
      <c r="D263" s="54" t="inlineStr">
        <is>
          <t xml:space="preserve">9988 · Exposed Urethra</t>
        </is>
      </c>
      <c r="E263" s="55" t="n">
        <v>3</v>
      </c>
      <c r="F263" s="54" t="inlineStr">
        <is>
          <t xml:space="preserve">Quality</t>
        </is>
      </c>
    </row>
    <row r="264">
      <c r="A264" s="54" t="inlineStr">
        <is>
          <t xml:space="preserve">ATM</t>
        </is>
      </c>
      <c r="B264" s="49" t="n">
        <v>46177</v>
      </c>
      <c r="C264" s="54" t="inlineStr">
        <is>
          <t xml:space="preserve">Thoracic</t>
        </is>
      </c>
      <c r="D264" s="54" t="inlineStr">
        <is>
          <t xml:space="preserve">9972 · Laceration/Cut</t>
        </is>
      </c>
      <c r="E264" s="55" t="n">
        <v>1</v>
      </c>
      <c r="F264" s="54" t="inlineStr">
        <is>
          <t xml:space="preserve">Quality</t>
        </is>
      </c>
    </row>
    <row r="265">
      <c r="A265" s="54" t="inlineStr">
        <is>
          <t xml:space="preserve">ATM</t>
        </is>
      </c>
      <c r="B265" s="49" t="n">
        <v>46181</v>
      </c>
      <c r="C265" s="54" t="inlineStr">
        <is>
          <t xml:space="preserve">Thoracic</t>
        </is>
      </c>
      <c r="D265" s="54" t="inlineStr">
        <is>
          <t xml:space="preserve">9985 · Tech Damaged</t>
        </is>
      </c>
      <c r="E265" s="55" t="n">
        <v>2</v>
      </c>
      <c r="F265" s="54" t="inlineStr">
        <is>
          <t xml:space="preserve">Quality</t>
        </is>
      </c>
    </row>
    <row r="266">
      <c r="A266" s="54" t="inlineStr">
        <is>
          <t xml:space="preserve">ATM</t>
        </is>
      </c>
      <c r="B266" s="49" t="n">
        <v>46182</v>
      </c>
      <c r="C266" s="54" t="inlineStr">
        <is>
          <t xml:space="preserve">Thoracic</t>
        </is>
      </c>
      <c r="D266" s="54" t="inlineStr">
        <is>
          <t xml:space="preserve">1220 · Destructive Testing (eng/R&amp;D)</t>
        </is>
      </c>
      <c r="E266" s="55" t="n">
        <v>1</v>
      </c>
      <c r="F266" s="54" t="inlineStr">
        <is>
          <t xml:space="preserve">Planned</t>
        </is>
      </c>
    </row>
    <row r="267">
      <c r="A267" s="54" t="inlineStr">
        <is>
          <t xml:space="preserve">ATM</t>
        </is>
      </c>
      <c r="B267" s="49" t="n">
        <v>46182</v>
      </c>
      <c r="C267" s="54" t="inlineStr">
        <is>
          <t xml:space="preserve">Thoracic</t>
        </is>
      </c>
      <c r="D267" s="54" t="inlineStr">
        <is>
          <t xml:space="preserve">9972 · Laceration/Cut</t>
        </is>
      </c>
      <c r="E267" s="55" t="n">
        <v>1</v>
      </c>
      <c r="F267" s="54" t="inlineStr">
        <is>
          <t xml:space="preserve">Quality</t>
        </is>
      </c>
    </row>
    <row r="268">
      <c r="A268" s="54" t="inlineStr">
        <is>
          <t xml:space="preserve">ATM</t>
        </is>
      </c>
      <c r="B268" s="49" t="n">
        <v>46184</v>
      </c>
      <c r="C268" s="54" t="inlineStr">
        <is>
          <t xml:space="preserve">Pelvic</t>
        </is>
      </c>
      <c r="D268" s="54" t="inlineStr">
        <is>
          <t xml:space="preserve">9972 · Laceration/Cut</t>
        </is>
      </c>
      <c r="E268" s="55" t="n">
        <v>14</v>
      </c>
      <c r="F268" s="54" t="inlineStr">
        <is>
          <t xml:space="preserve">Quality</t>
        </is>
      </c>
    </row>
    <row r="269">
      <c r="A269" s="54" t="inlineStr">
        <is>
          <t xml:space="preserve">ATM</t>
        </is>
      </c>
      <c r="B269" s="49" t="n">
        <v>46188</v>
      </c>
      <c r="C269" s="54" t="inlineStr">
        <is>
          <t xml:space="preserve">Thoracic</t>
        </is>
      </c>
      <c r="D269" s="54" t="inlineStr">
        <is>
          <t xml:space="preserve">9972 · Laceration/Cut</t>
        </is>
      </c>
      <c r="E269" s="55" t="n">
        <v>3</v>
      </c>
      <c r="F269" s="54" t="inlineStr">
        <is>
          <t xml:space="preserve">Quality</t>
        </is>
      </c>
    </row>
    <row r="270">
      <c r="A270" s="54" t="inlineStr">
        <is>
          <t xml:space="preserve">ATM</t>
        </is>
      </c>
      <c r="B270" s="49" t="n">
        <v>46191</v>
      </c>
      <c r="C270" s="54" t="inlineStr">
        <is>
          <t xml:space="preserve">Pelvic</t>
        </is>
      </c>
      <c r="D270" s="54" t="inlineStr">
        <is>
          <t xml:space="preserve">9972 · Laceration/Cut</t>
        </is>
      </c>
      <c r="E270" s="55" t="n">
        <v>6</v>
      </c>
      <c r="F270" s="54" t="inlineStr">
        <is>
          <t xml:space="preserve">Quality</t>
        </is>
      </c>
    </row>
    <row r="271">
      <c r="A271" s="54" t="inlineStr">
        <is>
          <t xml:space="preserve">ATM</t>
        </is>
      </c>
      <c r="B271" s="49" t="n">
        <v>46197</v>
      </c>
      <c r="C271" s="54" t="inlineStr">
        <is>
          <t xml:space="preserve">Pelvic</t>
        </is>
      </c>
      <c r="D271" s="54" t="inlineStr">
        <is>
          <t xml:space="preserve">9972 · Laceration/Cut</t>
        </is>
      </c>
      <c r="E271" s="55" t="n">
        <v>1</v>
      </c>
      <c r="F271" s="54" t="inlineStr">
        <is>
          <t xml:space="preserve">Quality</t>
        </is>
      </c>
    </row>
    <row r="272">
      <c r="A272" s="54" t="inlineStr">
        <is>
          <t xml:space="preserve">ATM</t>
        </is>
      </c>
      <c r="B272" s="49" t="n">
        <v>46197</v>
      </c>
      <c r="C272" s="54" t="inlineStr">
        <is>
          <t xml:space="preserve">Pelvic</t>
        </is>
      </c>
      <c r="D272" s="54" t="inlineStr">
        <is>
          <t xml:space="preserve">9988 · Exposed Urethra</t>
        </is>
      </c>
      <c r="E272" s="55" t="n">
        <v>5</v>
      </c>
      <c r="F272" s="54" t="inlineStr">
        <is>
          <t xml:space="preserve">Quality</t>
        </is>
      </c>
    </row>
    <row r="273">
      <c r="A273" s="54" t="inlineStr">
        <is>
          <t xml:space="preserve">ATM</t>
        </is>
      </c>
      <c r="B273" s="49" t="n">
        <v>46202</v>
      </c>
      <c r="C273" s="54" t="inlineStr">
        <is>
          <t xml:space="preserve">Thoracic</t>
        </is>
      </c>
      <c r="D273" s="54" t="inlineStr">
        <is>
          <t xml:space="preserve">9972 · Laceration/Cut</t>
        </is>
      </c>
      <c r="E273" s="55" t="n">
        <v>4</v>
      </c>
      <c r="F273" s="54" t="inlineStr">
        <is>
          <t xml:space="preserve">Quality</t>
        </is>
      </c>
    </row>
    <row r="274">
      <c r="A274" s="54" t="inlineStr">
        <is>
          <t xml:space="preserve">ATM</t>
        </is>
      </c>
      <c r="B274" s="49" t="n">
        <v>46203</v>
      </c>
      <c r="C274" s="54" t="inlineStr">
        <is>
          <t xml:space="preserve">Pelvic</t>
        </is>
      </c>
      <c r="D274" s="54" t="inlineStr">
        <is>
          <t xml:space="preserve">1220 · Destructive Testing (eng/R&amp;D)</t>
        </is>
      </c>
      <c r="E274" s="55" t="n">
        <v>2</v>
      </c>
      <c r="F274" s="54" t="inlineStr">
        <is>
          <t xml:space="preserve">Planned</t>
        </is>
      </c>
    </row>
    <row r="275">
      <c r="A275" s="54" t="inlineStr">
        <is>
          <t xml:space="preserve">ATM</t>
        </is>
      </c>
      <c r="B275" s="49" t="n">
        <v>46203</v>
      </c>
      <c r="C275" s="54" t="inlineStr">
        <is>
          <t xml:space="preserve">Pelvic</t>
        </is>
      </c>
      <c r="D275" s="54" t="inlineStr">
        <is>
          <t xml:space="preserve">9972 · Laceration/Cut</t>
        </is>
      </c>
      <c r="E275" s="55" t="n">
        <v>7</v>
      </c>
      <c r="F275" s="54" t="inlineStr">
        <is>
          <t xml:space="preserve">Quality</t>
        </is>
      </c>
    </row>
    <row r="276">
      <c r="A276" s="54" t="inlineStr">
        <is>
          <t xml:space="preserve">ATM</t>
        </is>
      </c>
      <c r="B276" s="49" t="n">
        <v>46203</v>
      </c>
      <c r="C276" s="54" t="inlineStr">
        <is>
          <t xml:space="preserve">Pelvic</t>
        </is>
      </c>
      <c r="D276" s="54" t="inlineStr">
        <is>
          <t xml:space="preserve">9983 · Incorrect Dimensions</t>
        </is>
      </c>
      <c r="E276" s="55" t="n">
        <v>1</v>
      </c>
      <c r="F276" s="54" t="inlineStr">
        <is>
          <t xml:space="preserve">Quality</t>
        </is>
      </c>
    </row>
    <row r="277">
      <c r="A277" s="54" t="inlineStr">
        <is>
          <t xml:space="preserve">ATM</t>
        </is>
      </c>
      <c r="B277" s="49" t="n">
        <v>46203</v>
      </c>
      <c r="C277" s="54" t="inlineStr">
        <is>
          <t xml:space="preserve">Pelvic</t>
        </is>
      </c>
      <c r="D277" s="54" t="inlineStr">
        <is>
          <t xml:space="preserve">9986 · Bladder Length</t>
        </is>
      </c>
      <c r="E277" s="55" t="n">
        <v>1</v>
      </c>
      <c r="F277" s="54" t="inlineStr">
        <is>
          <t xml:space="preserve">Quality</t>
        </is>
      </c>
    </row>
    <row r="278">
      <c r="A278" s="54" t="inlineStr">
        <is>
          <t xml:space="preserve">ATM</t>
        </is>
      </c>
      <c r="B278" s="49" t="n">
        <v>46203</v>
      </c>
      <c r="C278" s="54" t="inlineStr">
        <is>
          <t xml:space="preserve">Pelvic</t>
        </is>
      </c>
      <c r="D278" s="54" t="inlineStr">
        <is>
          <t xml:space="preserve">9988 · Exposed Urethra</t>
        </is>
      </c>
      <c r="E278" s="55" t="n">
        <v>1</v>
      </c>
      <c r="F278" s="54" t="inlineStr">
        <is>
          <t xml:space="preserve">Quality</t>
        </is>
      </c>
    </row>
    <row r="279">
      <c r="A279" s="54" t="inlineStr">
        <is>
          <t xml:space="preserve">ATM</t>
        </is>
      </c>
      <c r="B279" s="49" t="n">
        <v>46204</v>
      </c>
      <c r="C279" s="54" t="inlineStr">
        <is>
          <t xml:space="preserve">Thoracic</t>
        </is>
      </c>
      <c r="D279" s="54" t="inlineStr">
        <is>
          <t xml:space="preserve">9972 · Laceration/Cut</t>
        </is>
      </c>
      <c r="E279" s="55" t="n">
        <v>3</v>
      </c>
      <c r="F279" s="54" t="inlineStr">
        <is>
          <t xml:space="preserve">Quality</t>
        </is>
      </c>
    </row>
    <row r="280">
      <c r="A280" s="54" t="inlineStr">
        <is>
          <t xml:space="preserve">ATM</t>
        </is>
      </c>
      <c r="B280" s="49" t="n">
        <v>46209</v>
      </c>
      <c r="C280" s="54" t="inlineStr">
        <is>
          <t xml:space="preserve">Thoracic</t>
        </is>
      </c>
      <c r="D280" s="54" t="inlineStr">
        <is>
          <t xml:space="preserve">9972 · Laceration/Cut</t>
        </is>
      </c>
      <c r="E280" s="55" t="n">
        <v>2</v>
      </c>
      <c r="F280" s="54" t="inlineStr">
        <is>
          <t xml:space="preserve">Quality</t>
        </is>
      </c>
    </row>
    <row r="281">
      <c r="A281" s="54" t="inlineStr">
        <is>
          <t xml:space="preserve">ATM</t>
        </is>
      </c>
      <c r="B281" s="49" t="n">
        <v>46211</v>
      </c>
      <c r="C281" s="54" t="inlineStr">
        <is>
          <t xml:space="preserve">Thoracic</t>
        </is>
      </c>
      <c r="D281" s="54" t="inlineStr">
        <is>
          <t xml:space="preserve">9972 · Laceration/Cut</t>
        </is>
      </c>
      <c r="E281" s="55" t="n">
        <v>1</v>
      </c>
      <c r="F281" s="54" t="inlineStr">
        <is>
          <t xml:space="preserve">Quality</t>
        </is>
      </c>
    </row>
    <row r="282">
      <c r="A282" s="54" t="inlineStr">
        <is>
          <t xml:space="preserve">ATM</t>
        </is>
      </c>
      <c r="B282" s="49" t="n">
        <v>46212</v>
      </c>
      <c r="C282" s="54" t="inlineStr">
        <is>
          <t xml:space="preserve">Pelvic</t>
        </is>
      </c>
      <c r="D282" s="54" t="inlineStr">
        <is>
          <t xml:space="preserve">1220 · Destructive Testing (eng/R&amp;D)</t>
        </is>
      </c>
      <c r="E282" s="55" t="n">
        <v>5</v>
      </c>
      <c r="F282" s="54" t="inlineStr">
        <is>
          <t xml:space="preserve">Planned</t>
        </is>
      </c>
    </row>
    <row r="283">
      <c r="A283" s="54" t="inlineStr">
        <is>
          <t xml:space="preserve">ATM</t>
        </is>
      </c>
      <c r="B283" s="49" t="n">
        <v>46212</v>
      </c>
      <c r="C283" s="54" t="inlineStr">
        <is>
          <t xml:space="preserve">Thoracic</t>
        </is>
      </c>
      <c r="D283" s="54" t="inlineStr">
        <is>
          <t xml:space="preserve">9972 · Laceration/Cut</t>
        </is>
      </c>
      <c r="E283" s="55" t="n">
        <v>1</v>
      </c>
      <c r="F283" s="54" t="inlineStr">
        <is>
          <t xml:space="preserve">Quality</t>
        </is>
      </c>
    </row>
    <row r="284">
      <c r="A284" s="54" t="inlineStr">
        <is>
          <t xml:space="preserve">ATM</t>
        </is>
      </c>
      <c r="B284" s="49" t="n">
        <v>46212</v>
      </c>
      <c r="C284" s="54" t="inlineStr">
        <is>
          <t xml:space="preserve">Pelvic</t>
        </is>
      </c>
      <c r="D284" s="54" t="inlineStr">
        <is>
          <t xml:space="preserve">9972 · Laceration/Cut</t>
        </is>
      </c>
      <c r="E284" s="55" t="n">
        <v>3</v>
      </c>
      <c r="F284" s="54" t="inlineStr">
        <is>
          <t xml:space="preserve">Quality</t>
        </is>
      </c>
    </row>
    <row r="285">
      <c r="A285" s="54" t="inlineStr">
        <is>
          <t xml:space="preserve">ATM</t>
        </is>
      </c>
      <c r="B285" s="49" t="n">
        <v>46213</v>
      </c>
      <c r="C285" s="54" t="inlineStr">
        <is>
          <t xml:space="preserve">Thoracic</t>
        </is>
      </c>
      <c r="D285" s="54" t="inlineStr">
        <is>
          <t xml:space="preserve">9972 · Laceration/Cut</t>
        </is>
      </c>
      <c r="E285" s="55" t="n">
        <v>6</v>
      </c>
      <c r="F285" s="54" t="inlineStr">
        <is>
          <t xml:space="preserve">Quality</t>
        </is>
      </c>
    </row>
    <row r="286">
      <c r="A286" s="54" t="inlineStr">
        <is>
          <t xml:space="preserve">ATM</t>
        </is>
      </c>
      <c r="B286" s="49" t="n">
        <v>46216</v>
      </c>
      <c r="C286" s="54" t="inlineStr">
        <is>
          <t xml:space="preserve">Thoracic</t>
        </is>
      </c>
      <c r="D286" s="54" t="inlineStr">
        <is>
          <t xml:space="preserve">1220 · Destructive Testing (eng/R&amp;D)</t>
        </is>
      </c>
      <c r="E286" s="55" t="n">
        <v>1</v>
      </c>
      <c r="F286" s="54" t="inlineStr">
        <is>
          <t xml:space="preserve">Planned</t>
        </is>
      </c>
    </row>
    <row r="287">
      <c r="A287" s="54" t="inlineStr">
        <is>
          <t xml:space="preserve">ATM</t>
        </is>
      </c>
      <c r="B287" s="49" t="n">
        <v>46216</v>
      </c>
      <c r="C287" s="54" t="inlineStr">
        <is>
          <t xml:space="preserve">Thoracic</t>
        </is>
      </c>
      <c r="D287" s="54" t="inlineStr">
        <is>
          <t xml:space="preserve">9972 · Laceration/Cut</t>
        </is>
      </c>
      <c r="E287" s="55" t="n">
        <v>6</v>
      </c>
      <c r="F287" s="54" t="inlineStr">
        <is>
          <t xml:space="preserve">Quality</t>
        </is>
      </c>
    </row>
    <row r="288">
      <c r="A288" s="54" t="inlineStr">
        <is>
          <t xml:space="preserve">ATM</t>
        </is>
      </c>
      <c r="B288" s="49" t="n">
        <v>46218</v>
      </c>
      <c r="C288" s="54" t="inlineStr">
        <is>
          <t xml:space="preserve">Thoracic</t>
        </is>
      </c>
      <c r="D288" s="54" t="inlineStr">
        <is>
          <t xml:space="preserve">9972 · Laceration/Cut</t>
        </is>
      </c>
      <c r="E288" s="55" t="n">
        <v>2</v>
      </c>
      <c r="F288" s="54" t="inlineStr">
        <is>
          <t xml:space="preserve">Quality</t>
        </is>
      </c>
    </row>
    <row r="289">
      <c r="A289" s="54" t="inlineStr">
        <is>
          <t xml:space="preserve">ATM</t>
        </is>
      </c>
      <c r="B289" s="49" t="n">
        <v>46219</v>
      </c>
      <c r="C289" s="54" t="inlineStr">
        <is>
          <t xml:space="preserve">Thoracic</t>
        </is>
      </c>
      <c r="D289" s="54" t="inlineStr">
        <is>
          <t xml:space="preserve">9972 · Laceration/Cut</t>
        </is>
      </c>
      <c r="E289" s="55" t="n">
        <v>3</v>
      </c>
      <c r="F289" s="54" t="inlineStr">
        <is>
          <t xml:space="preserve">Quality</t>
        </is>
      </c>
    </row>
    <row r="290">
      <c r="A290" s="54" t="inlineStr">
        <is>
          <t xml:space="preserve">ATM</t>
        </is>
      </c>
      <c r="B290" s="49" t="n">
        <v>46219</v>
      </c>
      <c r="C290" s="54" t="inlineStr">
        <is>
          <t xml:space="preserve">Pelvic</t>
        </is>
      </c>
      <c r="D290" s="54" t="inlineStr">
        <is>
          <t xml:space="preserve">9972 · Laceration/Cut</t>
        </is>
      </c>
      <c r="E290" s="55" t="n">
        <v>2</v>
      </c>
      <c r="F290" s="54" t="inlineStr">
        <is>
          <t xml:space="preserve">Quality</t>
        </is>
      </c>
    </row>
    <row r="291">
      <c r="A291" s="54" t="inlineStr">
        <is>
          <t xml:space="preserve">ATM</t>
        </is>
      </c>
      <c r="B291" s="49" t="n">
        <v>46219</v>
      </c>
      <c r="C291" s="54" t="inlineStr">
        <is>
          <t xml:space="preserve">Pelvic</t>
        </is>
      </c>
      <c r="D291" s="54" t="inlineStr">
        <is>
          <t xml:space="preserve">9976 · Spoilage</t>
        </is>
      </c>
      <c r="E291" s="55" t="n">
        <v>1</v>
      </c>
      <c r="F291" s="54" t="inlineStr">
        <is>
          <t xml:space="preserve">Quality</t>
        </is>
      </c>
    </row>
    <row r="292">
      <c r="A292" s="54" t="inlineStr">
        <is>
          <t xml:space="preserve">ATM</t>
        </is>
      </c>
      <c r="B292" s="49" t="n">
        <v>46219</v>
      </c>
      <c r="C292" s="54" t="inlineStr">
        <is>
          <t xml:space="preserve">Pelvic</t>
        </is>
      </c>
      <c r="D292" s="54" t="inlineStr">
        <is>
          <t xml:space="preserve">9987 · Blood Clots</t>
        </is>
      </c>
      <c r="E292" s="55" t="n">
        <v>6</v>
      </c>
      <c r="F292" s="54" t="inlineStr">
        <is>
          <t xml:space="preserve">Quality</t>
        </is>
      </c>
    </row>
    <row r="293">
      <c r="A293" s="54" t="inlineStr">
        <is>
          <t xml:space="preserve">ATM</t>
        </is>
      </c>
      <c r="B293" s="49" t="n">
        <v>46219</v>
      </c>
      <c r="C293" s="54" t="inlineStr">
        <is>
          <t xml:space="preserve">Pelvic</t>
        </is>
      </c>
      <c r="D293" s="54" t="inlineStr">
        <is>
          <t xml:space="preserve">9988 · Exposed Urethra</t>
        </is>
      </c>
      <c r="E293" s="55" t="n">
        <v>1</v>
      </c>
      <c r="F293" s="54" t="inlineStr">
        <is>
          <t xml:space="preserve">Quality</t>
        </is>
      </c>
    </row>
    <row r="294">
      <c r="A294" s="54" t="inlineStr">
        <is>
          <t xml:space="preserve">ATM</t>
        </is>
      </c>
      <c r="B294" s="49" t="n">
        <v>46220</v>
      </c>
      <c r="C294" s="54" t="inlineStr">
        <is>
          <t xml:space="preserve">Thoracic</t>
        </is>
      </c>
      <c r="D294" s="54" t="inlineStr">
        <is>
          <t xml:space="preserve">9972 · Laceration/Cut</t>
        </is>
      </c>
      <c r="E294" s="55" t="n">
        <v>8</v>
      </c>
      <c r="F294" s="54" t="inlineStr">
        <is>
          <t xml:space="preserve">Quality</t>
        </is>
      </c>
    </row>
    <row r="295">
      <c r="A295" s="54" t="inlineStr">
        <is>
          <t xml:space="preserve">ATM</t>
        </is>
      </c>
      <c r="B295" s="49" t="n">
        <v>46224</v>
      </c>
      <c r="C295" s="54" t="inlineStr">
        <is>
          <t xml:space="preserve">Thoracic</t>
        </is>
      </c>
      <c r="D295" s="54" t="inlineStr">
        <is>
          <t xml:space="preserve">9972 · Laceration/Cut</t>
        </is>
      </c>
      <c r="E295" s="55" t="n">
        <v>11</v>
      </c>
      <c r="F295" s="54" t="inlineStr">
        <is>
          <t xml:space="preserve">Quality</t>
        </is>
      </c>
    </row>
    <row r="296">
      <c r="A296" s="54" t="inlineStr">
        <is>
          <t xml:space="preserve">ATM</t>
        </is>
      </c>
      <c r="B296" s="49" t="n">
        <v>46226</v>
      </c>
      <c r="C296" s="54" t="inlineStr">
        <is>
          <t xml:space="preserve">Thoracic</t>
        </is>
      </c>
      <c r="D296" s="54" t="inlineStr">
        <is>
          <t xml:space="preserve">9972 · Laceration/Cut</t>
        </is>
      </c>
      <c r="E296" s="55" t="n">
        <v>4</v>
      </c>
      <c r="F296" s="54" t="inlineStr">
        <is>
          <t xml:space="preserve">Quality</t>
        </is>
      </c>
    </row>
    <row r="297">
      <c r="A297" s="54" t="inlineStr">
        <is>
          <t xml:space="preserve">ATM</t>
        </is>
      </c>
      <c r="B297" s="49" t="n">
        <v>46226</v>
      </c>
      <c r="C297" s="54" t="inlineStr">
        <is>
          <t xml:space="preserve">Pelvic</t>
        </is>
      </c>
      <c r="D297" s="54" t="inlineStr">
        <is>
          <t xml:space="preserve">9972 · Laceration/Cut</t>
        </is>
      </c>
      <c r="E297" s="55" t="n">
        <v>7</v>
      </c>
      <c r="F297" s="54" t="inlineStr">
        <is>
          <t xml:space="preserve">Quality</t>
        </is>
      </c>
    </row>
    <row r="298">
      <c r="A298" s="54" t="inlineStr">
        <is>
          <t xml:space="preserve">ATM</t>
        </is>
      </c>
      <c r="B298" s="49" t="n">
        <v>46226</v>
      </c>
      <c r="C298" s="54" t="inlineStr">
        <is>
          <t xml:space="preserve">Pelvic</t>
        </is>
      </c>
      <c r="D298" s="54" t="inlineStr">
        <is>
          <t xml:space="preserve">9986 · Bladder Length</t>
        </is>
      </c>
      <c r="E298" s="55" t="n">
        <v>1</v>
      </c>
      <c r="F298" s="54" t="inlineStr">
        <is>
          <t xml:space="preserve">Quality</t>
        </is>
      </c>
    </row>
    <row r="299">
      <c r="A299" s="54" t="inlineStr">
        <is>
          <t xml:space="preserve">ATM</t>
        </is>
      </c>
      <c r="B299" s="49" t="n">
        <v>46226</v>
      </c>
      <c r="C299" s="54" t="inlineStr">
        <is>
          <t xml:space="preserve">Pelvic</t>
        </is>
      </c>
      <c r="D299" s="54" t="inlineStr">
        <is>
          <t xml:space="preserve">9987 · Blood Clots</t>
        </is>
      </c>
      <c r="E299" s="55" t="n">
        <v>3</v>
      </c>
      <c r="F299" s="54" t="inlineStr">
        <is>
          <t xml:space="preserve">Quality</t>
        </is>
      </c>
    </row>
    <row r="300">
      <c r="A300" s="54" t="inlineStr">
        <is>
          <t xml:space="preserve">ATM</t>
        </is>
      </c>
      <c r="B300" s="49" t="n">
        <v>46230</v>
      </c>
      <c r="C300" s="54" t="inlineStr">
        <is>
          <t xml:space="preserve">Thoracic</t>
        </is>
      </c>
      <c r="D300" s="54" t="inlineStr">
        <is>
          <t xml:space="preserve">9972 · Laceration/Cut</t>
        </is>
      </c>
      <c r="E300" s="55" t="n">
        <v>9</v>
      </c>
      <c r="F300" s="54" t="inlineStr">
        <is>
          <t xml:space="preserve">Quality</t>
        </is>
      </c>
    </row>
    <row r="301">
      <c r="A301" s="54" t="inlineStr">
        <is>
          <t xml:space="preserve">ATM</t>
        </is>
      </c>
      <c r="B301" s="49" t="n">
        <v>46231</v>
      </c>
      <c r="C301" s="54" t="inlineStr">
        <is>
          <t xml:space="preserve">Thoracic</t>
        </is>
      </c>
      <c r="D301" s="54" t="inlineStr">
        <is>
          <t xml:space="preserve">9972 · Laceration/Cut</t>
        </is>
      </c>
      <c r="E301" s="55" t="n">
        <v>2</v>
      </c>
      <c r="F301" s="54" t="inlineStr">
        <is>
          <t xml:space="preserve">Quality</t>
        </is>
      </c>
    </row>
    <row r="302">
      <c r="A302" s="54" t="inlineStr">
        <is>
          <t xml:space="preserve">ATM</t>
        </is>
      </c>
      <c r="B302" s="49" t="n">
        <v>46232</v>
      </c>
      <c r="C302" s="54" t="inlineStr">
        <is>
          <t xml:space="preserve">Thoracic</t>
        </is>
      </c>
      <c r="D302" s="54" t="inlineStr">
        <is>
          <t xml:space="preserve">9972 · Laceration/Cut</t>
        </is>
      </c>
      <c r="E302" s="55" t="n">
        <v>2</v>
      </c>
      <c r="F302" s="54" t="inlineStr">
        <is>
          <t xml:space="preserve">Quality</t>
        </is>
      </c>
    </row>
    <row r="303">
      <c r="A303" s="54" t="inlineStr">
        <is>
          <t xml:space="preserve">ATM</t>
        </is>
      </c>
      <c r="B303" s="49" t="n">
        <v>46233</v>
      </c>
      <c r="C303" s="54" t="inlineStr">
        <is>
          <t xml:space="preserve">Pelvic</t>
        </is>
      </c>
      <c r="D303" s="54" t="inlineStr">
        <is>
          <t xml:space="preserve">9972 · Laceration/Cut</t>
        </is>
      </c>
      <c r="E303" s="55" t="n">
        <v>1</v>
      </c>
      <c r="F303" s="54" t="inlineStr">
        <is>
          <t xml:space="preserve">Quality</t>
        </is>
      </c>
    </row>
    <row r="304">
      <c r="A304" s="54" t="inlineStr">
        <is>
          <t xml:space="preserve">ATM</t>
        </is>
      </c>
      <c r="B304" s="49" t="n">
        <v>46233</v>
      </c>
      <c r="C304" s="54" t="inlineStr">
        <is>
          <t xml:space="preserve">Pelvic</t>
        </is>
      </c>
      <c r="D304" s="54" t="inlineStr">
        <is>
          <t xml:space="preserve">9988 · Exposed Urethra</t>
        </is>
      </c>
      <c r="E304" s="55" t="n">
        <v>3</v>
      </c>
      <c r="F304" s="54" t="inlineStr">
        <is>
          <t xml:space="preserve">Quality</t>
        </is>
      </c>
    </row>
    <row r="305">
      <c r="A305" s="54" t="inlineStr">
        <is>
          <t xml:space="preserve">ATM</t>
        </is>
      </c>
      <c r="B305" s="49" t="n">
        <v>46233</v>
      </c>
      <c r="C305" s="54" t="inlineStr">
        <is>
          <t xml:space="preserve">Pelvic</t>
        </is>
      </c>
      <c r="D305" s="54" t="inlineStr">
        <is>
          <t xml:space="preserve">9991 · R&amp;D/Testing</t>
        </is>
      </c>
      <c r="E305" s="55" t="n">
        <v>10</v>
      </c>
      <c r="F305" s="54" t="inlineStr">
        <is>
          <t xml:space="preserve">Planned</t>
        </is>
      </c>
    </row>
    <row r="306">
      <c r="A306" s="54" t="inlineStr">
        <is>
          <t xml:space="preserve">ATM</t>
        </is>
      </c>
      <c r="B306" s="49" t="n">
        <v>46240</v>
      </c>
      <c r="C306" s="54" t="inlineStr">
        <is>
          <t xml:space="preserve">Thoracic</t>
        </is>
      </c>
      <c r="D306" s="54" t="inlineStr">
        <is>
          <t xml:space="preserve">9972 · Laceration/Cut</t>
        </is>
      </c>
      <c r="E306" s="55" t="n">
        <v>4</v>
      </c>
      <c r="F306" s="54" t="inlineStr">
        <is>
          <t xml:space="preserve">Quality</t>
        </is>
      </c>
    </row>
    <row r="307">
      <c r="A307" s="54" t="inlineStr">
        <is>
          <t xml:space="preserve">ATM</t>
        </is>
      </c>
      <c r="B307" s="49" t="n">
        <v>46240</v>
      </c>
      <c r="C307" s="54" t="inlineStr">
        <is>
          <t xml:space="preserve">Pelvic</t>
        </is>
      </c>
      <c r="D307" s="54" t="inlineStr">
        <is>
          <t xml:space="preserve">9972 · Laceration/Cut</t>
        </is>
      </c>
      <c r="E307" s="55" t="n">
        <v>4</v>
      </c>
      <c r="F307" s="54" t="inlineStr">
        <is>
          <t xml:space="preserve">Quality</t>
        </is>
      </c>
    </row>
    <row r="308">
      <c r="A308" s="54" t="inlineStr">
        <is>
          <t xml:space="preserve">ATM</t>
        </is>
      </c>
      <c r="B308" s="49" t="n">
        <v>46240</v>
      </c>
      <c r="C308" s="54" t="inlineStr">
        <is>
          <t xml:space="preserve">Pelvic</t>
        </is>
      </c>
      <c r="D308" s="54" t="inlineStr">
        <is>
          <t xml:space="preserve">9994 · Line Clearance</t>
        </is>
      </c>
      <c r="E308" s="55" t="n">
        <v>6</v>
      </c>
      <c r="F308" s="54" t="inlineStr">
        <is>
          <t xml:space="preserve">Planned</t>
        </is>
      </c>
    </row>
    <row r="309">
      <c r="A309" s="54" t="inlineStr">
        <is>
          <t xml:space="preserve">ATM</t>
        </is>
      </c>
      <c r="B309" s="49" t="n">
        <v>46241</v>
      </c>
      <c r="C309" s="54" t="inlineStr">
        <is>
          <t xml:space="preserve">Thoracic</t>
        </is>
      </c>
      <c r="D309" s="54" t="inlineStr">
        <is>
          <t xml:space="preserve">9972 · Laceration/Cut</t>
        </is>
      </c>
      <c r="E309" s="55" t="n">
        <v>9</v>
      </c>
      <c r="F309" s="54" t="inlineStr">
        <is>
          <t xml:space="preserve">Quality</t>
        </is>
      </c>
    </row>
    <row r="310">
      <c r="A310" s="54" t="inlineStr">
        <is>
          <t xml:space="preserve">ATM</t>
        </is>
      </c>
      <c r="B310" s="49" t="n">
        <v>46244</v>
      </c>
      <c r="C310" s="54" t="inlineStr">
        <is>
          <t xml:space="preserve">Thoracic</t>
        </is>
      </c>
      <c r="D310" s="54" t="inlineStr">
        <is>
          <t xml:space="preserve">9972 · Laceration/Cut</t>
        </is>
      </c>
      <c r="E310" s="55" t="n">
        <v>11</v>
      </c>
      <c r="F310" s="54" t="inlineStr">
        <is>
          <t xml:space="preserve">Quality</t>
        </is>
      </c>
    </row>
    <row r="311">
      <c r="A311" s="54" t="inlineStr">
        <is>
          <t xml:space="preserve">ATM</t>
        </is>
      </c>
      <c r="B311" s="49" t="n">
        <v>46245</v>
      </c>
      <c r="C311" s="54" t="inlineStr">
        <is>
          <t xml:space="preserve">Thoracic</t>
        </is>
      </c>
      <c r="D311" s="54" t="inlineStr">
        <is>
          <t xml:space="preserve">9972 · Laceration/Cut</t>
        </is>
      </c>
      <c r="E311" s="55" t="n">
        <v>5</v>
      </c>
      <c r="F311" s="54" t="inlineStr">
        <is>
          <t xml:space="preserve">Quality</t>
        </is>
      </c>
    </row>
    <row r="312">
      <c r="A312" s="54" t="inlineStr">
        <is>
          <t xml:space="preserve">ATM</t>
        </is>
      </c>
      <c r="B312" s="49" t="n">
        <v>46246</v>
      </c>
      <c r="C312" s="54" t="inlineStr">
        <is>
          <t xml:space="preserve">Thoracic</t>
        </is>
      </c>
      <c r="D312" s="54" t="inlineStr">
        <is>
          <t xml:space="preserve">9972 · Laceration/Cut</t>
        </is>
      </c>
      <c r="E312" s="55" t="n">
        <v>2</v>
      </c>
      <c r="F312" s="54" t="inlineStr">
        <is>
          <t xml:space="preserve">Quality</t>
        </is>
      </c>
    </row>
    <row r="313">
      <c r="A313" s="54" t="inlineStr">
        <is>
          <t xml:space="preserve">ATM</t>
        </is>
      </c>
      <c r="B313" s="49" t="n">
        <v>46246</v>
      </c>
      <c r="C313" s="54" t="inlineStr">
        <is>
          <t xml:space="preserve">Pelvic</t>
        </is>
      </c>
      <c r="D313" s="54" t="inlineStr">
        <is>
          <t xml:space="preserve">9972 · Laceration/Cut</t>
        </is>
      </c>
      <c r="E313" s="55" t="n">
        <v>2</v>
      </c>
      <c r="F313" s="54" t="inlineStr">
        <is>
          <t xml:space="preserve">Quality</t>
        </is>
      </c>
    </row>
    <row r="314">
      <c r="A314" s="54" t="inlineStr">
        <is>
          <t xml:space="preserve">ATM</t>
        </is>
      </c>
      <c r="B314" s="49" t="n">
        <v>46246</v>
      </c>
      <c r="C314" s="54" t="inlineStr">
        <is>
          <t xml:space="preserve">Pelvic</t>
        </is>
      </c>
      <c r="D314" s="54" t="inlineStr">
        <is>
          <t xml:space="preserve">9988 · Exposed Urethra</t>
        </is>
      </c>
      <c r="E314" s="55" t="n">
        <v>3</v>
      </c>
      <c r="F314" s="54" t="inlineStr">
        <is>
          <t xml:space="preserve">Quality</t>
        </is>
      </c>
    </row>
    <row r="315">
      <c r="A315" s="54" t="inlineStr">
        <is>
          <t xml:space="preserve">ATM</t>
        </is>
      </c>
      <c r="B315" s="49" t="n">
        <v>46248</v>
      </c>
      <c r="C315" s="54" t="inlineStr">
        <is>
          <t xml:space="preserve">Thoracic</t>
        </is>
      </c>
      <c r="D315" s="54" t="inlineStr">
        <is>
          <t xml:space="preserve">9972 · Laceration/Cut</t>
        </is>
      </c>
      <c r="E315" s="55" t="n">
        <v>4</v>
      </c>
      <c r="F315" s="54" t="inlineStr">
        <is>
          <t xml:space="preserve">Quality</t>
        </is>
      </c>
    </row>
    <row r="316">
      <c r="A316" s="54" t="inlineStr">
        <is>
          <t xml:space="preserve">ATM</t>
        </is>
      </c>
      <c r="B316" s="49" t="n">
        <v>46251</v>
      </c>
      <c r="C316" s="54" t="inlineStr">
        <is>
          <t xml:space="preserve">Thoracic</t>
        </is>
      </c>
      <c r="D316" s="54" t="inlineStr">
        <is>
          <t xml:space="preserve">9972 · Laceration/Cut</t>
        </is>
      </c>
      <c r="E316" s="55" t="n">
        <v>16</v>
      </c>
      <c r="F316" s="54" t="inlineStr">
        <is>
          <t xml:space="preserve">Quality</t>
        </is>
      </c>
    </row>
    <row r="317">
      <c r="A317" s="54" t="inlineStr">
        <is>
          <t xml:space="preserve">ATM</t>
        </is>
      </c>
      <c r="B317" s="49" t="n">
        <v>46252</v>
      </c>
      <c r="C317" s="54" t="inlineStr">
        <is>
          <t xml:space="preserve">Thoracic</t>
        </is>
      </c>
      <c r="D317" s="54" t="inlineStr">
        <is>
          <t xml:space="preserve">9972 · Laceration/Cut</t>
        </is>
      </c>
      <c r="E317" s="55" t="n">
        <v>12</v>
      </c>
      <c r="F317" s="54" t="inlineStr">
        <is>
          <t xml:space="preserve">Quality</t>
        </is>
      </c>
    </row>
    <row r="318">
      <c r="A318" s="54" t="inlineStr">
        <is>
          <t xml:space="preserve">ATM</t>
        </is>
      </c>
      <c r="B318" s="49" t="n">
        <v>46252</v>
      </c>
      <c r="C318" s="54" t="inlineStr">
        <is>
          <t xml:space="preserve">Pelvic</t>
        </is>
      </c>
      <c r="D318" s="54" t="inlineStr">
        <is>
          <t xml:space="preserve">9972 · Laceration/Cut</t>
        </is>
      </c>
      <c r="E318" s="55" t="n">
        <v>6</v>
      </c>
      <c r="F318" s="54" t="inlineStr">
        <is>
          <t xml:space="preserve">Quality</t>
        </is>
      </c>
    </row>
    <row r="319">
      <c r="A319" s="54" t="inlineStr">
        <is>
          <t xml:space="preserve">ATM</t>
        </is>
      </c>
      <c r="B319" s="49" t="n">
        <v>46252</v>
      </c>
      <c r="C319" s="54" t="inlineStr">
        <is>
          <t xml:space="preserve">Pelvic</t>
        </is>
      </c>
      <c r="D319" s="54" t="inlineStr">
        <is>
          <t xml:space="preserve">9986 · Bladder Length</t>
        </is>
      </c>
      <c r="E319" s="55" t="n">
        <v>3</v>
      </c>
      <c r="F319" s="54" t="inlineStr">
        <is>
          <t xml:space="preserve">Quality</t>
        </is>
      </c>
    </row>
    <row r="320">
      <c r="A320" s="54" t="inlineStr">
        <is>
          <t xml:space="preserve">ATM</t>
        </is>
      </c>
      <c r="B320" s="49" t="n">
        <v>46252</v>
      </c>
      <c r="C320" s="54" t="inlineStr">
        <is>
          <t xml:space="preserve">Pelvic</t>
        </is>
      </c>
      <c r="D320" s="54" t="inlineStr">
        <is>
          <t xml:space="preserve">9988 · Exposed Urethra</t>
        </is>
      </c>
      <c r="E320" s="55" t="n">
        <v>2</v>
      </c>
      <c r="F320" s="54" t="inlineStr">
        <is>
          <t xml:space="preserve">Quality</t>
        </is>
      </c>
    </row>
    <row r="321">
      <c r="A321" s="54" t="inlineStr">
        <is>
          <t xml:space="preserve">ATM</t>
        </is>
      </c>
      <c r="B321" s="49" t="n">
        <v>46253</v>
      </c>
      <c r="C321" s="54" t="inlineStr">
        <is>
          <t xml:space="preserve">Thoracic</t>
        </is>
      </c>
      <c r="D321" s="54" t="inlineStr">
        <is>
          <t xml:space="preserve">9972 · Laceration/Cut</t>
        </is>
      </c>
      <c r="E321" s="55" t="n">
        <v>4</v>
      </c>
      <c r="F321" s="54" t="inlineStr">
        <is>
          <t xml:space="preserve">Quality</t>
        </is>
      </c>
    </row>
    <row r="322">
      <c r="A322" s="54" t="inlineStr">
        <is>
          <t xml:space="preserve">ATM</t>
        </is>
      </c>
      <c r="B322" s="49" t="n">
        <v>46253</v>
      </c>
      <c r="C322" s="54" t="inlineStr">
        <is>
          <t xml:space="preserve">Pelvic</t>
        </is>
      </c>
      <c r="D322" s="54" t="inlineStr">
        <is>
          <t xml:space="preserve">9972 · Laceration/Cut</t>
        </is>
      </c>
      <c r="E322" s="55" t="n">
        <v>1</v>
      </c>
      <c r="F322" s="54" t="inlineStr">
        <is>
          <t xml:space="preserve">Quality</t>
        </is>
      </c>
    </row>
    <row r="323">
      <c r="A323" s="54" t="inlineStr">
        <is>
          <t xml:space="preserve">ATM</t>
        </is>
      </c>
      <c r="B323" s="49" t="n">
        <v>46253</v>
      </c>
      <c r="C323" s="54" t="inlineStr">
        <is>
          <t xml:space="preserve">Pelvic</t>
        </is>
      </c>
      <c r="D323" s="54" t="inlineStr">
        <is>
          <t xml:space="preserve">9986 · Bladder Length</t>
        </is>
      </c>
      <c r="E323" s="55" t="n">
        <v>1</v>
      </c>
      <c r="F323" s="54" t="inlineStr">
        <is>
          <t xml:space="preserve">Quality</t>
        </is>
      </c>
    </row>
    <row r="324">
      <c r="A324" s="54" t="inlineStr">
        <is>
          <t xml:space="preserve">ATM</t>
        </is>
      </c>
      <c r="B324" s="49" t="n">
        <v>46254</v>
      </c>
      <c r="C324" s="54" t="inlineStr">
        <is>
          <t xml:space="preserve">Thoracic</t>
        </is>
      </c>
      <c r="D324" s="54" t="inlineStr">
        <is>
          <t xml:space="preserve">9972 · Laceration/Cut</t>
        </is>
      </c>
      <c r="E324" s="55" t="n">
        <v>1</v>
      </c>
      <c r="F324" s="54" t="inlineStr">
        <is>
          <t xml:space="preserve">Quality</t>
        </is>
      </c>
    </row>
    <row r="325">
      <c r="A325" s="54" t="inlineStr">
        <is>
          <t xml:space="preserve">ATM</t>
        </is>
      </c>
      <c r="B325" s="49" t="n">
        <v>46258</v>
      </c>
      <c r="C325" s="54" t="inlineStr">
        <is>
          <t xml:space="preserve">Thoracic</t>
        </is>
      </c>
      <c r="D325" s="54" t="inlineStr">
        <is>
          <t xml:space="preserve">9972 · Laceration/Cut</t>
        </is>
      </c>
      <c r="E325" s="55" t="n">
        <v>1</v>
      </c>
      <c r="F325" s="54" t="inlineStr">
        <is>
          <t xml:space="preserve">Quality</t>
        </is>
      </c>
    </row>
    <row r="326">
      <c r="A326" s="54" t="inlineStr">
        <is>
          <t xml:space="preserve">ATM</t>
        </is>
      </c>
      <c r="B326" s="49" t="n">
        <v>46260</v>
      </c>
      <c r="C326" s="54" t="inlineStr">
        <is>
          <t xml:space="preserve">Pelvic</t>
        </is>
      </c>
      <c r="D326" s="54" t="inlineStr">
        <is>
          <t xml:space="preserve">9972 · Laceration/Cut</t>
        </is>
      </c>
      <c r="E326" s="55" t="n">
        <v>5</v>
      </c>
      <c r="F326" s="54" t="inlineStr">
        <is>
          <t xml:space="preserve">Quality</t>
        </is>
      </c>
    </row>
    <row r="327">
      <c r="A327" s="54" t="inlineStr">
        <is>
          <t xml:space="preserve">ATM</t>
        </is>
      </c>
      <c r="B327" s="49" t="n">
        <v>46260</v>
      </c>
      <c r="C327" s="54" t="inlineStr">
        <is>
          <t xml:space="preserve">Pelvic</t>
        </is>
      </c>
      <c r="D327" s="54" t="inlineStr">
        <is>
          <t xml:space="preserve">9986 · Bladder Length</t>
        </is>
      </c>
      <c r="E327" s="55" t="n">
        <v>5</v>
      </c>
      <c r="F327" s="54" t="inlineStr">
        <is>
          <t xml:space="preserve">Quality</t>
        </is>
      </c>
    </row>
    <row r="328">
      <c r="A328" s="54" t="inlineStr">
        <is>
          <t xml:space="preserve">ATM</t>
        </is>
      </c>
      <c r="B328" s="49" t="n">
        <v>46261</v>
      </c>
      <c r="C328" s="54" t="inlineStr">
        <is>
          <t xml:space="preserve">Thoracic</t>
        </is>
      </c>
      <c r="D328" s="54" t="inlineStr">
        <is>
          <t xml:space="preserve">9972 · Laceration/Cut</t>
        </is>
      </c>
      <c r="E328" s="55" t="n">
        <v>7</v>
      </c>
      <c r="F328" s="54" t="inlineStr">
        <is>
          <t xml:space="preserve">Quality</t>
        </is>
      </c>
    </row>
    <row r="329">
      <c r="A329" s="54" t="inlineStr">
        <is>
          <t xml:space="preserve">ATM</t>
        </is>
      </c>
      <c r="B329" s="49" t="n">
        <v>46262</v>
      </c>
      <c r="C329" s="54" t="inlineStr">
        <is>
          <t xml:space="preserve">Thoracic</t>
        </is>
      </c>
      <c r="D329" s="54" t="inlineStr">
        <is>
          <t xml:space="preserve">9972 · Laceration/Cut</t>
        </is>
      </c>
      <c r="E329" s="55" t="n">
        <v>3</v>
      </c>
      <c r="F329" s="54" t="inlineStr">
        <is>
          <t xml:space="preserve">Quality</t>
        </is>
      </c>
    </row>
    <row r="330">
      <c r="A330" s="54" t="inlineStr">
        <is>
          <t xml:space="preserve">ATM</t>
        </is>
      </c>
      <c r="B330" s="49" t="n">
        <v>46265</v>
      </c>
      <c r="C330" s="54" t="inlineStr">
        <is>
          <t xml:space="preserve">Thoracic</t>
        </is>
      </c>
      <c r="D330" s="54" t="inlineStr">
        <is>
          <t xml:space="preserve">9972 · Laceration/Cut</t>
        </is>
      </c>
      <c r="E330" s="55" t="n">
        <v>15</v>
      </c>
      <c r="F330" s="54" t="inlineStr">
        <is>
          <t xml:space="preserve">Quality</t>
        </is>
      </c>
    </row>
    <row r="331">
      <c r="A331" s="54" t="inlineStr">
        <is>
          <t xml:space="preserve">ATM</t>
        </is>
      </c>
      <c r="B331" s="49" t="n">
        <v>46266</v>
      </c>
      <c r="C331" s="54" t="inlineStr">
        <is>
          <t xml:space="preserve">Thoracic</t>
        </is>
      </c>
      <c r="D331" s="54" t="inlineStr">
        <is>
          <t xml:space="preserve">9972 · Laceration/Cut</t>
        </is>
      </c>
      <c r="E331" s="55" t="n">
        <v>5</v>
      </c>
      <c r="F331" s="54" t="inlineStr">
        <is>
          <t xml:space="preserve">Quality</t>
        </is>
      </c>
    </row>
    <row r="332">
      <c r="A332" s="54" t="inlineStr">
        <is>
          <t xml:space="preserve">ATM</t>
        </is>
      </c>
      <c r="B332" s="49" t="n">
        <v>46267</v>
      </c>
      <c r="C332" s="54" t="inlineStr">
        <is>
          <t xml:space="preserve">Thoracic</t>
        </is>
      </c>
      <c r="D332" s="54" t="inlineStr">
        <is>
          <t xml:space="preserve">9972 · Laceration/Cut</t>
        </is>
      </c>
      <c r="E332" s="55" t="n">
        <v>2</v>
      </c>
      <c r="F332" s="54" t="inlineStr">
        <is>
          <t xml:space="preserve">Quality</t>
        </is>
      </c>
    </row>
    <row r="333">
      <c r="A333" s="54" t="inlineStr">
        <is>
          <t xml:space="preserve">ATM</t>
        </is>
      </c>
      <c r="B333" s="49" t="n">
        <v>46267</v>
      </c>
      <c r="C333" s="54" t="inlineStr">
        <is>
          <t xml:space="preserve">Pelvic</t>
        </is>
      </c>
      <c r="D333" s="54" t="inlineStr">
        <is>
          <t xml:space="preserve">9972 · Laceration/Cut</t>
        </is>
      </c>
      <c r="E333" s="55" t="n">
        <v>9</v>
      </c>
      <c r="F333" s="54" t="inlineStr">
        <is>
          <t xml:space="preserve">Quality</t>
        </is>
      </c>
    </row>
    <row r="334">
      <c r="A334" s="54" t="inlineStr">
        <is>
          <t xml:space="preserve">ATM</t>
        </is>
      </c>
      <c r="B334" s="49" t="n">
        <v>46267</v>
      </c>
      <c r="C334" s="54" t="inlineStr">
        <is>
          <t xml:space="preserve">Pelvic</t>
        </is>
      </c>
      <c r="D334" s="54" t="inlineStr">
        <is>
          <t xml:space="preserve">9986 · Bladder Length</t>
        </is>
      </c>
      <c r="E334" s="55" t="n">
        <v>3</v>
      </c>
      <c r="F334" s="54" t="inlineStr">
        <is>
          <t xml:space="preserve">Quality</t>
        </is>
      </c>
    </row>
    <row r="335">
      <c r="A335" s="54" t="inlineStr">
        <is>
          <t xml:space="preserve">ATM</t>
        </is>
      </c>
      <c r="B335" s="49" t="n">
        <v>46267</v>
      </c>
      <c r="C335" s="54" t="inlineStr">
        <is>
          <t xml:space="preserve">Pelvic</t>
        </is>
      </c>
      <c r="D335" s="54" t="inlineStr">
        <is>
          <t xml:space="preserve">9987 · Blood Clots</t>
        </is>
      </c>
      <c r="E335" s="55" t="n">
        <v>1</v>
      </c>
      <c r="F335" s="54" t="inlineStr">
        <is>
          <t xml:space="preserve">Quality</t>
        </is>
      </c>
    </row>
    <row r="336">
      <c r="A336" s="54" t="inlineStr">
        <is>
          <t xml:space="preserve">ATM</t>
        </is>
      </c>
      <c r="B336" s="49" t="n">
        <v>46269</v>
      </c>
      <c r="C336" s="54" t="inlineStr">
        <is>
          <t xml:space="preserve">Thoracic</t>
        </is>
      </c>
      <c r="D336" s="54" t="inlineStr">
        <is>
          <t xml:space="preserve">9972 · Laceration/Cut</t>
        </is>
      </c>
      <c r="E336" s="55" t="n">
        <v>2</v>
      </c>
      <c r="F336" s="54" t="inlineStr">
        <is>
          <t xml:space="preserve">Quality</t>
        </is>
      </c>
    </row>
    <row r="337">
      <c r="A337" s="54" t="inlineStr">
        <is>
          <t xml:space="preserve">ATM</t>
        </is>
      </c>
      <c r="B337" s="49" t="n">
        <v>46273</v>
      </c>
      <c r="C337" s="54" t="inlineStr">
        <is>
          <t xml:space="preserve">Thoracic</t>
        </is>
      </c>
      <c r="D337" s="54" t="inlineStr">
        <is>
          <t xml:space="preserve">9972 · Laceration/Cut</t>
        </is>
      </c>
      <c r="E337" s="55" t="n">
        <v>18</v>
      </c>
      <c r="F337" s="54" t="inlineStr">
        <is>
          <t xml:space="preserve">Quality</t>
        </is>
      </c>
    </row>
    <row r="338">
      <c r="A338" s="54" t="inlineStr">
        <is>
          <t xml:space="preserve">ATM</t>
        </is>
      </c>
      <c r="B338" s="49" t="n">
        <v>46274</v>
      </c>
      <c r="C338" s="54" t="inlineStr">
        <is>
          <t xml:space="preserve">Pelvic</t>
        </is>
      </c>
      <c r="D338" s="54" t="inlineStr">
        <is>
          <t xml:space="preserve">9972 · Laceration/Cut</t>
        </is>
      </c>
      <c r="E338" s="55" t="n">
        <v>3</v>
      </c>
      <c r="F338" s="54" t="inlineStr">
        <is>
          <t xml:space="preserve">Quality</t>
        </is>
      </c>
    </row>
    <row r="339">
      <c r="A339" s="54" t="inlineStr">
        <is>
          <t xml:space="preserve">ATM</t>
        </is>
      </c>
      <c r="B339" s="49" t="n">
        <v>46274</v>
      </c>
      <c r="C339" s="54" t="inlineStr">
        <is>
          <t xml:space="preserve">Pelvic</t>
        </is>
      </c>
      <c r="D339" s="54" t="inlineStr">
        <is>
          <t xml:space="preserve">9978 · Damage to Suspensory</t>
        </is>
      </c>
      <c r="E339" s="55" t="n">
        <v>1</v>
      </c>
      <c r="F339" s="54" t="inlineStr">
        <is>
          <t xml:space="preserve">Quality</t>
        </is>
      </c>
    </row>
    <row r="340">
      <c r="A340" s="54" t="inlineStr">
        <is>
          <t xml:space="preserve">ATM</t>
        </is>
      </c>
      <c r="B340" s="49" t="n">
        <v>46274</v>
      </c>
      <c r="C340" s="54" t="inlineStr">
        <is>
          <t xml:space="preserve">Pelvic</t>
        </is>
      </c>
      <c r="D340" s="54" t="inlineStr">
        <is>
          <t xml:space="preserve">9987 · Blood Clots</t>
        </is>
      </c>
      <c r="E340" s="55" t="n">
        <v>8</v>
      </c>
      <c r="F340" s="54" t="inlineStr">
        <is>
          <t xml:space="preserve">Quality</t>
        </is>
      </c>
    </row>
    <row r="341">
      <c r="A341" s="54" t="inlineStr">
        <is>
          <t xml:space="preserve">ATM</t>
        </is>
      </c>
      <c r="B341" s="49" t="n">
        <v>46275</v>
      </c>
      <c r="C341" s="54" t="inlineStr">
        <is>
          <t xml:space="preserve">Thoracic</t>
        </is>
      </c>
      <c r="D341" s="54" t="inlineStr">
        <is>
          <t xml:space="preserve">9972 · Laceration/Cut</t>
        </is>
      </c>
      <c r="E341" s="55" t="n">
        <v>2</v>
      </c>
      <c r="F341" s="54" t="inlineStr">
        <is>
          <t xml:space="preserve">Quality</t>
        </is>
      </c>
    </row>
    <row r="342">
      <c r="A342" s="54" t="inlineStr">
        <is>
          <t xml:space="preserve">ATM</t>
        </is>
      </c>
      <c r="B342" s="49" t="n">
        <v>46276</v>
      </c>
      <c r="C342" s="54" t="inlineStr">
        <is>
          <t xml:space="preserve">Thoracic</t>
        </is>
      </c>
      <c r="D342" s="54" t="inlineStr">
        <is>
          <t xml:space="preserve">9972 · Laceration/Cut</t>
        </is>
      </c>
      <c r="E342" s="55" t="n">
        <v>2</v>
      </c>
      <c r="F342" s="54" t="inlineStr">
        <is>
          <t xml:space="preserve">Quality</t>
        </is>
      </c>
    </row>
    <row r="343">
      <c r="A343" s="54" t="inlineStr">
        <is>
          <t xml:space="preserve">ATM</t>
        </is>
      </c>
      <c r="B343" s="49" t="n">
        <v>46279</v>
      </c>
      <c r="C343" s="54" t="inlineStr">
        <is>
          <t xml:space="preserve">Thoracic</t>
        </is>
      </c>
      <c r="D343" s="54" t="inlineStr">
        <is>
          <t xml:space="preserve">9972 · Laceration/Cut</t>
        </is>
      </c>
      <c r="E343" s="55" t="n">
        <v>14</v>
      </c>
      <c r="F343" s="54" t="inlineStr">
        <is>
          <t xml:space="preserve">Quality</t>
        </is>
      </c>
    </row>
    <row r="344">
      <c r="A344" s="54" t="inlineStr">
        <is>
          <t xml:space="preserve">ATM</t>
        </is>
      </c>
      <c r="B344" s="49" t="n">
        <v>46280</v>
      </c>
      <c r="C344" s="54" t="inlineStr">
        <is>
          <t xml:space="preserve">Thoracic</t>
        </is>
      </c>
      <c r="D344" s="54" t="inlineStr">
        <is>
          <t xml:space="preserve">9972 · Laceration/Cut</t>
        </is>
      </c>
      <c r="E344" s="55" t="n">
        <v>8</v>
      </c>
      <c r="F344" s="54" t="inlineStr">
        <is>
          <t xml:space="preserve">Quality</t>
        </is>
      </c>
    </row>
    <row r="345">
      <c r="A345" s="54" t="inlineStr">
        <is>
          <t xml:space="preserve">ATM</t>
        </is>
      </c>
      <c r="B345" s="49" t="n">
        <v>46281</v>
      </c>
      <c r="C345" s="54" t="inlineStr">
        <is>
          <t xml:space="preserve">Thoracic</t>
        </is>
      </c>
      <c r="D345" s="54" t="inlineStr">
        <is>
          <t xml:space="preserve">9972 · Laceration/Cut</t>
        </is>
      </c>
      <c r="E345" s="55" t="n">
        <v>6</v>
      </c>
      <c r="F345" s="54" t="inlineStr">
        <is>
          <t xml:space="preserve">Quality</t>
        </is>
      </c>
    </row>
    <row r="346">
      <c r="A346" s="54" t="inlineStr">
        <is>
          <t xml:space="preserve">SH</t>
        </is>
      </c>
      <c r="B346" s="49" t="n">
        <v>46125</v>
      </c>
      <c r="C346" s="54" t="inlineStr">
        <is>
          <t xml:space="preserve">Pelvic</t>
        </is>
      </c>
      <c r="D346" s="54" t="inlineStr">
        <is>
          <t xml:space="preserve">Bowel damage / separation</t>
        </is>
      </c>
      <c r="E346" s="55" t="n">
        <v>1</v>
      </c>
      <c r="F346" s="54" t="inlineStr">
        <is>
          <t xml:space="preserve">Quality</t>
        </is>
      </c>
    </row>
    <row r="347">
      <c r="A347" s="54" t="inlineStr">
        <is>
          <t xml:space="preserve">SH</t>
        </is>
      </c>
      <c r="B347" s="49" t="n">
        <v>46127</v>
      </c>
      <c r="C347" s="54" t="inlineStr">
        <is>
          <t xml:space="preserve">Pelvic</t>
        </is>
      </c>
      <c r="D347" s="54" t="inlineStr">
        <is>
          <t xml:space="preserve">Blood clots</t>
        </is>
      </c>
      <c r="E347" s="55" t="n">
        <v>2</v>
      </c>
      <c r="F347" s="54" t="inlineStr">
        <is>
          <t xml:space="preserve">Quality</t>
        </is>
      </c>
    </row>
    <row r="348">
      <c r="A348" s="54" t="inlineStr">
        <is>
          <t xml:space="preserve">SH</t>
        </is>
      </c>
      <c r="B348" s="49" t="n">
        <v>46127</v>
      </c>
      <c r="C348" s="54" t="inlineStr">
        <is>
          <t xml:space="preserve">Pelvic</t>
        </is>
      </c>
      <c r="D348" s="54" t="inlineStr">
        <is>
          <t xml:space="preserve">Urethra / bladder damage</t>
        </is>
      </c>
      <c r="E348" s="55" t="n">
        <v>2</v>
      </c>
      <c r="F348" s="54" t="inlineStr">
        <is>
          <t xml:space="preserve">Quality</t>
        </is>
      </c>
    </row>
    <row r="349">
      <c r="A349" s="54" t="inlineStr">
        <is>
          <t xml:space="preserve">SH</t>
        </is>
      </c>
      <c r="B349" s="49" t="n">
        <v>46132</v>
      </c>
      <c r="C349" s="54" t="inlineStr">
        <is>
          <t xml:space="preserve">Pelvic</t>
        </is>
      </c>
      <c r="D349" s="54" t="inlineStr">
        <is>
          <t xml:space="preserve">Handling damage (cleaning)</t>
        </is>
      </c>
      <c r="E349" s="55" t="n">
        <v>2</v>
      </c>
      <c r="F349" s="54" t="inlineStr">
        <is>
          <t xml:space="preserve">Quality</t>
        </is>
      </c>
    </row>
    <row r="350">
      <c r="A350" s="54" t="inlineStr">
        <is>
          <t xml:space="preserve">SH</t>
        </is>
      </c>
      <c r="B350" s="49" t="n">
        <v>46134</v>
      </c>
      <c r="C350" s="54" t="inlineStr">
        <is>
          <t xml:space="preserve">Pelvic</t>
        </is>
      </c>
      <c r="D350" s="54" t="inlineStr">
        <is>
          <t xml:space="preserve">Bowel damage / separation</t>
        </is>
      </c>
      <c r="E350" s="55" t="n">
        <v>1</v>
      </c>
      <c r="F350" s="54" t="inlineStr">
        <is>
          <t xml:space="preserve">Quality</t>
        </is>
      </c>
    </row>
    <row r="351">
      <c r="A351" s="54" t="inlineStr">
        <is>
          <t xml:space="preserve">SH</t>
        </is>
      </c>
      <c r="B351" s="49" t="n">
        <v>46134</v>
      </c>
      <c r="C351" s="54" t="inlineStr">
        <is>
          <t xml:space="preserve">Pelvic</t>
        </is>
      </c>
      <c r="D351" s="54" t="inlineStr">
        <is>
          <t xml:space="preserve">Bowel damage / separation</t>
        </is>
      </c>
      <c r="E351" s="55" t="n">
        <v>2</v>
      </c>
      <c r="F351" s="54" t="inlineStr">
        <is>
          <t xml:space="preserve">Quality</t>
        </is>
      </c>
    </row>
    <row r="352">
      <c r="A352" s="54" t="inlineStr">
        <is>
          <t xml:space="preserve">SH</t>
        </is>
      </c>
      <c r="B352" s="49" t="n">
        <v>46146</v>
      </c>
      <c r="C352" s="54" t="inlineStr">
        <is>
          <t xml:space="preserve">Pelvic</t>
        </is>
      </c>
      <c r="D352" s="54" t="inlineStr">
        <is>
          <t xml:space="preserve">Urethra / bladder damage</t>
        </is>
      </c>
      <c r="E352" s="55" t="n">
        <v>1</v>
      </c>
      <c r="F352" s="54" t="inlineStr">
        <is>
          <t xml:space="preserve">Quality</t>
        </is>
      </c>
    </row>
    <row r="353">
      <c r="A353" s="54" t="inlineStr">
        <is>
          <t xml:space="preserve">SH</t>
        </is>
      </c>
      <c r="B353" s="49" t="n">
        <v>46146</v>
      </c>
      <c r="C353" s="54" t="inlineStr">
        <is>
          <t xml:space="preserve">Pelvic</t>
        </is>
      </c>
      <c r="D353" s="54" t="inlineStr">
        <is>
          <t xml:space="preserve">Urethra / bladder damage</t>
        </is>
      </c>
      <c r="E353" s="55" t="n">
        <v>3</v>
      </c>
      <c r="F353" s="54" t="inlineStr">
        <is>
          <t xml:space="preserve">Quality</t>
        </is>
      </c>
    </row>
    <row r="354">
      <c r="A354" s="54" t="inlineStr">
        <is>
          <t xml:space="preserve">SH</t>
        </is>
      </c>
      <c r="B354" s="49" t="n">
        <v>46148</v>
      </c>
      <c r="C354" s="54" t="inlineStr">
        <is>
          <t xml:space="preserve">Pelvic</t>
        </is>
      </c>
      <c r="D354" s="54" t="inlineStr">
        <is>
          <t xml:space="preserve">Urethra / bladder damage</t>
        </is>
      </c>
      <c r="E354" s="55" t="n">
        <v>3</v>
      </c>
      <c r="F354" s="54" t="inlineStr">
        <is>
          <t xml:space="preserve">Quality</t>
        </is>
      </c>
    </row>
    <row r="355">
      <c r="A355" s="54" t="inlineStr">
        <is>
          <t xml:space="preserve">SH</t>
        </is>
      </c>
      <c r="B355" s="49" t="n">
        <v>46148</v>
      </c>
      <c r="C355" s="54" t="inlineStr">
        <is>
          <t xml:space="preserve">Pelvic</t>
        </is>
      </c>
      <c r="D355" s="54" t="inlineStr">
        <is>
          <t xml:space="preserve">Urethra / bladder damage</t>
        </is>
      </c>
      <c r="E355" s="55" t="n">
        <v>1</v>
      </c>
      <c r="F355" s="54" t="inlineStr">
        <is>
          <t xml:space="preserve">Quality</t>
        </is>
      </c>
    </row>
    <row r="356">
      <c r="A356" s="54" t="inlineStr">
        <is>
          <t xml:space="preserve">SH</t>
        </is>
      </c>
      <c r="B356" s="49" t="n">
        <v>46160</v>
      </c>
      <c r="C356" s="54" t="inlineStr">
        <is>
          <t xml:space="preserve">Pelvic</t>
        </is>
      </c>
      <c r="D356" s="54" t="inlineStr">
        <is>
          <t xml:space="preserve">Deformed ligaments</t>
        </is>
      </c>
      <c r="E356" s="55" t="n">
        <v>1</v>
      </c>
      <c r="F356" s="54" t="inlineStr">
        <is>
          <t xml:space="preserve">Quality</t>
        </is>
      </c>
    </row>
    <row r="357">
      <c r="A357" s="54" t="inlineStr">
        <is>
          <t xml:space="preserve">SH</t>
        </is>
      </c>
      <c r="B357" s="49" t="n">
        <v>46160</v>
      </c>
      <c r="C357" s="54" t="inlineStr">
        <is>
          <t xml:space="preserve">Pelvic</t>
        </is>
      </c>
      <c r="D357" s="54" t="inlineStr">
        <is>
          <t xml:space="preserve">Short block / mesentery length</t>
        </is>
      </c>
      <c r="E357" s="55" t="n">
        <v>1</v>
      </c>
      <c r="F357" s="54" t="inlineStr">
        <is>
          <t xml:space="preserve">Quality</t>
        </is>
      </c>
    </row>
    <row r="358">
      <c r="A358" s="54" t="inlineStr">
        <is>
          <t xml:space="preserve">SH</t>
        </is>
      </c>
      <c r="B358" s="49" t="n">
        <v>46160</v>
      </c>
      <c r="C358" s="54" t="inlineStr">
        <is>
          <t xml:space="preserve">Pelvic</t>
        </is>
      </c>
      <c r="D358" s="54" t="inlineStr">
        <is>
          <t xml:space="preserve">Urethra / bladder damage</t>
        </is>
      </c>
      <c r="E358" s="55" t="n">
        <v>3</v>
      </c>
      <c r="F358" s="54" t="inlineStr">
        <is>
          <t xml:space="preserve">Quality</t>
        </is>
      </c>
    </row>
    <row r="359">
      <c r="A359" s="54" t="inlineStr">
        <is>
          <t xml:space="preserve">SH</t>
        </is>
      </c>
      <c r="B359" s="49" t="n">
        <v>46163</v>
      </c>
      <c r="C359" s="54" t="inlineStr">
        <is>
          <t xml:space="preserve">Pelvic</t>
        </is>
      </c>
      <c r="D359" s="54" t="inlineStr">
        <is>
          <t xml:space="preserve">Membrane damage</t>
        </is>
      </c>
      <c r="E359" s="55" t="n">
        <v>1</v>
      </c>
      <c r="F359" s="54" t="inlineStr">
        <is>
          <t xml:space="preserve">Quality</t>
        </is>
      </c>
    </row>
    <row r="360">
      <c r="A360" s="54" t="inlineStr">
        <is>
          <t xml:space="preserve">SH</t>
        </is>
      </c>
      <c r="B360" s="49" t="n">
        <v>46163</v>
      </c>
      <c r="C360" s="54" t="inlineStr">
        <is>
          <t xml:space="preserve">Pelvic</t>
        </is>
      </c>
      <c r="D360" s="54" t="inlineStr">
        <is>
          <t xml:space="preserve">Urethra / bladder damage</t>
        </is>
      </c>
      <c r="E360" s="55" t="n">
        <v>2</v>
      </c>
      <c r="F360" s="54" t="inlineStr">
        <is>
          <t xml:space="preserve">Quality</t>
        </is>
      </c>
    </row>
    <row r="361">
      <c r="A361" s="54" t="inlineStr">
        <is>
          <t xml:space="preserve">SH</t>
        </is>
      </c>
      <c r="B361" s="49" t="n">
        <v>46169</v>
      </c>
      <c r="C361" s="54" t="inlineStr">
        <is>
          <t xml:space="preserve">Pelvic</t>
        </is>
      </c>
      <c r="D361" s="54" t="inlineStr">
        <is>
          <t xml:space="preserve">Bowel damage / separation</t>
        </is>
      </c>
      <c r="E361" s="55" t="n">
        <v>1</v>
      </c>
      <c r="F361" s="54" t="inlineStr">
        <is>
          <t xml:space="preserve">Quality</t>
        </is>
      </c>
    </row>
    <row r="362">
      <c r="A362" s="54" t="inlineStr">
        <is>
          <t xml:space="preserve">SH</t>
        </is>
      </c>
      <c r="B362" s="49" t="n">
        <v>46169</v>
      </c>
      <c r="C362" s="54" t="inlineStr">
        <is>
          <t xml:space="preserve">Pelvic</t>
        </is>
      </c>
      <c r="D362" s="54" t="inlineStr">
        <is>
          <t xml:space="preserve">Membrane damage</t>
        </is>
      </c>
      <c r="E362" s="55" t="n">
        <v>2</v>
      </c>
      <c r="F362" s="54" t="inlineStr">
        <is>
          <t xml:space="preserve">Quality</t>
        </is>
      </c>
    </row>
    <row r="363">
      <c r="A363" s="54" t="inlineStr">
        <is>
          <t xml:space="preserve">SH</t>
        </is>
      </c>
      <c r="B363" s="49" t="n">
        <v>46170</v>
      </c>
      <c r="C363" s="54" t="inlineStr">
        <is>
          <t xml:space="preserve">Pelvic</t>
        </is>
      </c>
      <c r="D363" s="54" t="inlineStr">
        <is>
          <t xml:space="preserve">Short block / mesentery length</t>
        </is>
      </c>
      <c r="E363" s="55" t="n">
        <v>4</v>
      </c>
      <c r="F363" s="54" t="inlineStr">
        <is>
          <t xml:space="preserve">Quality</t>
        </is>
      </c>
    </row>
    <row r="364">
      <c r="A364" s="54" t="inlineStr">
        <is>
          <t xml:space="preserve">SH</t>
        </is>
      </c>
      <c r="B364" s="49" t="n">
        <v>46170</v>
      </c>
      <c r="C364" s="54" t="inlineStr">
        <is>
          <t xml:space="preserve">Pelvic</t>
        </is>
      </c>
      <c r="D364" s="54" t="inlineStr">
        <is>
          <t xml:space="preserve">Urethra / bladder damage</t>
        </is>
      </c>
      <c r="E364" s="55" t="n">
        <v>1</v>
      </c>
      <c r="F364" s="54" t="inlineStr">
        <is>
          <t xml:space="preserve">Quality</t>
        </is>
      </c>
    </row>
    <row r="365">
      <c r="A365" s="54" t="inlineStr">
        <is>
          <t xml:space="preserve">SH</t>
        </is>
      </c>
      <c r="B365" s="49" t="n">
        <v>46176</v>
      </c>
      <c r="C365" s="54" t="inlineStr">
        <is>
          <t xml:space="preserve">Pelvic</t>
        </is>
      </c>
      <c r="D365" s="54" t="inlineStr">
        <is>
          <t xml:space="preserve">Urethra / bladder damage</t>
        </is>
      </c>
      <c r="E365" s="55" t="n">
        <v>2</v>
      </c>
      <c r="F365" s="54" t="inlineStr">
        <is>
          <t xml:space="preserve">Quality</t>
        </is>
      </c>
    </row>
    <row r="366">
      <c r="A366" s="54" t="inlineStr">
        <is>
          <t xml:space="preserve">SH</t>
        </is>
      </c>
      <c r="B366" s="49" t="n">
        <v>46181</v>
      </c>
      <c r="C366" s="54" t="inlineStr">
        <is>
          <t xml:space="preserve">Pelvic</t>
        </is>
      </c>
      <c r="D366" s="54" t="inlineStr">
        <is>
          <t xml:space="preserve">Short block / mesentery length</t>
        </is>
      </c>
      <c r="E366" s="55" t="n">
        <v>1</v>
      </c>
      <c r="F366" s="54" t="inlineStr">
        <is>
          <t xml:space="preserve">Quality</t>
        </is>
      </c>
    </row>
    <row r="367">
      <c r="A367" s="54" t="inlineStr">
        <is>
          <t xml:space="preserve">SH</t>
        </is>
      </c>
      <c r="B367" s="49" t="n">
        <v>46181</v>
      </c>
      <c r="C367" s="54" t="inlineStr">
        <is>
          <t xml:space="preserve">Pelvic</t>
        </is>
      </c>
      <c r="D367" s="54" t="inlineStr">
        <is>
          <t xml:space="preserve">Urethra / bladder damage</t>
        </is>
      </c>
      <c r="E367" s="55" t="n">
        <v>1</v>
      </c>
      <c r="F367" s="54" t="inlineStr">
        <is>
          <t xml:space="preserve">Quality</t>
        </is>
      </c>
    </row>
    <row r="368">
      <c r="A368" s="54" t="inlineStr">
        <is>
          <t xml:space="preserve">SH</t>
        </is>
      </c>
      <c r="B368" s="49" t="n">
        <v>46188</v>
      </c>
      <c r="C368" s="54" t="inlineStr">
        <is>
          <t xml:space="preserve">Pelvic</t>
        </is>
      </c>
      <c r="D368" s="54" t="inlineStr">
        <is>
          <t xml:space="preserve">Bowel damage / separation</t>
        </is>
      </c>
      <c r="E368" s="55" t="n">
        <v>1</v>
      </c>
      <c r="F368" s="54" t="inlineStr">
        <is>
          <t xml:space="preserve">Quality</t>
        </is>
      </c>
    </row>
    <row r="369">
      <c r="A369" s="54" t="inlineStr">
        <is>
          <t xml:space="preserve">SH</t>
        </is>
      </c>
      <c r="B369" s="49" t="n">
        <v>46189</v>
      </c>
      <c r="C369" s="54" t="inlineStr">
        <is>
          <t xml:space="preserve">Pelvic</t>
        </is>
      </c>
      <c r="D369" s="54" t="inlineStr">
        <is>
          <t xml:space="preserve">Ureter damage</t>
        </is>
      </c>
      <c r="E369" s="55" t="n">
        <v>1</v>
      </c>
      <c r="F369" s="54" t="inlineStr">
        <is>
          <t xml:space="preserve">Quality</t>
        </is>
      </c>
    </row>
    <row r="370">
      <c r="A370" s="54" t="inlineStr">
        <is>
          <t xml:space="preserve">SH</t>
        </is>
      </c>
      <c r="B370" s="49" t="n">
        <v>46189</v>
      </c>
      <c r="C370" s="54" t="inlineStr">
        <is>
          <t xml:space="preserve">Pelvic</t>
        </is>
      </c>
      <c r="D370" s="54" t="inlineStr">
        <is>
          <t xml:space="preserve">Urethra / bladder damage</t>
        </is>
      </c>
      <c r="E370" s="55" t="n">
        <v>1</v>
      </c>
      <c r="F370" s="54" t="inlineStr">
        <is>
          <t xml:space="preserve">Quality</t>
        </is>
      </c>
    </row>
    <row r="371">
      <c r="A371" s="54" t="inlineStr">
        <is>
          <t xml:space="preserve">SH</t>
        </is>
      </c>
      <c r="B371" s="49" t="n">
        <v>46195</v>
      </c>
      <c r="C371" s="54" t="inlineStr">
        <is>
          <t xml:space="preserve">Pelvic</t>
        </is>
      </c>
      <c r="D371" s="54" t="inlineStr">
        <is>
          <t xml:space="preserve">Critical-area laceration</t>
        </is>
      </c>
      <c r="E371" s="55" t="n">
        <v>2</v>
      </c>
      <c r="F371" s="54" t="inlineStr">
        <is>
          <t xml:space="preserve">Quality</t>
        </is>
      </c>
    </row>
    <row r="372">
      <c r="A372" s="54" t="inlineStr">
        <is>
          <t xml:space="preserve">SH</t>
        </is>
      </c>
      <c r="B372" s="49" t="n">
        <v>46195</v>
      </c>
      <c r="C372" s="54" t="inlineStr">
        <is>
          <t xml:space="preserve">Pelvic</t>
        </is>
      </c>
      <c r="D372" s="54" t="inlineStr">
        <is>
          <t xml:space="preserve">Short block / mesentery length</t>
        </is>
      </c>
      <c r="E372" s="55" t="n">
        <v>2</v>
      </c>
      <c r="F372" s="54" t="inlineStr">
        <is>
          <t xml:space="preserve">Quality</t>
        </is>
      </c>
    </row>
    <row r="373">
      <c r="A373" s="54" t="inlineStr">
        <is>
          <t xml:space="preserve">SH</t>
        </is>
      </c>
      <c r="B373" s="49" t="n">
        <v>46195</v>
      </c>
      <c r="C373" s="54" t="inlineStr">
        <is>
          <t xml:space="preserve">Pelvic</t>
        </is>
      </c>
      <c r="D373" s="54" t="inlineStr">
        <is>
          <t xml:space="preserve">Urethra / bladder damage</t>
        </is>
      </c>
      <c r="E373" s="55" t="n">
        <v>1</v>
      </c>
      <c r="F373" s="54" t="inlineStr">
        <is>
          <t xml:space="preserve">Quality</t>
        </is>
      </c>
    </row>
    <row r="374">
      <c r="A374" s="54" t="inlineStr">
        <is>
          <t xml:space="preserve">SH</t>
        </is>
      </c>
      <c r="B374" s="49" t="n">
        <v>46197</v>
      </c>
      <c r="C374" s="54" t="inlineStr">
        <is>
          <t xml:space="preserve">Pelvic</t>
        </is>
      </c>
      <c r="D374" s="54" t="inlineStr">
        <is>
          <t xml:space="preserve">Membrane damage</t>
        </is>
      </c>
      <c r="E374" s="55" t="n">
        <v>3</v>
      </c>
      <c r="F374" s="54" t="inlineStr">
        <is>
          <t xml:space="preserve">Quality</t>
        </is>
      </c>
    </row>
    <row r="375">
      <c r="A375" s="54" t="inlineStr">
        <is>
          <t xml:space="preserve">SH</t>
        </is>
      </c>
      <c r="B375" s="49" t="n">
        <v>46197</v>
      </c>
      <c r="C375" s="54" t="inlineStr">
        <is>
          <t xml:space="preserve">Pelvic</t>
        </is>
      </c>
      <c r="D375" s="54" t="inlineStr">
        <is>
          <t xml:space="preserve">Urethra / bladder damage</t>
        </is>
      </c>
      <c r="E375" s="55" t="n">
        <v>1</v>
      </c>
      <c r="F375" s="54" t="inlineStr">
        <is>
          <t xml:space="preserve">Quality</t>
        </is>
      </c>
    </row>
    <row r="376">
      <c r="A376" s="54" t="inlineStr">
        <is>
          <t xml:space="preserve">SH</t>
        </is>
      </c>
      <c r="B376" s="49" t="n">
        <v>46198</v>
      </c>
      <c r="C376" s="54" t="inlineStr">
        <is>
          <t xml:space="preserve">Pelvic</t>
        </is>
      </c>
      <c r="D376" s="54" t="inlineStr">
        <is>
          <t xml:space="preserve">Short block / mesentery length</t>
        </is>
      </c>
      <c r="E376" s="55" t="n">
        <v>1</v>
      </c>
      <c r="F376" s="54" t="inlineStr">
        <is>
          <t xml:space="preserve">Quality</t>
        </is>
      </c>
    </row>
    <row r="377">
      <c r="A377" s="54" t="inlineStr">
        <is>
          <t xml:space="preserve">SH</t>
        </is>
      </c>
      <c r="B377" s="49" t="n">
        <v>46198</v>
      </c>
      <c r="C377" s="54" t="inlineStr">
        <is>
          <t xml:space="preserve">Pelvic</t>
        </is>
      </c>
      <c r="D377" s="54" t="inlineStr">
        <is>
          <t xml:space="preserve">Ureter damage</t>
        </is>
      </c>
      <c r="E377" s="55" t="n">
        <v>1</v>
      </c>
      <c r="F377" s="54" t="inlineStr">
        <is>
          <t xml:space="preserve">Quality</t>
        </is>
      </c>
    </row>
    <row r="378">
      <c r="A378" s="54" t="inlineStr">
        <is>
          <t xml:space="preserve">SH</t>
        </is>
      </c>
      <c r="B378" s="49" t="n">
        <v>46198</v>
      </c>
      <c r="C378" s="54" t="inlineStr">
        <is>
          <t xml:space="preserve">Pelvic</t>
        </is>
      </c>
      <c r="D378" s="54" t="inlineStr">
        <is>
          <t xml:space="preserve">Urethra / bladder damage</t>
        </is>
      </c>
      <c r="E378" s="55" t="n">
        <v>1</v>
      </c>
      <c r="F378" s="54" t="inlineStr">
        <is>
          <t xml:space="preserve">Quality</t>
        </is>
      </c>
    </row>
    <row r="379">
      <c r="A379" s="54" t="inlineStr">
        <is>
          <t xml:space="preserve">SH</t>
        </is>
      </c>
      <c r="B379" s="49" t="n">
        <v>46202</v>
      </c>
      <c r="C379" s="54" t="inlineStr">
        <is>
          <t xml:space="preserve">Pelvic</t>
        </is>
      </c>
      <c r="D379" s="54" t="inlineStr">
        <is>
          <t xml:space="preserve">Bowel damage / separation</t>
        </is>
      </c>
      <c r="E379" s="55" t="n">
        <v>2</v>
      </c>
      <c r="F379" s="54" t="inlineStr">
        <is>
          <t xml:space="preserve">Quality</t>
        </is>
      </c>
    </row>
    <row r="380">
      <c r="A380" s="54" t="inlineStr">
        <is>
          <t xml:space="preserve">SH</t>
        </is>
      </c>
      <c r="B380" s="49" t="n">
        <v>46202</v>
      </c>
      <c r="C380" s="54" t="inlineStr">
        <is>
          <t xml:space="preserve">Pelvic</t>
        </is>
      </c>
      <c r="D380" s="54" t="inlineStr">
        <is>
          <t xml:space="preserve">Critical-area laceration</t>
        </is>
      </c>
      <c r="E380" s="55" t="n">
        <v>1</v>
      </c>
      <c r="F380" s="54" t="inlineStr">
        <is>
          <t xml:space="preserve">Quality</t>
        </is>
      </c>
    </row>
    <row r="381">
      <c r="A381" s="54" t="inlineStr">
        <is>
          <t xml:space="preserve">SH</t>
        </is>
      </c>
      <c r="B381" s="49" t="n">
        <v>46202</v>
      </c>
      <c r="C381" s="54" t="inlineStr">
        <is>
          <t xml:space="preserve">Pelvic</t>
        </is>
      </c>
      <c r="D381" s="54" t="inlineStr">
        <is>
          <t xml:space="preserve">Short block / mesentery length</t>
        </is>
      </c>
      <c r="E381" s="55" t="n">
        <v>2</v>
      </c>
      <c r="F381" s="54" t="inlineStr">
        <is>
          <t xml:space="preserve">Quality</t>
        </is>
      </c>
    </row>
    <row r="382">
      <c r="A382" s="54" t="inlineStr">
        <is>
          <t xml:space="preserve">SH</t>
        </is>
      </c>
      <c r="B382" s="49" t="n">
        <v>46202</v>
      </c>
      <c r="C382" s="54" t="inlineStr">
        <is>
          <t xml:space="preserve">Pelvic</t>
        </is>
      </c>
      <c r="D382" s="54" t="inlineStr">
        <is>
          <t xml:space="preserve">Urethra / bladder damage</t>
        </is>
      </c>
      <c r="E382" s="55" t="n">
        <v>7</v>
      </c>
      <c r="F382" s="54" t="inlineStr">
        <is>
          <t xml:space="preserve">Quality</t>
        </is>
      </c>
    </row>
    <row r="383">
      <c r="A383" s="54" t="inlineStr">
        <is>
          <t xml:space="preserve">SH</t>
        </is>
      </c>
      <c r="B383" s="49" t="n">
        <v>46209</v>
      </c>
      <c r="C383" s="54" t="inlineStr">
        <is>
          <t xml:space="preserve">Pelvic</t>
        </is>
      </c>
      <c r="D383" s="54" t="inlineStr">
        <is>
          <t xml:space="preserve">Membrane damage</t>
        </is>
      </c>
      <c r="E383" s="55" t="n">
        <v>1</v>
      </c>
      <c r="F383" s="54" t="inlineStr">
        <is>
          <t xml:space="preserve">Quality</t>
        </is>
      </c>
    </row>
    <row r="384">
      <c r="A384" s="54" t="inlineStr">
        <is>
          <t xml:space="preserve">SH</t>
        </is>
      </c>
      <c r="B384" s="49" t="n">
        <v>46209</v>
      </c>
      <c r="C384" s="54" t="inlineStr">
        <is>
          <t xml:space="preserve">Pelvic</t>
        </is>
      </c>
      <c r="D384" s="54" t="inlineStr">
        <is>
          <t xml:space="preserve">Urethra / bladder damage</t>
        </is>
      </c>
      <c r="E384" s="55" t="n">
        <v>1</v>
      </c>
      <c r="F384" s="54" t="inlineStr">
        <is>
          <t xml:space="preserve">Quality</t>
        </is>
      </c>
    </row>
    <row r="385">
      <c r="A385" s="54" t="inlineStr">
        <is>
          <t xml:space="preserve">SH</t>
        </is>
      </c>
      <c r="B385" s="49" t="n">
        <v>46216</v>
      </c>
      <c r="C385" s="54" t="inlineStr">
        <is>
          <t xml:space="preserve">Pelvic</t>
        </is>
      </c>
      <c r="D385" s="54" t="inlineStr">
        <is>
          <t xml:space="preserve">Bowel damage / separation</t>
        </is>
      </c>
      <c r="E385" s="55" t="n">
        <v>2</v>
      </c>
      <c r="F385" s="54" t="inlineStr">
        <is>
          <t xml:space="preserve">Quality</t>
        </is>
      </c>
    </row>
    <row r="386">
      <c r="A386" s="54" t="inlineStr">
        <is>
          <t xml:space="preserve">SH</t>
        </is>
      </c>
      <c r="B386" s="49" t="n">
        <v>46216</v>
      </c>
      <c r="C386" s="54" t="inlineStr">
        <is>
          <t xml:space="preserve">Pelvic</t>
        </is>
      </c>
      <c r="D386" s="54" t="inlineStr">
        <is>
          <t xml:space="preserve">Membrane damage</t>
        </is>
      </c>
      <c r="E386" s="55" t="n">
        <v>1</v>
      </c>
      <c r="F386" s="54" t="inlineStr">
        <is>
          <t xml:space="preserve">Quality</t>
        </is>
      </c>
    </row>
    <row r="387">
      <c r="A387" s="54" t="inlineStr">
        <is>
          <t xml:space="preserve">SH</t>
        </is>
      </c>
      <c r="B387" s="49" t="n">
        <v>46216</v>
      </c>
      <c r="C387" s="54" t="inlineStr">
        <is>
          <t xml:space="preserve">Pelvic</t>
        </is>
      </c>
      <c r="D387" s="54" t="inlineStr">
        <is>
          <t xml:space="preserve">Short block / mesentery length</t>
        </is>
      </c>
      <c r="E387" s="55" t="n">
        <v>3</v>
      </c>
      <c r="F387" s="54" t="inlineStr">
        <is>
          <t xml:space="preserve">Quality</t>
        </is>
      </c>
    </row>
    <row r="388">
      <c r="A388" s="54" t="inlineStr">
        <is>
          <t xml:space="preserve">SH</t>
        </is>
      </c>
      <c r="B388" s="49" t="n">
        <v>46216</v>
      </c>
      <c r="C388" s="54" t="inlineStr">
        <is>
          <t xml:space="preserve">Pelvic</t>
        </is>
      </c>
      <c r="D388" s="54" t="inlineStr">
        <is>
          <t xml:space="preserve">Urethra / bladder damage</t>
        </is>
      </c>
      <c r="E388" s="55" t="n">
        <v>1</v>
      </c>
      <c r="F388" s="54" t="inlineStr">
        <is>
          <t xml:space="preserve">Quality</t>
        </is>
      </c>
    </row>
    <row r="389">
      <c r="A389" s="54" t="inlineStr">
        <is>
          <t xml:space="preserve">SH</t>
        </is>
      </c>
      <c r="B389" s="49" t="n">
        <v>46219</v>
      </c>
      <c r="C389" s="54" t="inlineStr">
        <is>
          <t xml:space="preserve">Pelvic</t>
        </is>
      </c>
      <c r="D389" s="54" t="inlineStr">
        <is>
          <t xml:space="preserve">Critical-area laceration</t>
        </is>
      </c>
      <c r="E389" s="55" t="n">
        <v>2</v>
      </c>
      <c r="F389" s="54" t="inlineStr">
        <is>
          <t xml:space="preserve">Quality</t>
        </is>
      </c>
    </row>
    <row r="390">
      <c r="A390" s="54" t="inlineStr">
        <is>
          <t xml:space="preserve">SH</t>
        </is>
      </c>
      <c r="B390" s="49" t="n">
        <v>46219</v>
      </c>
      <c r="C390" s="54" t="inlineStr">
        <is>
          <t xml:space="preserve">Pelvic</t>
        </is>
      </c>
      <c r="D390" s="54" t="inlineStr">
        <is>
          <t xml:space="preserve">Short block / mesentery length</t>
        </is>
      </c>
      <c r="E390" s="55" t="n">
        <v>2</v>
      </c>
      <c r="F390" s="54" t="inlineStr">
        <is>
          <t xml:space="preserve">Quality</t>
        </is>
      </c>
    </row>
    <row r="391">
      <c r="A391" s="54" t="inlineStr">
        <is>
          <t xml:space="preserve">SH</t>
        </is>
      </c>
      <c r="B391" s="49" t="n">
        <v>46223</v>
      </c>
      <c r="C391" s="54" t="inlineStr">
        <is>
          <t xml:space="preserve">Pelvic</t>
        </is>
      </c>
      <c r="D391" s="54" t="inlineStr">
        <is>
          <t xml:space="preserve">Membrane damage</t>
        </is>
      </c>
      <c r="E391" s="55" t="n">
        <v>1</v>
      </c>
      <c r="F391" s="54" t="inlineStr">
        <is>
          <t xml:space="preserve">Quality</t>
        </is>
      </c>
    </row>
    <row r="392">
      <c r="A392" s="54" t="inlineStr">
        <is>
          <t xml:space="preserve">SH</t>
        </is>
      </c>
      <c r="B392" s="49" t="n">
        <v>46223</v>
      </c>
      <c r="C392" s="54" t="inlineStr">
        <is>
          <t xml:space="preserve">Pelvic</t>
        </is>
      </c>
      <c r="D392" s="54" t="inlineStr">
        <is>
          <t xml:space="preserve">Undocumented / not itemized</t>
        </is>
      </c>
      <c r="E392" s="55" t="n">
        <v>1</v>
      </c>
      <c r="F392" s="54" t="inlineStr">
        <is>
          <t xml:space="preserve">Quality</t>
        </is>
      </c>
    </row>
    <row r="393">
      <c r="A393" s="54" t="inlineStr">
        <is>
          <t xml:space="preserve">SH</t>
        </is>
      </c>
      <c r="B393" s="49" t="n">
        <v>46223</v>
      </c>
      <c r="C393" s="54" t="inlineStr">
        <is>
          <t xml:space="preserve">Pelvic</t>
        </is>
      </c>
      <c r="D393" s="54" t="inlineStr">
        <is>
          <t xml:space="preserve">Urethra / bladder damage</t>
        </is>
      </c>
      <c r="E393" s="55" t="n">
        <v>1</v>
      </c>
      <c r="F393" s="54" t="inlineStr">
        <is>
          <t xml:space="preserve">Quality</t>
        </is>
      </c>
    </row>
    <row r="394">
      <c r="A394" s="54" t="inlineStr">
        <is>
          <t xml:space="preserve">SH</t>
        </is>
      </c>
      <c r="B394" s="49" t="n">
        <v>46230</v>
      </c>
      <c r="C394" s="54" t="inlineStr">
        <is>
          <t xml:space="preserve">Pelvic</t>
        </is>
      </c>
      <c r="D394" s="54" t="inlineStr">
        <is>
          <t xml:space="preserve">Bowel damage / separation</t>
        </is>
      </c>
      <c r="E394" s="55" t="n">
        <v>1</v>
      </c>
      <c r="F394" s="54" t="inlineStr">
        <is>
          <t xml:space="preserve">Quality</t>
        </is>
      </c>
    </row>
    <row r="395">
      <c r="A395" s="54" t="inlineStr">
        <is>
          <t xml:space="preserve">SH</t>
        </is>
      </c>
      <c r="B395" s="49" t="n">
        <v>46230</v>
      </c>
      <c r="C395" s="54" t="inlineStr">
        <is>
          <t xml:space="preserve">Pelvic</t>
        </is>
      </c>
      <c r="D395" s="54" t="inlineStr">
        <is>
          <t xml:space="preserve">Critical-area laceration</t>
        </is>
      </c>
      <c r="E395" s="55" t="n">
        <v>1</v>
      </c>
      <c r="F395" s="54" t="inlineStr">
        <is>
          <t xml:space="preserve">Quality</t>
        </is>
      </c>
    </row>
    <row r="396">
      <c r="A396" s="54" t="inlineStr">
        <is>
          <t xml:space="preserve">SH</t>
        </is>
      </c>
      <c r="B396" s="49" t="n">
        <v>46230</v>
      </c>
      <c r="C396" s="54" t="inlineStr">
        <is>
          <t xml:space="preserve">Pelvic</t>
        </is>
      </c>
      <c r="D396" s="54" t="inlineStr">
        <is>
          <t xml:space="preserve">Membrane damage</t>
        </is>
      </c>
      <c r="E396" s="55" t="n">
        <v>1</v>
      </c>
      <c r="F396" s="54" t="inlineStr">
        <is>
          <t xml:space="preserve">Quality</t>
        </is>
      </c>
    </row>
    <row r="397">
      <c r="A397" s="54" t="inlineStr">
        <is>
          <t xml:space="preserve">SH</t>
        </is>
      </c>
      <c r="B397" s="49" t="n">
        <v>46230</v>
      </c>
      <c r="C397" s="54" t="inlineStr">
        <is>
          <t xml:space="preserve">Pelvic</t>
        </is>
      </c>
      <c r="D397" s="54" t="inlineStr">
        <is>
          <t xml:space="preserve">Ureter damage</t>
        </is>
      </c>
      <c r="E397" s="55" t="n">
        <v>1</v>
      </c>
      <c r="F397" s="54" t="inlineStr">
        <is>
          <t xml:space="preserve">Quality</t>
        </is>
      </c>
    </row>
    <row r="398">
      <c r="A398" s="54" t="inlineStr">
        <is>
          <t xml:space="preserve">SH</t>
        </is>
      </c>
      <c r="B398" s="49" t="n">
        <v>46232</v>
      </c>
      <c r="C398" s="54" t="inlineStr">
        <is>
          <t xml:space="preserve">Thoracic</t>
        </is>
      </c>
      <c r="D398" s="54" t="inlineStr">
        <is>
          <t xml:space="preserve">Heart damage</t>
        </is>
      </c>
      <c r="E398" s="55" t="n">
        <v>2</v>
      </c>
      <c r="F398" s="54" t="inlineStr">
        <is>
          <t xml:space="preserve">Quality</t>
        </is>
      </c>
    </row>
    <row r="399">
      <c r="A399" s="54" t="inlineStr">
        <is>
          <t xml:space="preserve">SH</t>
        </is>
      </c>
      <c r="B399" s="49" t="n">
        <v>46232</v>
      </c>
      <c r="C399" s="54" t="inlineStr">
        <is>
          <t xml:space="preserve">Thoracic</t>
        </is>
      </c>
      <c r="D399" s="54" t="inlineStr">
        <is>
          <t xml:space="preserve">Lung laceration</t>
        </is>
      </c>
      <c r="E399" s="55" t="n">
        <v>11</v>
      </c>
      <c r="F399" s="54" t="inlineStr">
        <is>
          <t xml:space="preserve">Quality</t>
        </is>
      </c>
    </row>
    <row r="400">
      <c r="A400" s="54" t="inlineStr">
        <is>
          <t xml:space="preserve">SH</t>
        </is>
      </c>
      <c r="B400" s="49" t="n">
        <v>46233</v>
      </c>
      <c r="C400" s="54" t="inlineStr">
        <is>
          <t xml:space="preserve">Pelvic</t>
        </is>
      </c>
      <c r="D400" s="54" t="inlineStr">
        <is>
          <t xml:space="preserve">Short block / mesentery length</t>
        </is>
      </c>
      <c r="E400" s="55" t="n">
        <v>1</v>
      </c>
      <c r="F400" s="54" t="inlineStr">
        <is>
          <t xml:space="preserve">Quality</t>
        </is>
      </c>
    </row>
    <row r="401">
      <c r="A401" s="54" t="inlineStr">
        <is>
          <t xml:space="preserve">SH</t>
        </is>
      </c>
      <c r="B401" s="49" t="n">
        <v>46239</v>
      </c>
      <c r="C401" s="54" t="inlineStr">
        <is>
          <t xml:space="preserve">Pelvic</t>
        </is>
      </c>
      <c r="D401" s="54" t="inlineStr">
        <is>
          <t xml:space="preserve">Bowel damage / separation</t>
        </is>
      </c>
      <c r="E401" s="55" t="n">
        <v>1</v>
      </c>
      <c r="F401" s="54" t="inlineStr">
        <is>
          <t xml:space="preserve">Quality</t>
        </is>
      </c>
    </row>
    <row r="402">
      <c r="A402" s="54" t="inlineStr">
        <is>
          <t xml:space="preserve">SH</t>
        </is>
      </c>
      <c r="B402" s="49" t="n">
        <v>46239</v>
      </c>
      <c r="C402" s="54" t="inlineStr">
        <is>
          <t xml:space="preserve">Thoracic</t>
        </is>
      </c>
      <c r="D402" s="54" t="inlineStr">
        <is>
          <t xml:space="preserve">Heart damage</t>
        </is>
      </c>
      <c r="E402" s="55" t="n">
        <v>4</v>
      </c>
      <c r="F402" s="54" t="inlineStr">
        <is>
          <t xml:space="preserve">Quality</t>
        </is>
      </c>
    </row>
    <row r="403">
      <c r="A403" s="54" t="inlineStr">
        <is>
          <t xml:space="preserve">SH</t>
        </is>
      </c>
      <c r="B403" s="49" t="n">
        <v>46239</v>
      </c>
      <c r="C403" s="54" t="inlineStr">
        <is>
          <t xml:space="preserve">Thoracic</t>
        </is>
      </c>
      <c r="D403" s="54" t="inlineStr">
        <is>
          <t xml:space="preserve">Lung laceration</t>
        </is>
      </c>
      <c r="E403" s="55" t="n">
        <v>11</v>
      </c>
      <c r="F403" s="54" t="inlineStr">
        <is>
          <t xml:space="preserve">Quality</t>
        </is>
      </c>
    </row>
    <row r="404">
      <c r="A404" s="54" t="inlineStr">
        <is>
          <t xml:space="preserve">SH</t>
        </is>
      </c>
      <c r="B404" s="49" t="n">
        <v>46239</v>
      </c>
      <c r="C404" s="54" t="inlineStr">
        <is>
          <t xml:space="preserve">Pelvic</t>
        </is>
      </c>
      <c r="D404" s="54" t="inlineStr">
        <is>
          <t xml:space="preserve">Membrane damage</t>
        </is>
      </c>
      <c r="E404" s="55" t="n">
        <v>1</v>
      </c>
      <c r="F404" s="54" t="inlineStr">
        <is>
          <t xml:space="preserve">Quality</t>
        </is>
      </c>
    </row>
    <row r="405">
      <c r="A405" s="54" t="inlineStr">
        <is>
          <t xml:space="preserve">SH</t>
        </is>
      </c>
      <c r="B405" s="49" t="n">
        <v>46244</v>
      </c>
      <c r="C405" s="54" t="inlineStr">
        <is>
          <t xml:space="preserve">Pelvic</t>
        </is>
      </c>
      <c r="D405" s="54" t="inlineStr">
        <is>
          <t xml:space="preserve">Urethra / bladder damage</t>
        </is>
      </c>
      <c r="E405" s="55" t="n">
        <v>2</v>
      </c>
      <c r="F405" s="54" t="inlineStr">
        <is>
          <t xml:space="preserve">Quality</t>
        </is>
      </c>
    </row>
    <row r="406">
      <c r="A406" s="54" t="inlineStr">
        <is>
          <t xml:space="preserve">SH</t>
        </is>
      </c>
      <c r="B406" s="49" t="n">
        <v>46246</v>
      </c>
      <c r="C406" s="54" t="inlineStr">
        <is>
          <t xml:space="preserve">Thoracic</t>
        </is>
      </c>
      <c r="D406" s="54" t="inlineStr">
        <is>
          <t xml:space="preserve">Heart damage</t>
        </is>
      </c>
      <c r="E406" s="55" t="n">
        <v>3</v>
      </c>
      <c r="F406" s="54" t="inlineStr">
        <is>
          <t xml:space="preserve">Quality</t>
        </is>
      </c>
    </row>
    <row r="407">
      <c r="A407" s="54" t="inlineStr">
        <is>
          <t xml:space="preserve">SH</t>
        </is>
      </c>
      <c r="B407" s="49" t="n">
        <v>46246</v>
      </c>
      <c r="C407" s="54" t="inlineStr">
        <is>
          <t xml:space="preserve">Thoracic</t>
        </is>
      </c>
      <c r="D407" s="54" t="inlineStr">
        <is>
          <t xml:space="preserve">Lung laceration</t>
        </is>
      </c>
      <c r="E407" s="55" t="n">
        <v>9</v>
      </c>
      <c r="F407" s="54" t="inlineStr">
        <is>
          <t xml:space="preserve">Quality</t>
        </is>
      </c>
    </row>
    <row r="408">
      <c r="A408" s="54" t="inlineStr">
        <is>
          <t xml:space="preserve">SH</t>
        </is>
      </c>
      <c r="B408" s="49" t="n">
        <v>46248</v>
      </c>
      <c r="C408" s="54" t="inlineStr">
        <is>
          <t xml:space="preserve">Pelvic</t>
        </is>
      </c>
      <c r="D408" s="54" t="inlineStr">
        <is>
          <t xml:space="preserve">Bowel damage / separation</t>
        </is>
      </c>
      <c r="E408" s="55" t="n">
        <v>1</v>
      </c>
      <c r="F408" s="54" t="inlineStr">
        <is>
          <t xml:space="preserve">Quality</t>
        </is>
      </c>
    </row>
    <row r="409">
      <c r="A409" s="54" t="inlineStr">
        <is>
          <t xml:space="preserve">SH</t>
        </is>
      </c>
      <c r="B409" s="49" t="n">
        <v>46251</v>
      </c>
      <c r="C409" s="54" t="inlineStr">
        <is>
          <t xml:space="preserve">Pelvic</t>
        </is>
      </c>
      <c r="D409" s="54" t="inlineStr">
        <is>
          <t xml:space="preserve">Bowel damage / separation</t>
        </is>
      </c>
      <c r="E409" s="55" t="n">
        <v>1</v>
      </c>
      <c r="F409" s="54" t="inlineStr">
        <is>
          <t xml:space="preserve">Quality</t>
        </is>
      </c>
    </row>
    <row r="410">
      <c r="A410" s="54" t="inlineStr">
        <is>
          <t xml:space="preserve">SH</t>
        </is>
      </c>
      <c r="B410" s="49" t="n">
        <v>46253</v>
      </c>
      <c r="C410" s="54" t="inlineStr">
        <is>
          <t xml:space="preserve">Thoracic</t>
        </is>
      </c>
      <c r="D410" s="54" t="inlineStr">
        <is>
          <t xml:space="preserve">Heart damage</t>
        </is>
      </c>
      <c r="E410" s="55" t="n">
        <v>12</v>
      </c>
      <c r="F410" s="54" t="inlineStr">
        <is>
          <t xml:space="preserve">Quality</t>
        </is>
      </c>
    </row>
    <row r="411">
      <c r="A411" s="54" t="inlineStr">
        <is>
          <t xml:space="preserve">SH</t>
        </is>
      </c>
      <c r="B411" s="49" t="n">
        <v>46253</v>
      </c>
      <c r="C411" s="54" t="inlineStr">
        <is>
          <t xml:space="preserve">Thoracic</t>
        </is>
      </c>
      <c r="D411" s="54" t="inlineStr">
        <is>
          <t xml:space="preserve">Lung laceration</t>
        </is>
      </c>
      <c r="E411" s="55" t="n">
        <v>11</v>
      </c>
      <c r="F411" s="54" t="inlineStr">
        <is>
          <t xml:space="preserve">Quality</t>
        </is>
      </c>
    </row>
    <row r="412">
      <c r="A412" s="54" t="inlineStr">
        <is>
          <t xml:space="preserve">SH</t>
        </is>
      </c>
      <c r="B412" s="49" t="n">
        <v>46254</v>
      </c>
      <c r="C412" s="54" t="inlineStr">
        <is>
          <t xml:space="preserve">Pelvic</t>
        </is>
      </c>
      <c r="D412" s="54" t="inlineStr">
        <is>
          <t xml:space="preserve">Critical-area laceration</t>
        </is>
      </c>
      <c r="E412" s="55" t="n">
        <v>1</v>
      </c>
      <c r="F412" s="54" t="inlineStr">
        <is>
          <t xml:space="preserve">Quality</t>
        </is>
      </c>
    </row>
    <row r="413">
      <c r="A413" s="54" t="inlineStr">
        <is>
          <t xml:space="preserve">SH</t>
        </is>
      </c>
      <c r="B413" s="49" t="n">
        <v>46258</v>
      </c>
      <c r="C413" s="54" t="inlineStr">
        <is>
          <t xml:space="preserve">Pelvic</t>
        </is>
      </c>
      <c r="D413" s="54" t="inlineStr">
        <is>
          <t xml:space="preserve">Membrane damage</t>
        </is>
      </c>
      <c r="E413" s="55" t="n">
        <v>1</v>
      </c>
      <c r="F413" s="54" t="inlineStr">
        <is>
          <t xml:space="preserve">Quality</t>
        </is>
      </c>
    </row>
    <row r="414">
      <c r="A414" s="54" t="inlineStr">
        <is>
          <t xml:space="preserve">SH</t>
        </is>
      </c>
      <c r="B414" s="49" t="n">
        <v>46258</v>
      </c>
      <c r="C414" s="54" t="inlineStr">
        <is>
          <t xml:space="preserve">Pelvic</t>
        </is>
      </c>
      <c r="D414" s="54" t="inlineStr">
        <is>
          <t xml:space="preserve">Urethra / bladder damage</t>
        </is>
      </c>
      <c r="E414" s="55" t="n">
        <v>1</v>
      </c>
      <c r="F414" s="54" t="inlineStr">
        <is>
          <t xml:space="preserve">Quality</t>
        </is>
      </c>
    </row>
    <row r="415">
      <c r="A415" s="54" t="inlineStr">
        <is>
          <t xml:space="preserve">SH</t>
        </is>
      </c>
      <c r="B415" s="49" t="n">
        <v>46260</v>
      </c>
      <c r="C415" s="54" t="inlineStr">
        <is>
          <t xml:space="preserve">Thoracic</t>
        </is>
      </c>
      <c r="D415" s="54" t="inlineStr">
        <is>
          <t xml:space="preserve">Undocumented / not itemized</t>
        </is>
      </c>
      <c r="E415" s="55" t="n">
        <v>1</v>
      </c>
      <c r="F415" s="54" t="inlineStr">
        <is>
          <t xml:space="preserve">Quality</t>
        </is>
      </c>
    </row>
    <row r="416">
      <c r="A416" s="54" t="inlineStr">
        <is>
          <t xml:space="preserve">SH</t>
        </is>
      </c>
      <c r="B416" s="49" t="n">
        <v>46265</v>
      </c>
      <c r="C416" s="54" t="inlineStr">
        <is>
          <t xml:space="preserve">Pelvic</t>
        </is>
      </c>
      <c r="D416" s="54" t="inlineStr">
        <is>
          <t xml:space="preserve">Membrane damage</t>
        </is>
      </c>
      <c r="E416" s="55" t="n">
        <v>1</v>
      </c>
      <c r="F416" s="54" t="inlineStr">
        <is>
          <t xml:space="preserve">Quality</t>
        </is>
      </c>
    </row>
  </sheetData>
  <pageMargins left="0.5" right="0.5" top="0.6" bottom="0.6" header="0.3" footer="0.3"/>
</worksheet>
</file>

<file path=xl/worksheets/sheet15.xml><?xml version="1.0" encoding="utf-8"?>
<worksheet xmlns="http://schemas.openxmlformats.org/spreadsheetml/2006/main" xmlns:r="http://schemas.openxmlformats.org/officeDocument/2006/relationships">
  <dimension ref="A1:J17"/>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4" customHeight="1">
      <c r="A1" s="50" t="inlineStr">
        <is>
          <t xml:space="preserve">SEPTEMBER 2026 — SH IQC Inspections</t>
        </is>
      </c>
    </row>
    <row r="2" ht="44" customHeight="1">
      <c r="A2" s="51" t="inlineStr">
        <is>
          <t xml:space="preserve">1 part-inspection across 1 harvest day at Nahunta. Month totals: 2 inspected / 2 pass / 0 fail — first-pass yield 100.0%. Snapshot from the Inspection Log; defect ranking uses the named categories (see Monthly Breakdown notes). Nahunta two-stage visits count our QC stage only — harvest-stage rejects are in the row notes.</t>
        </is>
      </c>
    </row>
    <row r="3"/>
    <row r="4" ht="20" customHeight="1">
      <c r="A4" s="52" t="inlineStr">
        <is>
          <t xml:space="preserve">MONTH SUMMARY — BY TISSUE × SLAUGHTERHOUSE</t>
        </is>
      </c>
    </row>
    <row r="5">
      <c r="A5" s="53" t="inlineStr">
        <is>
          <t xml:space="preserve">Tissue @ SH</t>
        </is>
      </c>
      <c r="B5" s="53" t="inlineStr">
        <is>
          <t xml:space="preserve">Part #</t>
        </is>
      </c>
      <c r="C5" s="53" t="inlineStr">
        <is>
          <t xml:space="preserve"># Inspected</t>
        </is>
      </c>
      <c r="D5" s="53" t="inlineStr">
        <is>
          <t xml:space="preserve"># Pass</t>
        </is>
      </c>
      <c r="E5" s="53" t="inlineStr">
        <is>
          <t xml:space="preserve"># Fail</t>
        </is>
      </c>
      <c r="F5" s="53" t="inlineStr">
        <is>
          <t xml:space="preserve">First-Pass Yield</t>
        </is>
      </c>
      <c r="G5" s="53" t="inlineStr">
        <is>
          <t xml:space="preserve">Top defect this month</t>
        </is>
      </c>
    </row>
    <row r="6">
      <c r="A6" s="54" t="inlineStr">
        <is>
          <t xml:space="preserve">Thoracic @ Nahunta</t>
        </is>
      </c>
      <c r="B6" s="54" t="inlineStr">
        <is>
          <t xml:space="preserve">666521</t>
        </is>
      </c>
      <c r="C6" s="55" t="n">
        <v>2</v>
      </c>
      <c r="D6" s="55" t="n">
        <v>2</v>
      </c>
      <c r="E6" s="55" t="n">
        <v>0</v>
      </c>
      <c r="F6" s="56" t="n">
        <v>1.0</v>
      </c>
      <c r="G6" s="57" t="inlineStr">
        <is>
          <t xml:space="preserve">— clean at our QC; harvest-stage rejects in notes</t>
        </is>
      </c>
    </row>
    <row r="7"/>
    <row r="8" ht="20" customHeight="1">
      <c r="A8" s="52" t="inlineStr">
        <is>
          <t xml:space="preserve">MOST RECURRING DEFECTS — BY TISSUE × SLAUGHTERHOUSE</t>
        </is>
      </c>
    </row>
    <row r="9" ht="28" customHeight="1">
      <c r="A9" s="60" t="inlineStr">
        <is>
          <t xml:space="preserve">Thoracic @ Nahunta · 666521 — no fails at our QC (2 QC-inspected, 100%). Two-stage visit: the harvest tech rejected 17 of 19 upstream (8 left-lung lacerations, 9 missing trachea) — see Slaughterhouse IQC tab.</t>
        </is>
      </c>
    </row>
    <row r="10" ht="20" customHeight="1">
      <c r="A10" s="52" t="inlineStr">
        <is>
          <t xml:space="preserve">ALL INSPECTIONS THIS MONTH</t>
        </is>
      </c>
    </row>
    <row r="11">
      <c r="A11" s="53" t="inlineStr">
        <is>
          <t xml:space="preserve">Harvest Date</t>
        </is>
      </c>
      <c r="B11" s="53" t="inlineStr">
        <is>
          <t xml:space="preserve">Slaughterhouse</t>
        </is>
      </c>
      <c r="C11" s="53" t="inlineStr">
        <is>
          <t xml:space="preserve">Tissue</t>
        </is>
      </c>
      <c r="D11" s="53" t="inlineStr">
        <is>
          <t xml:space="preserve">Part #</t>
        </is>
      </c>
      <c r="E11" s="53" t="inlineStr">
        <is>
          <t xml:space="preserve">Lot</t>
        </is>
      </c>
      <c r="F11" s="53" t="inlineStr">
        <is>
          <t xml:space="preserve"># Inspected</t>
        </is>
      </c>
      <c r="G11" s="53" t="inlineStr">
        <is>
          <t xml:space="preserve"># Pass</t>
        </is>
      </c>
      <c r="H11" s="53" t="inlineStr">
        <is>
          <t xml:space="preserve"># Fail</t>
        </is>
      </c>
      <c r="I11" s="53" t="inlineStr">
        <is>
          <t xml:space="preserve">FPY</t>
        </is>
      </c>
      <c r="J11" s="53" t="inlineStr">
        <is>
          <t xml:space="preserve">Scrap reason / notes</t>
        </is>
      </c>
    </row>
    <row r="12" ht="54.0" customHeight="1">
      <c r="A12" s="54" t="inlineStr">
        <is>
          <t xml:space="preserve">2026-09-09</t>
        </is>
      </c>
      <c r="B12" s="54" t="inlineStr">
        <is>
          <t xml:space="preserve">Nahunta</t>
        </is>
      </c>
      <c r="C12" s="54" t="inlineStr">
        <is>
          <t xml:space="preserve">Thoracic</t>
        </is>
      </c>
      <c r="D12" s="54" t="inlineStr">
        <is>
          <t xml:space="preserve">666521</t>
        </is>
      </c>
      <c r="E12" s="54" t="inlineStr">
        <is>
          <t xml:space="preserve">5502550281</t>
        </is>
      </c>
      <c r="F12" s="55" t="n">
        <v>2</v>
      </c>
      <c r="G12" s="55" t="n">
        <v>2</v>
      </c>
      <c r="H12" s="55" t="n">
        <v>0</v>
      </c>
      <c r="I12" s="56" t="n">
        <v>1.0</v>
      </c>
      <c r="J12" s="57" t="inlineStr">
        <is>
          <t xml:space="preserve">OUR QC STAGE: inspected the 2 blocks Jordan passed — both pass. HARVEST STAGE: Jordan rejected 17 of 19 received — 8 left-lung lacerations, 9 missing trachea (SH harvesting tracheas for another buyer). One passed unit labeled for a high head-vessel laceration.</t>
        </is>
      </c>
    </row>
    <row r="13"/>
    <row r="14" ht="16.5" customHeight="1">
      <c r="A14" s="45" t="inlineStr">
        <is>
          <t xml:space="preserve">Key Takeaways</t>
        </is>
      </c>
      <c r="B14" s="45"/>
      <c r="C14" s="45"/>
      <c r="D14" s="45"/>
      <c r="E14" s="45"/>
      <c r="F14" s="45"/>
      <c r="G14" s="45"/>
      <c r="H14" s="45"/>
      <c r="I14" s="45"/>
      <c r="J14" s="45"/>
    </row>
    <row r="15" ht="27.0" customHeight="1">
      <c r="A15" s="46" t="inlineStr">
        <is>
          <t xml:space="preserve">➢ 666521 (Thoracic @ Nahunta, 9/9 — two-inspection visit): our QC passed both blocks the harvest tech passed to us (2/2, 100%). Upstream, Jordan rejected 17 of 19 at harvest — 8 left-lung lacerations + 9 MISSING TRACHEA: the SH is harvesting tracheas for another buyer. New gap to raise with Nahunta.</t>
        </is>
      </c>
      <c r="B15" s="46"/>
      <c r="C15" s="46"/>
      <c r="D15" s="46"/>
      <c r="E15" s="46"/>
      <c r="F15" s="46"/>
      <c r="G15" s="46"/>
      <c r="H15" s="46"/>
      <c r="I15" s="46"/>
      <c r="J15" s="46"/>
    </row>
    <row r="16" ht="27.0" customHeight="1">
      <c r="A16" s="46" t="inlineStr">
        <is>
          <t xml:space="preserve">➢ Harvest-stage rejects are not in the counts above — the log records our QC inspection of what Nahunta passed to us. Nahunta is the only slaughterhouse with this two-inspection process.</t>
        </is>
      </c>
      <c r="B16" s="46"/>
      <c r="C16" s="46"/>
      <c r="D16" s="46"/>
      <c r="E16" s="46"/>
      <c r="F16" s="46"/>
      <c r="G16" s="46"/>
      <c r="H16" s="46"/>
      <c r="I16" s="46"/>
      <c r="J16" s="46"/>
    </row>
    <row r="17" ht="15.0" customHeight="1">
      <c r="A17" s="47" t="inlineStr">
        <is>
          <t xml:space="preserve">➢ No pelvic inspections in September yet — Martins / Parks September visits to come.</t>
        </is>
      </c>
      <c r="B17" s="47"/>
      <c r="C17" s="47"/>
      <c r="D17" s="47"/>
      <c r="E17" s="47"/>
      <c r="F17" s="47"/>
      <c r="G17" s="47"/>
      <c r="H17" s="47"/>
      <c r="I17" s="47"/>
      <c r="J17" s="47"/>
    </row>
  </sheetData>
  <mergeCells count="12">
    <mergeCell ref="A1:J1"/>
    <mergeCell ref="A2:J2"/>
    <mergeCell ref="A4:J4"/>
    <mergeCell ref="G5:J5"/>
    <mergeCell ref="G6:J6"/>
    <mergeCell ref="A8:J8"/>
    <mergeCell ref="A9:J9"/>
    <mergeCell ref="A10:J10"/>
    <mergeCell ref="A14:J14"/>
    <mergeCell ref="A15:J15"/>
    <mergeCell ref="A16:J16"/>
    <mergeCell ref="A17:J17"/>
  </mergeCells>
  <conditionalFormatting sqref="F6:F6">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16.xml><?xml version="1.0" encoding="utf-8"?>
<worksheet xmlns="http://schemas.openxmlformats.org/spreadsheetml/2006/main" xmlns:r="http://schemas.openxmlformats.org/officeDocument/2006/relationships">
  <dimension ref="A1:K33"/>
  <sheetViews>
    <sheetView workbookViewId="0">
      <selection activeCell="A1" sqref="A1"/>
    </sheetView>
  </sheetViews>
  <sheetFormatPr defaultRowHeight="15"/>
  <cols>
    <col min="1" max="1" width="11" customWidth="1"/>
    <col min="2" max="2" width="13" customWidth="1"/>
    <col min="3" max="3" width="20" customWidth="1"/>
    <col min="4" max="6" width="12" customWidth="1"/>
    <col min="7" max="8" width="8" customWidth="1"/>
    <col min="9" max="10" width="10" customWidth="1"/>
    <col min="11" max="11" width="46" customWidth="1"/>
  </cols>
  <sheetData>
    <row r="1" ht="24" customHeight="1">
      <c r="A1" s="50" t="inlineStr">
        <is>
          <t xml:space="preserve">Nahunta — Standardized View &amp; Data Gaps</t>
        </is>
      </c>
    </row>
    <row r="2" ht="72" customHeight="1">
      <c r="A2" s="51" t="inlineStr">
        <is>
          <t xml:space="preserve">Nahunta's tallies have been collected on THREE different bases — single-stage whole-harvest (7/29–8/19), two-stage QC-of-harvest-passed (8/26, 9/9), and one pre-receipt screen (8/12 pelvic) — so raw FPY figures are not comparable across visits. This tab restates every visit on two standard metrics: HARVEST YIELD = usable blocks / blocks at harvest (comparable across all visits) and QC ACCEPT = QC pass / presented to our QC. It also defines the standard tally for future visits and lists what is still missing.</t>
        </is>
      </c>
    </row>
    <row r="3"/>
    <row r="4" ht="20" customHeight="1">
      <c r="A4" s="52" t="inlineStr">
        <is>
          <t xml:space="preserve">THORACIC 666521 — ALL VISITS, STANDARDIZED</t>
        </is>
      </c>
    </row>
    <row r="5" ht="40" customHeight="1">
      <c r="A5" s="53" t="inlineStr">
        <is>
          <t xml:space="preserve">Date</t>
        </is>
      </c>
      <c r="B5" s="53" t="inlineStr">
        <is>
          <t xml:space="preserve">Lot</t>
        </is>
      </c>
      <c r="C5" s="53" t="inlineStr">
        <is>
          <t xml:space="preserve">Tally basis</t>
        </is>
      </c>
      <c r="D5" s="53" t="inlineStr">
        <is>
          <t xml:space="preserve"># At harvest</t>
        </is>
      </c>
      <c r="E5" s="53" t="inlineStr">
        <is>
          <t xml:space="preserve">Rejected by harvest tech</t>
        </is>
      </c>
      <c r="F5" s="53" t="inlineStr">
        <is>
          <t xml:space="preserve">Presented to our QC</t>
        </is>
      </c>
      <c r="G5" s="53" t="inlineStr">
        <is>
          <t xml:space="preserve">QC Pass</t>
        </is>
      </c>
      <c r="H5" s="53" t="inlineStr">
        <is>
          <t xml:space="preserve">QC Fail</t>
        </is>
      </c>
      <c r="I5" s="53" t="inlineStr">
        <is>
          <t xml:space="preserve">Harvest yield</t>
        </is>
      </c>
      <c r="J5" s="53" t="inlineStr">
        <is>
          <t xml:space="preserve">QC accept</t>
        </is>
      </c>
      <c r="K5" s="53" t="inlineStr">
        <is>
          <t xml:space="preserve">Reasons (short)</t>
        </is>
      </c>
    </row>
    <row r="6" ht="30" customHeight="1">
      <c r="A6" s="54" t="inlineStr">
        <is>
          <t xml:space="preserve">2026-07-29</t>
        </is>
      </c>
      <c r="B6" s="54" t="inlineStr">
        <is>
          <t xml:space="preserve">5502512218</t>
        </is>
      </c>
      <c r="C6" s="54" t="inlineStr">
        <is>
          <t xml:space="preserve">Single-stage (whole harvest)</t>
        </is>
      </c>
      <c r="D6" s="55" t="n">
        <v>19</v>
      </c>
      <c r="E6" s="55" t="inlineStr">
        <is>
          <t xml:space="preserve">— (not recorded)</t>
        </is>
      </c>
      <c r="F6" s="55" t="n">
        <v>19</v>
      </c>
      <c r="G6" s="55" t="n">
        <v>6</v>
      </c>
      <c r="H6" s="55" t="n">
        <v>13</v>
      </c>
      <c r="I6" s="56" t="n">
        <v>0.3158</v>
      </c>
      <c r="J6" s="56" t="n">
        <v>0.3158</v>
      </c>
      <c r="K6" s="57" t="inlineStr">
        <is>
          <t xml:space="preserve">11 right-lung lacerations + 2 heart lacerations</t>
        </is>
      </c>
    </row>
    <row r="7" ht="30" customHeight="1">
      <c r="A7" s="54" t="inlineStr">
        <is>
          <t xml:space="preserve">2026-08-05</t>
        </is>
      </c>
      <c r="B7" s="54" t="inlineStr">
        <is>
          <t xml:space="preserve">5502512218</t>
        </is>
      </c>
      <c r="C7" s="54" t="inlineStr">
        <is>
          <t xml:space="preserve">Single-stage (whole harvest)</t>
        </is>
      </c>
      <c r="D7" s="55" t="n">
        <v>15</v>
      </c>
      <c r="E7" s="55" t="inlineStr">
        <is>
          <t xml:space="preserve">— (not recorded)</t>
        </is>
      </c>
      <c r="F7" s="55" t="n">
        <v>15</v>
      </c>
      <c r="G7" s="55" t="n">
        <v>0</v>
      </c>
      <c r="H7" s="55" t="n">
        <v>15</v>
      </c>
      <c r="I7" s="56" t="n">
        <v>0.0</v>
      </c>
      <c r="J7" s="56" t="n">
        <v>0.0</v>
      </c>
      <c r="K7" s="57" t="inlineStr">
        <is>
          <t xml:space="preserve">11 lung + 4 heart lacerations (0% visit)</t>
        </is>
      </c>
    </row>
    <row r="8" ht="30" customHeight="1">
      <c r="A8" s="54" t="inlineStr">
        <is>
          <t xml:space="preserve">2026-08-12</t>
        </is>
      </c>
      <c r="B8" s="54" t="inlineStr">
        <is>
          <t xml:space="preserve">5502523283</t>
        </is>
      </c>
      <c r="C8" s="54" t="inlineStr">
        <is>
          <t xml:space="preserve">Single-stage (whole harvest)</t>
        </is>
      </c>
      <c r="D8" s="55" t="n">
        <v>13</v>
      </c>
      <c r="E8" s="55" t="inlineStr">
        <is>
          <t xml:space="preserve">— (not recorded)</t>
        </is>
      </c>
      <c r="F8" s="55" t="n">
        <v>13</v>
      </c>
      <c r="G8" s="55" t="n">
        <v>2</v>
      </c>
      <c r="H8" s="55" t="n">
        <v>11</v>
      </c>
      <c r="I8" s="56" t="n">
        <v>0.1538</v>
      </c>
      <c r="J8" s="56" t="n">
        <v>0.1538</v>
      </c>
      <c r="K8" s="57" t="inlineStr">
        <is>
          <t xml:space="preserve">9 lung + 3 heart recorded — sums 12 vs 11 fails (gap #2)</t>
        </is>
      </c>
    </row>
    <row r="9" ht="30" customHeight="1">
      <c r="A9" s="54" t="inlineStr">
        <is>
          <t xml:space="preserve">2026-08-19</t>
        </is>
      </c>
      <c r="B9" s="54" t="inlineStr">
        <is>
          <t xml:space="preserve">5502523283</t>
        </is>
      </c>
      <c r="C9" s="54" t="inlineStr">
        <is>
          <t xml:space="preserve">Single-stage (whole harvest)</t>
        </is>
      </c>
      <c r="D9" s="55" t="n">
        <v>29</v>
      </c>
      <c r="E9" s="55" t="inlineStr">
        <is>
          <t xml:space="preserve">— (not recorded)</t>
        </is>
      </c>
      <c r="F9" s="55" t="n">
        <v>29</v>
      </c>
      <c r="G9" s="55" t="n">
        <v>6</v>
      </c>
      <c r="H9" s="55" t="n">
        <v>23</v>
      </c>
      <c r="I9" s="56" t="n">
        <v>0.2069</v>
      </c>
      <c r="J9" s="56" t="n">
        <v>0.2069</v>
      </c>
      <c r="K9" s="57" t="inlineStr">
        <is>
          <t xml:space="preserve">11 lung + 12 heart lacerations</t>
        </is>
      </c>
    </row>
    <row r="10" ht="30" customHeight="1">
      <c r="A10" s="54" t="inlineStr">
        <is>
          <t xml:space="preserve">2026-08-26</t>
        </is>
      </c>
      <c r="B10" s="54" t="inlineStr">
        <is>
          <t xml:space="preserve">5502539375</t>
        </is>
      </c>
      <c r="C10" s="54" t="inlineStr">
        <is>
          <t xml:space="preserve">Two-stage</t>
        </is>
      </c>
      <c r="D10" s="55" t="n">
        <v>18</v>
      </c>
      <c r="E10" s="55" t="n">
        <v>9</v>
      </c>
      <c r="F10" s="55" t="n">
        <v>9</v>
      </c>
      <c r="G10" s="55" t="n">
        <v>8</v>
      </c>
      <c r="H10" s="55" t="n">
        <v>1</v>
      </c>
      <c r="I10" s="56" t="n">
        <v>0.4444</v>
      </c>
      <c r="J10" s="56" t="n">
        <v>0.8889</v>
      </c>
      <c r="K10" s="57" t="inlineStr">
        <is>
          <t xml:space="preserve">Visit totals 8 lung + 2 heart; harvest/QC stage split not itemized (gap #3) — the 1 QC fail is undocumented</t>
        </is>
      </c>
    </row>
    <row r="11" ht="30" customHeight="1">
      <c r="A11" s="54" t="inlineStr">
        <is>
          <t xml:space="preserve">2026-09-09</t>
        </is>
      </c>
      <c r="B11" s="54" t="inlineStr">
        <is>
          <t xml:space="preserve">5502550281</t>
        </is>
      </c>
      <c r="C11" s="54" t="inlineStr">
        <is>
          <t xml:space="preserve">Two-stage</t>
        </is>
      </c>
      <c r="D11" s="55" t="n">
        <v>19</v>
      </c>
      <c r="E11" s="55" t="n">
        <v>17</v>
      </c>
      <c r="F11" s="55" t="n">
        <v>2</v>
      </c>
      <c r="G11" s="55" t="n">
        <v>2</v>
      </c>
      <c r="H11" s="55" t="n">
        <v>0</v>
      </c>
      <c r="I11" s="56" t="n">
        <v>0.1053</v>
      </c>
      <c r="J11" s="56" t="n">
        <v>1.0</v>
      </c>
      <c r="K11" s="57" t="inlineStr">
        <is>
          <t xml:space="preserve">Harvest stage: 8 left-lung lacerations + 9 MISSING TRACHEA (gap #5); QC stage: none</t>
        </is>
      </c>
    </row>
    <row r="12" ht="16" customHeight="1">
      <c r="A12" s="58" t="inlineStr">
        <is>
          <t xml:space="preserve">TOTAL (harvest basis)</t>
        </is>
      </c>
      <c r="D12" s="55" t="n">
        <v>113</v>
      </c>
      <c r="G12" s="55" t="n">
        <v>24</v>
      </c>
      <c r="I12" s="56" t="n">
        <v>0.2124</v>
      </c>
    </row>
    <row r="13"/>
    <row r="14" ht="20" customHeight="1">
      <c r="A14" s="52" t="inlineStr">
        <is>
          <t xml:space="preserve">PELVIC 666541 — SIDE LINE</t>
        </is>
      </c>
    </row>
    <row r="15" ht="28" customHeight="1">
      <c r="A15" s="53" t="inlineStr">
        <is>
          <t xml:space="preserve">Date</t>
        </is>
      </c>
      <c r="B15" s="53" t="inlineStr">
        <is>
          <t xml:space="preserve">Lot</t>
        </is>
      </c>
      <c r="C15" s="53" t="inlineStr">
        <is>
          <t xml:space="preserve">Tally basis</t>
        </is>
      </c>
      <c r="D15" s="53" t="inlineStr">
        <is>
          <t xml:space="preserve"># Screened / inspected</t>
        </is>
      </c>
      <c r="E15" s="53" t="inlineStr">
        <is>
          <t xml:space="preserve">Rejected</t>
        </is>
      </c>
      <c r="F15" s="53" t="inlineStr">
        <is>
          <t xml:space="preserve">Pass</t>
        </is>
      </c>
      <c r="G15" s="53" t="inlineStr">
        <is>
          <t xml:space="preserve">Harvest yield</t>
        </is>
      </c>
      <c r="H15" s="53" t="inlineStr">
        <is>
          <t xml:space="preserve">QC accept</t>
        </is>
      </c>
      <c r="I15" s="53" t="inlineStr">
        <is>
          <t xml:space="preserve">Reasons (short)</t>
        </is>
      </c>
    </row>
    <row r="16">
      <c r="A16" s="54" t="inlineStr">
        <is>
          <t xml:space="preserve">2026-07-29</t>
        </is>
      </c>
      <c r="B16" s="54" t="inlineStr">
        <is>
          <t xml:space="preserve">5502512218</t>
        </is>
      </c>
      <c r="C16" s="54" t="inlineStr">
        <is>
          <t xml:space="preserve">Single-stage (trial)</t>
        </is>
      </c>
      <c r="D16" s="55" t="n">
        <v>1</v>
      </c>
      <c r="E16" s="55" t="n">
        <v>0</v>
      </c>
      <c r="F16" s="55" t="n">
        <v>1</v>
      </c>
      <c r="G16" s="56" t="n">
        <v>1.0</v>
      </c>
      <c r="H16" s="56" t="n">
        <v>1.0</v>
      </c>
      <c r="I16" s="57" t="inlineStr">
        <is>
          <t xml:space="preserve">Single trial block, passed</t>
        </is>
      </c>
    </row>
    <row r="17" ht="30" customHeight="1">
      <c r="A17" s="54" t="inlineStr">
        <is>
          <t xml:space="preserve">2026-08-12</t>
        </is>
      </c>
      <c r="B17" s="54" t="inlineStr">
        <is>
          <t xml:space="preserve">5502523283</t>
        </is>
      </c>
      <c r="C17" s="54" t="inlineStr">
        <is>
          <t xml:space="preserve">PRE-RECEIPT SCREEN</t>
        </is>
      </c>
      <c r="D17" s="55" t="n">
        <v>13</v>
      </c>
      <c r="E17" s="55" t="n">
        <v>12</v>
      </c>
      <c r="F17" s="55" t="n">
        <v>1</v>
      </c>
      <c r="G17" s="54" t="inlineStr">
        <is>
          <t xml:space="preserve">n/a</t>
        </is>
      </c>
      <c r="H17" s="54" t="inlineStr">
        <is>
          <t xml:space="preserve">n/a</t>
        </is>
      </c>
      <c r="I17" s="57" t="inlineStr">
        <is>
          <t xml:space="preserve">Screened prior to receipt (before the harvesting tech got the tissue); the 12 rejects never became received product. NO REASONS RECORDED (gap #1).</t>
        </is>
      </c>
    </row>
    <row r="18"/>
    <row r="19" ht="20" customHeight="1">
      <c r="A19" s="52" t="inlineStr">
        <is>
          <t xml:space="preserve">TREND READ (harvest-yield basis — the comparable series)</t>
        </is>
      </c>
    </row>
    <row r="20" ht="58" customHeight="1">
      <c r="A20" s="59" t="inlineStr">
        <is>
          <t xml:space="preserve">31.6% (7/29) → 0.0% (8/5) → 15.4% (8/12) → 20.7% (8/19) → 44.4% (8/26) → 10.5% (9/9). Overall: 24 usable of 113 at harvest (21.2%). The 8/26 rebound followed Francisco's team engagement; the 9/9 collapse is driven by the missing-trachea arrangement (9 of the 17 harvest rejects), not a quality regression alone. From 8/26 the harvest tech's own screen carries the loss: our QC accepted 88.9–100% of what he passed.</t>
        </is>
      </c>
    </row>
    <row r="21"/>
    <row r="22" ht="20" customHeight="1">
      <c r="A22" s="52" t="inlineStr">
        <is>
          <t xml:space="preserve">STANDARD TALLY — USE ON EVERY NAHUNTA VISIT FROM NOW ON</t>
        </is>
      </c>
    </row>
    <row r="23" ht="44" customHeight="1">
      <c r="A23" s="60" t="inlineStr">
        <is>
          <t xml:space="preserve">Record five things per visit, per part: (1) # blocks at harvest; (2) # rejected by the harvest tech WITH reasons; (3) # presented to our QC; (4) QC pass / fail WITH reasons; (5) lot number. Log convention: the Inspection Log carries the QC-stage numbers (pass/fail of what was presented to us); the harvest stage is recorded on this tab. With those five numbers every visit yields both standard metrics and stays comparable to Martins and Parks.</t>
        </is>
      </c>
    </row>
    <row r="24"/>
    <row r="25" ht="20" customHeight="1">
      <c r="A25" s="52" t="inlineStr">
        <is>
          <t xml:space="preserve">DATA GAPS — WHAT'S MISSING</t>
        </is>
      </c>
    </row>
    <row r="26">
      <c r="A26" s="53" t="inlineStr">
        <is>
          <t xml:space="preserve">#</t>
        </is>
      </c>
      <c r="B26" s="53" t="inlineStr">
        <is>
          <t xml:space="preserve">What's missing</t>
        </is>
      </c>
      <c r="C26" s="53" t="inlineStr">
        <is>
          <t xml:space="preserve">Why it matters</t>
        </is>
      </c>
      <c r="D26" s="53" t="inlineStr">
        <is>
          <t xml:space="preserve">Ask</t>
        </is>
      </c>
    </row>
    <row r="27" ht="44" customHeight="1">
      <c r="A27" s="58" t="inlineStr">
        <is>
          <t xml:space="preserve">1</t>
        </is>
      </c>
      <c r="B27" s="59" t="inlineStr">
        <is>
          <t xml:space="preserve">8/12 pelvic (lot 5502523283): reasons for the 12 pre-receipt rejects, and confirmation none of them were received</t>
        </is>
      </c>
      <c r="G27" s="59" t="inlineStr">
        <is>
          <t xml:space="preserve">12 units unexplained; the line is excluded from every defect chart until confirmed</t>
        </is>
      </c>
      <c r="K27" s="54" t="inlineStr">
        <is>
          <t xml:space="preserve">Kris</t>
        </is>
      </c>
    </row>
    <row r="28" ht="30" customHeight="1">
      <c r="A28" s="58" t="inlineStr">
        <is>
          <t xml:space="preserve">2</t>
        </is>
      </c>
      <c r="B28" s="59" t="inlineStr">
        <is>
          <t xml:space="preserve">8/12 thoracic: 11 fails recorded vs 12 reasons itemized (9 lung + 3 heart)</t>
        </is>
      </c>
      <c r="G28" s="59" t="inlineStr">
        <is>
          <t xml:space="preserve">one count on the source sheet is wrong</t>
        </is>
      </c>
      <c r="K28" s="54" t="inlineStr">
        <is>
          <t xml:space="preserve">Kris</t>
        </is>
      </c>
    </row>
    <row r="29" ht="44" customHeight="1">
      <c r="A29" s="58" t="inlineStr">
        <is>
          <t xml:space="preserve">3</t>
        </is>
      </c>
      <c r="B29" s="59" t="inlineStr">
        <is>
          <t xml:space="preserve">8/26: split of the 10 laceration reasons between the harvest stage (9 rejects) and our QC stage (1 fail)</t>
        </is>
      </c>
      <c r="G29" s="59" t="inlineStr">
        <is>
          <t xml:space="preserve">our only QC fail that visit is currently 'undocumented'</t>
        </is>
      </c>
      <c r="K29" s="54" t="inlineStr">
        <is>
          <t xml:space="preserve">Kris / Jordan</t>
        </is>
      </c>
    </row>
    <row r="30" ht="44" customHeight="1">
      <c r="A30" s="58" t="inlineStr">
        <is>
          <t xml:space="preserve">4</t>
        </is>
      </c>
      <c r="B30" s="59" t="inlineStr">
        <is>
          <t xml:space="preserve">Confirmation that 7/29–8/19 visits were true whole-harvest tallies (no informal pre-screen by the harvest tech)</t>
        </is>
      </c>
      <c r="G30" s="59" t="inlineStr">
        <is>
          <t xml:space="preserve">validates the harvest-yield trend series above</t>
        </is>
      </c>
      <c r="K30" s="54" t="inlineStr">
        <is>
          <t xml:space="preserve">Nahunta</t>
        </is>
      </c>
    </row>
    <row r="31" ht="30" customHeight="1">
      <c r="A31" s="58" t="inlineStr">
        <is>
          <t xml:space="preserve">5</t>
        </is>
      </c>
      <c r="B31" s="59" t="inlineStr">
        <is>
          <t xml:space="preserve">Status of the trachea arrangement (tracheas harvested for another buyer)</t>
        </is>
      </c>
      <c r="G31" s="59" t="inlineStr">
        <is>
          <t xml:space="preserve">caused 9 of 17 rejects on 9/9; determines whether thoracic supply is viable</t>
        </is>
      </c>
      <c r="K31" s="54" t="inlineStr">
        <is>
          <t xml:space="preserve">Nahunta management</t>
        </is>
      </c>
    </row>
    <row r="32" ht="30" customHeight="1">
      <c r="A32" s="58" t="inlineStr">
        <is>
          <t xml:space="preserve">6</t>
        </is>
      </c>
      <c r="B32" s="59" t="inlineStr">
        <is>
          <t xml:space="preserve">Pelvic side-line status — no pelvic inspection since 8/12</t>
        </is>
      </c>
      <c r="G32" s="59" t="inlineStr">
        <is>
          <t xml:space="preserve">decides whether pelvic sampling continues at Nahunta</t>
        </is>
      </c>
      <c r="K32" s="54" t="inlineStr">
        <is>
          <t xml:space="preserve">Nahunta</t>
        </is>
      </c>
    </row>
    <row r="33" ht="30" customHeight="1">
      <c r="A33" s="58" t="inlineStr">
        <is>
          <t xml:space="preserve">7</t>
        </is>
      </c>
      <c r="B33" s="59" t="inlineStr">
        <is>
          <t xml:space="preserve">Adoption of the standard tally (five numbers above) starting next visit</t>
        </is>
      </c>
      <c r="G33" s="59" t="inlineStr">
        <is>
          <t xml:space="preserve">keeps every future visit comparable</t>
        </is>
      </c>
      <c r="K33" s="54" t="inlineStr">
        <is>
          <t xml:space="preserve">Kris + Jordan</t>
        </is>
      </c>
    </row>
  </sheetData>
  <mergeCells count="28">
    <mergeCell ref="A1:K1"/>
    <mergeCell ref="A2:K2"/>
    <mergeCell ref="A4:K4"/>
    <mergeCell ref="A12:C12"/>
    <mergeCell ref="A14:K14"/>
    <mergeCell ref="I16:K16"/>
    <mergeCell ref="I17:K17"/>
    <mergeCell ref="A19:K19"/>
    <mergeCell ref="A20:K20"/>
    <mergeCell ref="A22:K22"/>
    <mergeCell ref="A23:K23"/>
    <mergeCell ref="A25:K25"/>
    <mergeCell ref="B26:F26"/>
    <mergeCell ref="G26:J26"/>
    <mergeCell ref="B27:F27"/>
    <mergeCell ref="G27:J27"/>
    <mergeCell ref="B28:F28"/>
    <mergeCell ref="G28:J28"/>
    <mergeCell ref="B29:F29"/>
    <mergeCell ref="G29:J29"/>
    <mergeCell ref="B30:F30"/>
    <mergeCell ref="G30:J30"/>
    <mergeCell ref="B31:F31"/>
    <mergeCell ref="G31:J31"/>
    <mergeCell ref="B32:F32"/>
    <mergeCell ref="G32:J32"/>
    <mergeCell ref="B33:F33"/>
    <mergeCell ref="G33:J33"/>
  </mergeCells>
  <conditionalFormatting sqref="I6:I12">
    <cfRule type="colorScale" priority="1">
      <colorScale>
        <cfvo type="num" val="0"/>
        <cfvo type="num" val="0.4"/>
        <cfvo type="num" val="0.9"/>
        <color rgb="FFF8696B"/>
        <color rgb="FFFFEB84"/>
        <color rgb="FF63BE7B"/>
      </colorScale>
    </cfRule>
  </conditionalFormatting>
  <conditionalFormatting sqref="J6:J11">
    <cfRule type="colorScale" priority="2">
      <colorScale>
        <cfvo type="num" val="0"/>
        <cfvo type="num" val="0.5"/>
        <cfvo type="num" val="1"/>
        <color rgb="FFF8696B"/>
        <color rgb="FFFFEB84"/>
        <color rgb="FF63BE7B"/>
      </colorScale>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