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fect Trends- ATM" sheetId="1" state="visible" r:id="rId3"/>
    <sheet name="Slaughterhouse IQC" sheetId="2" state="visible" r:id="rId4"/>
    <sheet name="SmartAssessment" sheetId="12" state="visible" r:id="rId15"/>
    <sheet name="ATM_Scrap_TableuData" sheetId="13" state="visible" r:id="rId16"/>
    <sheet name="Receipt Summary" sheetId="3" state="visible" r:id="rId5"/>
    <sheet name="Master Data" sheetId="4" state="visible" r:id="rId6"/>
    <sheet name="Defect Pivot 666541-F" sheetId="5" state="visible" r:id="rId7"/>
    <sheet name="Defect Pivot 666540-M" sheetId="6" state="visible" r:id="rId8"/>
    <sheet name="Defect Pivot 666518-F" sheetId="7" state="visible" r:id="rId9"/>
    <sheet name="Supplier Comparison" sheetId="8" state="visible" r:id="rId10"/>
    <sheet name="Defect Atlas" sheetId="9" state="visible" r:id="rId11"/>
    <sheet name="README" sheetId="10" state="visible" r:id="rId12"/>
    <sheet name="Sheet1" sheetId="11" state="visible" r:id="rId13"/>
  </sheets>
  <definedNames>
    <definedName function="false" hidden="true" localSheetId="3" name="_xlnm._FilterDatabase" vbProcedure="false">'Master Data'!$A$1:$L$114</definedName>
    <definedName function="false" hidden="true" localSheetId="2" name="_xlnm._FilterDatabase" vbProcedure="false">'Receipt Summary'!$A$1:$I$38</definedName>
  </definedNames>
  <calcPr iterateCount="100" refMode="A1" iterate="false" iterateDelta="0.0001" fullCalcOnLoad="true"/>
  <extLst>
    <ext xmlns:loext="http://schemas.libreoffice.org/" uri="{7626C862-2A13-11E5-B345-FEFF819CDC9F}">
      <loext:extCalcPr stringRefSyntax="ExcelA1"/>
    </ext>
  </extLst>
</workbook>
</file>

<file path=xl/sharedStrings.xml><?xml version="1.0" encoding="utf-8"?>
<sst xmlns="http://schemas.openxmlformats.org/spreadsheetml/2006/main" count="1818" uniqueCount="303">
  <si>
    <t xml:space="preserve">Defect Trends by Slaughterhouse (ATM post-freeze inspection)</t>
  </si>
  <si>
    <t xml:space="preserve">Defect-centric view: how each canonical defect category behaves over time at each slaughterhouse. Within Martins, male (666540) and female (666541) parts are combined — the per-part breakdown lives in the Defect Pivot sheets. All counts pull via SUMIFS from Master Data, so editing Master Data will propagate here.</t>
  </si>
  <si>
    <t xml:space="preserve">MARTINS — defect counts over time</t>
  </si>
  <si>
    <t xml:space="preserve">Defect (canonical)</t>
  </si>
  <si>
    <t xml:space="preserve">2026-02-09</t>
  </si>
  <si>
    <t xml:space="preserve">2026-02-23</t>
  </si>
  <si>
    <t xml:space="preserve">2026-03-02</t>
  </si>
  <si>
    <t xml:space="preserve">2026-03-09</t>
  </si>
  <si>
    <t xml:space="preserve">2026-03-16</t>
  </si>
  <si>
    <t xml:space="preserve">2026-03-23</t>
  </si>
  <si>
    <t xml:space="preserve">2026-03-30</t>
  </si>
  <si>
    <t xml:space="preserve">2026-04-06</t>
  </si>
  <si>
    <t xml:space="preserve">2026-04-13</t>
  </si>
  <si>
    <t xml:space="preserve">2026-04-20</t>
  </si>
  <si>
    <t xml:space="preserve">2026-05-04</t>
  </si>
  <si>
    <t xml:space="preserve">2026-05-11</t>
  </si>
  <si>
    <t xml:space="preserve">2026-05-28</t>
  </si>
  <si>
    <t xml:space="preserve">Total</t>
  </si>
  <si>
    <t xml:space="preserve">Critical Mesentery Hole/Laceration (&gt;0.5")</t>
  </si>
  <si>
    <t xml:space="preserve">Non-Critical Mesentery Hole (&gt;1.5")</t>
  </si>
  <si>
    <t xml:space="preserve">Blood Clot</t>
  </si>
  <si>
    <t xml:space="preserve">Bladder Length Oversize (&gt;5.5")</t>
  </si>
  <si>
    <t xml:space="preserve">Bladder Length Undersize</t>
  </si>
  <si>
    <t xml:space="preserve">Urethra Laceration (exposing internal)</t>
  </si>
  <si>
    <t xml:space="preserve">Bladder Laceration (exposing internal)</t>
  </si>
  <si>
    <t xml:space="preserve">Exposed Ureters</t>
  </si>
  <si>
    <t xml:space="preserve">Spoilage</t>
  </si>
  <si>
    <t xml:space="preserve">Mesentery Length from Bladder Neck (≤7")</t>
  </si>
  <si>
    <t xml:space="preserve">Units Received</t>
  </si>
  <si>
    <t xml:space="preserve">Units Scrapped</t>
  </si>
  <si>
    <t xml:space="preserve">Rejection %</t>
  </si>
  <si>
    <t xml:space="preserve">PARKS — defect counts over time</t>
  </si>
  <si>
    <t xml:space="preserve">TOP 5 MOST RECURRING DEFECTS (by total count, all parts combined)</t>
  </si>
  <si>
    <t xml:space="preserve">Rank</t>
  </si>
  <si>
    <t xml:space="preserve">Martins count</t>
  </si>
  <si>
    <t xml:space="preserve">Parks count</t>
  </si>
  <si>
    <t xml:space="preserve">Total count</t>
  </si>
  <si>
    <t xml:space="preserve">% of all scrap</t>
  </si>
  <si>
    <t xml:space="preserve">Note: 'Mesentery Length from Bladder Neck (≤7")' is a NEW SPEC effective 2026-03-30 and a dominant Parks defect — trajectory matters more than cumulative count.</t>
  </si>
  <si>
    <t xml:space="preserve">Slaughterhouse IQC — Post-Harvest / Pre-Freeze Inspections</t>
  </si>
  <si>
    <t xml:space="preserve">Post-harvest inspections performed at the slaughterhouse by an ATM inspector, BEFORE freeze. These are the earliest quality gate in the tissue supply chain. The ATM receipt inspections (every other sheet in this workbook) happen AFTER freeze/thaw and capture a superset of damage modes. Batch/lot numbers shown here correspond — not always exactly — to lots that appear later in the ATM data. See 'SH → ATM Yield Comparison' section below for stage-to-stage reconciliation.</t>
  </si>
  <si>
    <t xml:space="preserve">INSPECTION METADATA</t>
  </si>
  <si>
    <t xml:space="preserve">Visit</t>
  </si>
  <si>
    <t xml:space="preserve">Harvest dates</t>
  </si>
  <si>
    <t xml:space="preserve">Slaughterhouse</t>
  </si>
  <si>
    <t xml:space="preserve">Inspector</t>
  </si>
  <si>
    <t xml:space="preserve">SH Tech</t>
  </si>
  <si>
    <t xml:space="preserve">Intact lot</t>
  </si>
  <si>
    <t xml:space="preserve">Non-intact lot</t>
  </si>
  <si>
    <t xml:space="preserve">Intact PN</t>
  </si>
  <si>
    <t xml:space="preserve">Non-intact PN</t>
  </si>
  <si>
    <t xml:space="preserve">Visit 1</t>
  </si>
  <si>
    <t xml:space="preserve">2026-04-13 &amp; 2026-04-15</t>
  </si>
  <si>
    <t xml:space="preserve">Martins</t>
  </si>
  <si>
    <t xml:space="preserve">Toni Cruz</t>
  </si>
  <si>
    <t xml:space="preserve">Jesus</t>
  </si>
  <si>
    <t xml:space="preserve">5502378434</t>
  </si>
  <si>
    <t xml:space="preserve">5502378430</t>
  </si>
  <si>
    <t xml:space="preserve">666541</t>
  </si>
  <si>
    <t xml:space="preserve">666506</t>
  </si>
  <si>
    <t xml:space="preserve">Visit 2</t>
  </si>
  <si>
    <t xml:space="preserve">2026-04-20 &amp; 2026-04-22</t>
  </si>
  <si>
    <t xml:space="preserve">5502391862</t>
  </si>
  <si>
    <t xml:space="preserve">5502391858</t>
  </si>
  <si>
    <t xml:space="preserve">Visit 3</t>
  </si>
  <si>
    <t xml:space="preserve">2026-05-04 &amp; 2026-05-06</t>
  </si>
  <si>
    <t xml:space="preserve">5502404928</t>
  </si>
  <si>
    <t xml:space="preserve">5502404924</t>
  </si>
  <si>
    <t xml:space="preserve">Visit 4</t>
  </si>
  <si>
    <t xml:space="preserve">2026-05-18 &amp; 2026-05-21</t>
  </si>
  <si>
    <t xml:space="preserve">5502421192</t>
  </si>
  <si>
    <t xml:space="preserve">5502421188</t>
  </si>
  <si>
    <t xml:space="preserve">Visit 5</t>
  </si>
  <si>
    <t xml:space="preserve">2026-05-27</t>
  </si>
  <si>
    <t xml:space="preserve">(none collected)</t>
  </si>
  <si>
    <t xml:space="preserve">—</t>
  </si>
  <si>
    <t xml:space="preserve">Visit 6</t>
  </si>
  <si>
    <t xml:space="preserve">Parks Family Meats</t>
  </si>
  <si>
    <t xml:space="preserve">Rasmin Mujanovic</t>
  </si>
  <si>
    <t xml:space="preserve">Natalie</t>
  </si>
  <si>
    <t xml:space="preserve">(no batch data)</t>
  </si>
  <si>
    <t xml:space="preserve">666518</t>
  </si>
  <si>
    <t xml:space="preserve">Visit 7</t>
  </si>
  <si>
    <t xml:space="preserve">2026-06-01 &amp; 2026-06-03</t>
  </si>
  <si>
    <t xml:space="preserve">5502428786</t>
  </si>
  <si>
    <t xml:space="preserve">5502428782</t>
  </si>
  <si>
    <t xml:space="preserve">Visit 8</t>
  </si>
  <si>
    <t xml:space="preserve">2026-06-02</t>
  </si>
  <si>
    <t xml:space="preserve">RAW INSPECTION DATA (per harvest date × lot × condition)</t>
  </si>
  <si>
    <t xml:space="preserve">Harvest Date</t>
  </si>
  <si>
    <t xml:space="preserve">Lot</t>
  </si>
  <si>
    <t xml:space="preserve">PN</t>
  </si>
  <si>
    <t xml:space="preserve">Condition</t>
  </si>
  <si>
    <t xml:space="preserve">Part Description</t>
  </si>
  <si>
    <t xml:space="preserve"># Inspected</t>
  </si>
  <si>
    <t xml:space="preserve"># Pass</t>
  </si>
  <si>
    <t xml:space="preserve"># Fail</t>
  </si>
  <si>
    <t xml:space="preserve">First Pass Yield</t>
  </si>
  <si>
    <t xml:space="preserve">Scrap Reason</t>
  </si>
  <si>
    <t xml:space="preserve">Inspector / SH Tech</t>
  </si>
  <si>
    <t xml:space="preserve">Intact</t>
  </si>
  <si>
    <t xml:space="preserve">Tiss, porcine, fem, Pelvic block, intact</t>
  </si>
  <si>
    <t xml:space="preserve">1 hole in bowel; 1 label marked for thin area in bowel</t>
  </si>
  <si>
    <t xml:space="preserve">Toni Cruz / Jesus</t>
  </si>
  <si>
    <t xml:space="preserve">2026-04-15</t>
  </si>
  <si>
    <t xml:space="preserve">2 blood clots (moved to non-intact); 2 scrapped for cut in urethra</t>
  </si>
  <si>
    <t xml:space="preserve">Non-intact</t>
  </si>
  <si>
    <t xml:space="preserve">Tiss, porcine, fem, Pelvic block, non-intact</t>
  </si>
  <si>
    <t xml:space="preserve">3 labels used for thin area in bowel (ran out of labels)</t>
  </si>
  <si>
    <t xml:space="preserve">Ran out of time (bagging set for later; SH tech start time changed to 8:00–4:30 PM)</t>
  </si>
  <si>
    <t xml:space="preserve">2026-04-22</t>
  </si>
  <si>
    <t xml:space="preserve">1 damaged bowel</t>
  </si>
  <si>
    <t xml:space="preserve">2 damaged after cleaning</t>
  </si>
  <si>
    <t xml:space="preserve">2 damaged bowel</t>
  </si>
  <si>
    <t xml:space="preserve">1 damaged urethra</t>
  </si>
  <si>
    <t xml:space="preserve">2026-05-06</t>
  </si>
  <si>
    <t xml:space="preserve">3 damaged urethra</t>
  </si>
  <si>
    <t xml:space="preserve">1 small bladder</t>
  </si>
  <si>
    <t xml:space="preserve">2026-05-18</t>
  </si>
  <si>
    <t xml:space="preserve">3 cut urethra; 1 short block</t>
  </si>
  <si>
    <t xml:space="preserve">2026-05-21</t>
  </si>
  <si>
    <t xml:space="preserve">2 cut urethra</t>
  </si>
  <si>
    <t xml:space="preserve">1 deformed ligaments clumped together</t>
  </si>
  <si>
    <t xml:space="preserve">1 damaged membrane and ureter</t>
  </si>
  <si>
    <t xml:space="preserve">1 hole in bowel; 2 membrane damage &gt;0.5"</t>
  </si>
  <si>
    <t xml:space="preserve">Tiss, porcine, fem, Pelvic block, intact, SM</t>
  </si>
  <si>
    <t xml:space="preserve">4 mesentery length too short in critical zone; 1 bladder damage (internals exposed)</t>
  </si>
  <si>
    <t xml:space="preserve">Rasmin Mujanovic / Natalie</t>
  </si>
  <si>
    <t xml:space="preserve">2026-06-01</t>
  </si>
  <si>
    <t xml:space="preserve">2026-06-03</t>
  </si>
  <si>
    <t xml:space="preserve">2 scrapped urethra</t>
  </si>
  <si>
    <t xml:space="preserve">BATCH-LEVEL ROLLUP (aggregated across harvest dates)</t>
  </si>
  <si>
    <t xml:space="preserve">Harvest Dates</t>
  </si>
  <si>
    <t xml:space="preserve">TOTAL</t>
  </si>
  <si>
    <t xml:space="preserve">SH → ATM YIELD COMPARISON (stage-to-stage reconciliation where both exist)</t>
  </si>
  <si>
    <t xml:space="preserve">SH # Inspected</t>
  </si>
  <si>
    <t xml:space="preserve">SH # Pass</t>
  </si>
  <si>
    <t xml:space="preserve">SH Yield</t>
  </si>
  <si>
    <t xml:space="preserve">ATM # Received</t>
  </si>
  <si>
    <t xml:space="preserve">ATM # Accepted</t>
  </si>
  <si>
    <t xml:space="preserve">ATM Yield</t>
  </si>
  <si>
    <t xml:space="preserve">Pass → Received Δ</t>
  </si>
  <si>
    <t xml:space="preserve">Stage-to-stage note</t>
  </si>
  <si>
    <t xml:space="preserve">SH passed 60 intact units; ATM received 20 on 2026-04-20 (all accepted). Remaining 40 units unaccounted for in this dataset — likely still in freezer or allocated to a later ATM receipt.</t>
  </si>
  <si>
    <t xml:space="preserve">666506 (non-intact) is not tracked in the ATM dataset. Stage-to-stage comparison not possible from current data.</t>
  </si>
  <si>
    <t xml:space="preserve">Now appears at ATM: 35 units received 05-11 (all accepted) plus 98 received 05-28 (all accepted) = 133 received / 133 accepted (100% ATM acceptance). SH sampled 57, passed 56. Both ATM receipts cleared with zero scrap — a strong stage-to-stage hold for this lot.</t>
  </si>
  <si>
    <t xml:space="preserve">666506 not tracked at ATM. No stage-to-stage comparison available.</t>
  </si>
  <si>
    <t xml:space="preserve">Now appears at ATM: 172 received 05-28, 167 accepted (97.1% ATM acceptance). SH sampled 62, passed 58 (93.5%). ATM scrap was 4 urethra lacerations + 1 critical mesentery, echoing the Visit 3 urethra pattern. The SH figure is a small sample, so read the SH-vs-ATM yield gap as indicative only.</t>
  </si>
  <si>
    <t xml:space="preserve">Newly harvested 05/18 &amp; 05/21. Expected at ATM in coming weeks. SH yield 93.5% (87/93).</t>
  </si>
  <si>
    <t xml:space="preserve">Newly harvested 06/01 &amp; 06/03. Not yet at ATM; expected in coming weeks.</t>
  </si>
  <si>
    <t xml:space="preserve">666506 (non-intact) is not tracked at ATM. No stage-to-stage comparison.</t>
  </si>
  <si>
    <t xml:space="preserve">NOTES ON INTERPRETATION &amp; DATA QUALITY</t>
  </si>
  <si>
    <t xml:space="preserve">1. 666506 = non-intact</t>
  </si>
  <si>
    <t xml:space="preserve">In the source tally sheets, PN 666541 is labeled 'intact' and PN 666506 is labeled 'Non intact'. Scrap reasons include phrases like '2 blood clots, moved to non intact', suggesting 666506 is a downgrade/recovery spec rather than an independent product line. Confirm with Quality before relying on this interpretation.</t>
  </si>
  <si>
    <t xml:space="preserve">2. Different lot suffixes for intact vs non-intact</t>
  </si>
  <si>
    <t xml:space="preserve">Intact and non-intact batches from the same kill day carry DIFFERENT lot numbers (e.g. Visit 1: 5502378434 intact / 5502378430 non-intact; Visit 3: 5502404928 intact / 5502404924 non-intact). The prefix ties them to the same kill but they are tracked separately. This is what 'same batch number but not exactly' refers to.</t>
  </si>
  <si>
    <t xml:space="preserve">3. 'Ran out of time' event on 04/20</t>
  </si>
  <si>
    <t xml:space="preserve">Lot 5502391862 intact had zero units inspected on 04/20 due to a schedule conflict (bagging set later, SH tech start time changed to 8:00–4:30 PM). 57 units from that lot were inspected on 04/22 instead. Process note, not a quality signal — but if it recurs, sampling discipline at the slaughterhouse is worth revisiting.</t>
  </si>
  <si>
    <t xml:space="preserve">4. 'Damaged urethra' dominates Visit 3</t>
  </si>
  <si>
    <t xml:space="preserve">On Visit 3 (05/04 + 05/06), 7 of 8 failures across both intact and non-intact were 'damaged urethra' — a sharp departure from prior visits, where bowel-related defects dominated. Worth checking whether harvest technique or tooling changed, or whether the long pre-inspection wait on 05/04 (see next note) contributed.</t>
  </si>
  <si>
    <t xml:space="preserve">5. Long truck wait on 05/04 (Visit 3)</t>
  </si>
  <si>
    <t xml:space="preserve">Source tally-sheet notes record: 'Monday 05/04 waited 2 hour for truck to deliver at 10:15 am. Had almost 3 hours of waiting.' Tissue sitting longer pre-inspection plausibly correlates with the urethra-damage spike that day. Worth tagging future inspections with delivery time so this can be analyzed quantitatively.</t>
  </si>
  <si>
    <t xml:space="preserve">6. Source file typos</t>
  </si>
  <si>
    <t xml:space="preserve">Source tally sheets carry '25026' instead of '2026' in the Date and Kill Date fields (Harvest Date is correct). Not reflected here — clean dates used throughout. One-line correction in the tally-sheet template would fix it going forward.</t>
  </si>
  <si>
    <t xml:space="preserve">7. Stage-to-stage scope</t>
  </si>
  <si>
    <t xml:space="preserve">Three lots now have BOTH SH and ATM data: 5502378434, 5502391862, and 5502404928. The 666506 non-intact lots remain untracked at ATM. As lots accumulate, the SH-vs-ATM yield gap is the cleanest available proxy for freeze/thaw/transport damage.</t>
  </si>
  <si>
    <t xml:space="preserve">8. Eight inspection visits so far</t>
  </si>
  <si>
    <t xml:space="preserve">Six at Martins (Visits 1–5 and 7) and two at Parks (Visits 6 and 8). To extend, append new visit metadata, raw-data rows, and rollup rows; the TOTAL and SH→ATM sections then need refreshing.</t>
  </si>
  <si>
    <t xml:space="preserve">9. Lot 5502421192 reused on the 05/27 sheet</t>
  </si>
  <si>
    <t xml:space="preserve">The 05/27 Martins tally sheet records the intact lot as 5502421192 — identical to Visit 4's intact lot (harvested 05/18 &amp; 05/21). A single fresh lot spanning 05/18–05/27 is unlikely, so this is probably a tally-sheet carry-over from the prior week's template. It is recorded here as a separate Visit 5 (harvest 05/27), NOT merged into Visit 4, pending confirmation of the true lot number with the SH.</t>
  </si>
  <si>
    <t xml:space="preserve">10. New slaughterhouse &amp; inspection team (Parks, 05/28)</t>
  </si>
  <si>
    <t xml:space="preserve">First SH-floor inspection at Parks Family Meats, with a new ATM inspector (Rasmin Mujanovic) and new SH tech (Natalie) vs. Toni Cruz / Jesus at Martins. Source PN was written 668518 and normalized to 666518 (per the workbook's typo convention). No batch/lot was recorded ('no batch data'), so this visit has no SH→ATM link, and the related Parks ATM lot 5502428883 (7 received / 7 scrapped, 'before our visit') has no SH-floor counterpart here. Date taken from the source date field (05/28); the carried-over note text mentioning '5/27' and non-intact labels does not apply to this intact-only Parks visit.</t>
  </si>
  <si>
    <t xml:space="preserve">11. Visit 7 harvest-date split (06/01 vs 06/03)</t>
  </si>
  <si>
    <t xml:space="preserve">The 06/01 &amp; 06/03 Martins tally sheet did not label which counts belong to which day. Based on the note that 06/01 finished early (truck no-show, cleanup 1pm), the smaller counts were assigned to 06/01 (9 intact, 7 non-intact) and the larger to 06/03 (45 intact, 29 non-intact), placing the 2 urethra scraps on 06/03. Flip the two raw rows if the source intended otherwise — the batch-level rollup is identical either way.</t>
  </si>
  <si>
    <t xml:space="preserve">12. New visits 7 (Martins) &amp; 8 (Parks)</t>
  </si>
  <si>
    <t xml:space="preserve">Visit 7 adds intact lot 5502428786 and non-intact lot 5502428782 (Martins). Visit 8 is the second Parks visit (intact-only, no batch/lot; PN normalized 668518 → 666518). The Parks visit date 06/02 is the cached value of a volatile =NOW()-1 field on the source sheet, so it is nominal. One non-intact Martins row (29 inspected) had a blank pass cell on the source; recorded as 29 pass since fail = 0.</t>
  </si>
  <si>
    <t xml:space="preserve">Date</t>
  </si>
  <si>
    <t xml:space="preserve">Part Number</t>
  </si>
  <si>
    <t xml:space="preserve">Description</t>
  </si>
  <si>
    <t xml:space="preserve">Lot #</t>
  </si>
  <si>
    <t xml:space="preserve">Received</t>
  </si>
  <si>
    <t xml:space="preserve">Accepted</t>
  </si>
  <si>
    <t xml:space="preserve">Scrap</t>
  </si>
  <si>
    <t xml:space="preserve">DV Tech Pelvic Block (F)</t>
  </si>
  <si>
    <t xml:space="preserve">(not recorded)</t>
  </si>
  <si>
    <t xml:space="preserve">666540</t>
  </si>
  <si>
    <t xml:space="preserve">DV Tech Pelvic Block (M)</t>
  </si>
  <si>
    <t xml:space="preserve">5502273661</t>
  </si>
  <si>
    <t xml:space="preserve">5502291196</t>
  </si>
  <si>
    <t xml:space="preserve">5502250634</t>
  </si>
  <si>
    <t xml:space="preserve">5502223712</t>
  </si>
  <si>
    <t xml:space="preserve">(batch A)</t>
  </si>
  <si>
    <t xml:space="preserve">5502291197</t>
  </si>
  <si>
    <t xml:space="preserve">Parks</t>
  </si>
  <si>
    <t xml:space="preserve">5502327700</t>
  </si>
  <si>
    <t xml:space="preserve">5502314191</t>
  </si>
  <si>
    <t xml:space="preserve">5502358107</t>
  </si>
  <si>
    <t xml:space="preserve">5502358105</t>
  </si>
  <si>
    <t xml:space="preserve">5502336410</t>
  </si>
  <si>
    <t xml:space="preserve">5502349607</t>
  </si>
  <si>
    <t xml:space="preserve">5502381764</t>
  </si>
  <si>
    <t xml:space="preserve">5502387163</t>
  </si>
  <si>
    <t xml:space="preserve">5502391768</t>
  </si>
  <si>
    <t xml:space="preserve">5502398786</t>
  </si>
  <si>
    <t xml:space="preserve">5502413488</t>
  </si>
  <si>
    <t xml:space="preserve">5502404922</t>
  </si>
  <si>
    <t xml:space="preserve">5502428883</t>
  </si>
  <si>
    <t xml:space="preserve">GRAND TOTAL</t>
  </si>
  <si>
    <t xml:space="preserve">Sex</t>
  </si>
  <si>
    <t xml:space="preserve">Defect (as recorded)</t>
  </si>
  <si>
    <t xml:space="preserve">Count</t>
  </si>
  <si>
    <t xml:space="preserve">Lot Received</t>
  </si>
  <si>
    <t xml:space="preserve">Lot Accepted</t>
  </si>
  <si>
    <t xml:space="preserve">Lot Scrap</t>
  </si>
  <si>
    <t xml:space="preserve">Female</t>
  </si>
  <si>
    <t xml:space="preserve">Hole in critical Mesentery greater than 0.5"</t>
  </si>
  <si>
    <t xml:space="preserve">Bood Clot</t>
  </si>
  <si>
    <t xml:space="preserve">Bladder Length less than 3"</t>
  </si>
  <si>
    <t xml:space="preserve">Damage to Urethra</t>
  </si>
  <si>
    <t xml:space="preserve">Damage to Bladder</t>
  </si>
  <si>
    <t xml:space="preserve">Bladder Length greater than 5.5"</t>
  </si>
  <si>
    <t xml:space="preserve">Lacerations on Urethra</t>
  </si>
  <si>
    <t xml:space="preserve">Lacerations on Bladder</t>
  </si>
  <si>
    <t xml:space="preserve">Lacerations on Urethra exposing internal surfaces</t>
  </si>
  <si>
    <t xml:space="preserve">Lacerations on Bladder exposing internal surfaces</t>
  </si>
  <si>
    <t xml:space="preserve">Laceration in critical area greater than 0.5"</t>
  </si>
  <si>
    <t xml:space="preserve">(no defects recorded)</t>
  </si>
  <si>
    <t xml:space="preserve">Length of ≤7" of mesentery membrane from bladder neck.</t>
  </si>
  <si>
    <t xml:space="preserve">Male</t>
  </si>
  <si>
    <t xml:space="preserve">666541 DV Tech Pelvic Block (Female) — Martins</t>
  </si>
  <si>
    <t xml:space="preserve">TOTAL DEFECTS</t>
  </si>
  <si>
    <t xml:space="preserve">666540 DV Tech Pelvic Block (Male) — Martins</t>
  </si>
  <si>
    <t xml:space="preserve">666518 DV Tech Pelvic Block (Female) — Parks</t>
  </si>
  <si>
    <t xml:space="preserve">Supplier Comparison — Martins vs Parks</t>
  </si>
  <si>
    <t xml:space="preserve">Metric</t>
  </si>
  <si>
    <t xml:space="preserve">Receipt events</t>
  </si>
  <si>
    <t xml:space="preserve">Lots inspected</t>
  </si>
  <si>
    <t xml:space="preserve">Units received</t>
  </si>
  <si>
    <t xml:space="preserve">Units accepted</t>
  </si>
  <si>
    <t xml:space="preserve">Units scrapped</t>
  </si>
  <si>
    <t xml:space="preserve">Rejection % (rolling)</t>
  </si>
  <si>
    <t xml:space="preserve">DEFECT BREAKDOWN BY CANONICAL CATEGORY</t>
  </si>
  <si>
    <t xml:space="preserve">Martins % of scrap</t>
  </si>
  <si>
    <t xml:space="preserve">Parks % of scrap</t>
  </si>
  <si>
    <t xml:space="preserve">Note: Martins volume is several times Parks volume; absolute counts will be larger by construction. Compare the % of scrap columns to see WHICH defects dominate at each supplier.</t>
  </si>
  <si>
    <t xml:space="preserve">Defect Atlas — Visual Reference</t>
  </si>
  <si>
    <t xml:space="preserve">Visual reference for inspector training and supplier feedback. Each section pairs the defect category with the original IQC reference photo. Use the right-hand column to record which canonical defect category each photo maps to.</t>
  </si>
  <si>
    <t xml:space="preserve">1. Bladder Laceration exposing internal surfaces</t>
  </si>
  <si>
    <t xml:space="preserve">Reference photo</t>
  </si>
  <si>
    <t xml:space="preserve">Canonical defect category</t>
  </si>
  <si>
    <t xml:space="preserve">Inspector notes</t>
  </si>
  <si>
    <t xml:space="preserve">Per spec 668741-RevD §6.1.2. Right-hand panel shows a normal bladder for contrast. Exposing the inner mucosa is the disqualifier — surface scratches that do not penetrate are acceptable.</t>
  </si>
  <si>
    <t xml:space="preserve">2. Bladder Length Undersize  +  Urethra Laceration</t>
  </si>
  <si>
    <t xml:space="preserve">Bladder Length Undersize  /  Urethra Laceration (exposing internal)</t>
  </si>
  <si>
    <t xml:space="preserve">Top: bladder measured below the lower spec limit (was &lt;3", relaxed to &lt;2" on 2026-03-23). Bottom: urethral laceration that exposes the lumen vs one that does not. Only lumen-exposing lacerations are scrapped.</t>
  </si>
  <si>
    <t xml:space="preserve">3. Urethra Laceration  +  Mesentery Laceration in critical area</t>
  </si>
  <si>
    <t xml:space="preserve">Urethra Laceration (exposing internal)  /  Critical Mesentery Hole/Laceration (&gt;0.5")</t>
  </si>
  <si>
    <t xml:space="preserve">Top-right: a missing urethral segment with a corresponding hole in the vagina — full disqualifier. Bottom: mesenteric membrane perforation in the critical area exceeding 0.5" diameter.</t>
  </si>
  <si>
    <t xml:space="preserve">4. Mesentery Laceration in critical area</t>
  </si>
  <si>
    <t xml:space="preserve">Multiple holes visible in the critical zone. Common at Martins early in the period (17 units on 2026-02-23) and again on 2026-03-16 (18 units) and 2026-04-20 (18 units). Pattern suggests harvest tool / technique variability rather than animal variability.</t>
  </si>
  <si>
    <t xml:space="preserve">5. Mesentery Critical Area — Example 1 (PN 666540 Male)</t>
  </si>
  <si>
    <t xml:space="preserve">Reference example for the male part. Spec ref: 668741 Rev E §6.1.4 – 6.1.4.1.</t>
  </si>
  <si>
    <t xml:space="preserve">6. Mesentery Critical Area — Examples 1-1 and 1-2 (PN 666541 Female)</t>
  </si>
  <si>
    <t xml:space="preserve">Reference examples for the female part, dated 2026-03-18. Spec ref: 668741 Rev E §6.1.4 – 6.1.4.1. Useful for inspector calibration sessions.</t>
  </si>
  <si>
    <t xml:space="preserve">Pelvic Blocks — Incoming Quality Control Reconstruction</t>
  </si>
  <si>
    <t xml:space="preserve">Period covered</t>
  </si>
  <si>
    <t xml:space="preserve">2026-02-09 through 2026-04-20 (11 weeks)</t>
  </si>
  <si>
    <t xml:space="preserve">Parts in scope</t>
  </si>
  <si>
    <t xml:space="preserve">666541 DV Tech Pelvic Block (Female – Martins)</t>
  </si>
  <si>
    <t xml:space="preserve">666540 DV Tech Pelvic Block (Male – Martins)</t>
  </si>
  <si>
    <t xml:space="preserve">666518 DV Tech Pelvic Block (Female – Parks)</t>
  </si>
  <si>
    <t xml:space="preserve">Slaughterhouses</t>
  </si>
  <si>
    <t xml:space="preserve">Martins (NC), Parks (NC)</t>
  </si>
  <si>
    <t xml:space="preserve">Source</t>
  </si>
  <si>
    <t xml:space="preserve">Reconstructed from IQC screenshots (CAPA 2026-01 dataset)</t>
  </si>
  <si>
    <t xml:space="preserve">WORKBOOK MAP</t>
  </si>
  <si>
    <t xml:space="preserve">Sheet</t>
  </si>
  <si>
    <t xml:space="preserve">Purpose</t>
  </si>
  <si>
    <t xml:space="preserve">Receipt Summary</t>
  </si>
  <si>
    <t xml:space="preserve">One row per receipt event with totals and rejection rate. Sorted by date. Conditional formatting highlights rejection-rate spikes.</t>
  </si>
  <si>
    <t xml:space="preserve">Master Data</t>
  </si>
  <si>
    <t xml:space="preserve">Long-format defect log: one row per (date × lot × defect). The single source of truth — every other sheet pivots from this.</t>
  </si>
  <si>
    <t xml:space="preserve">Defect Pivot 666541-F</t>
  </si>
  <si>
    <t xml:space="preserve">Defect counts × date for the female part at Martins. Rows = canonical defect; columns = receipt date.</t>
  </si>
  <si>
    <t xml:space="preserve">Defect Pivot 666540-M</t>
  </si>
  <si>
    <t xml:space="preserve">Same view for the male part at Martins.</t>
  </si>
  <si>
    <t xml:space="preserve">Defect Pivot 666518-F</t>
  </si>
  <si>
    <t xml:space="preserve">Same view for the female part at Parks.</t>
  </si>
  <si>
    <t xml:space="preserve">Supplier Comparison</t>
  </si>
  <si>
    <t xml:space="preserve">Martins vs Parks side-by-side: receipts, scrap, rejection rate, top-3 defects per supplier.</t>
  </si>
  <si>
    <t xml:space="preserve">Defect Atlas</t>
  </si>
  <si>
    <t xml:space="preserve">Visual reference for each defect category. Use during inspector training and supplier feedback.</t>
  </si>
  <si>
    <t xml:space="preserve">READING NOTES — IMPORTANT</t>
  </si>
  <si>
    <t xml:space="preserve">Spec drift</t>
  </si>
  <si>
    <t xml:space="preserve">Defect names changed mid-period. Same physical issue often appears under two names (e.g. 'Damage to Urethra' early, 'Lacerations on Urethra exposing internal surfaces' later). The Master Data sheet preserves the ORIGINAL defect name AND maps it to a CANONICAL category so trends remain comparable.</t>
  </si>
  <si>
    <t xml:space="preserve">Bladder length</t>
  </si>
  <si>
    <t xml:space="preserve">Lower spec changed from &lt;3" (Feb-Mar) to &lt;2" (late Mar onward). This will show as a sudden drop in the 'Bladder Length Undersize' line that is NOT a real quality improvement — it is a spec relaxation.</t>
  </si>
  <si>
    <t xml:space="preserve">New spec</t>
  </si>
  <si>
    <t xml:space="preserve">'Length of ≤7" of mesentery membrane from bladder neck' first appears 2026-03-30. Not a new defect — a newly-measured one.</t>
  </si>
  <si>
    <t xml:space="preserve">'Bood Clot'</t>
  </si>
  <si>
    <t xml:space="preserve">Source spec carries this typo. Normalized to 'Blood Clot' in the canonical category.</t>
  </si>
  <si>
    <t xml:space="preserve">Lot field</t>
  </si>
  <si>
    <t xml:space="preserve">Where lot number was not legible on the source screenshot, it is recorded as '(not recorded)'. The 2026-03-02 666541 batch with 160 units is labeled '(batch A)' to distinguish it from the 50-unit lot 5502291197 from the same date.</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</si>
</sst>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6">
    <font>
      <sz val="11"/>
      <color theme="1"/>
      <name val="Aptos Narrow"/>
      <family val="2"/>
      <charset val="1"/>
    </font>
    <font>
      <sz val="10"/>
      <name val="Arial"/>
      <family val="0"/>
    </font>
    <font>
      <sz val="10"/>
      <name val="Arial"/>
      <family val="0"/>
    </font>
    <font>
      <sz val="10"/>
      <name val="Arial"/>
      <family val="0"/>
    </font>
    <font>
      <sz val="11"/>
      <color theme="1"/>
      <name val="Calibri"/>
      <family val="2"/>
      <charset val="1"/>
    </font>
    <font>
      <b val="true"/>
      <sz val="16"/>
      <color rgb="FF1F3864"/>
      <name val="Calibri"/>
      <family val="2"/>
      <charset val="1"/>
    </font>
    <font>
      <i val="true"/>
      <sz val="9"/>
      <color rgb="FF595959"/>
      <name val="Calibri"/>
      <family val="2"/>
      <charset val="1"/>
    </font>
    <font>
      <b val="true"/>
      <sz val="12"/>
      <color rgb="FFFFFFFF"/>
      <name val="Calibri"/>
      <family val="2"/>
      <charset val="1"/>
    </font>
    <font>
      <b val="true"/>
      <sz val="11"/>
      <color rgb="FFFFFFFF"/>
      <name val="Calibri"/>
      <family val="2"/>
      <charset val="1"/>
    </font>
    <font>
      <sz val="10"/>
      <name val="Calibri"/>
      <family val="2"/>
      <charset val="1"/>
    </font>
    <font>
      <b val="true"/>
      <sz val="10"/>
      <name val="Calibri"/>
      <family val="2"/>
      <charset val="1"/>
    </font>
    <font>
      <b val="true"/>
      <sz val="18"/>
      <color rgb="FF000000"/>
      <name val="Aptos Narrow"/>
      <family val="2"/>
    </font>
    <font>
      <sz val="10"/>
      <color rgb="FF000000"/>
      <name val="Aptos Narrow"/>
      <family val="2"/>
    </font>
    <font>
      <b val="true"/>
      <sz val="10"/>
      <color rgb="FF000000"/>
      <name val="Aptos Narrow"/>
      <family val="2"/>
    </font>
    <font>
      <i val="true"/>
      <sz val="10"/>
      <color rgb="FF595959"/>
      <name val="Calibri"/>
      <family val="2"/>
      <charset val="1"/>
    </font>
    <font>
      <b val="true"/>
      <sz val="11"/>
      <color rgb="FFC00000"/>
      <name val="Calibri"/>
      <family val="2"/>
      <charset val="1"/>
    </font>
  </fonts>
  <fills count="7">
    <fill>
      <patternFill patternType="none"/>
    </fill>
    <fill>
      <patternFill patternType="gray125"/>
    </fill>
    <fill>
      <patternFill patternType="solid">
        <fgColor rgb="FF2E75B6"/>
        <bgColor rgb="FF1F77B4"/>
      </patternFill>
    </fill>
    <fill>
      <patternFill patternType="solid">
        <fgColor rgb="FF1F3864"/>
        <bgColor rgb="FF333333"/>
      </patternFill>
    </fill>
    <fill>
      <patternFill patternType="solid">
        <fgColor rgb="FFD9E1F2"/>
        <bgColor rgb="FFD9D9D9"/>
      </patternFill>
    </fill>
    <fill>
      <patternFill patternType="solid">
        <fgColor rgb="FF548235"/>
        <bgColor rgb="FF2CA02C"/>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false" indent="0" shrinkToFit="false"/>
      <protection locked="true" hidden="false"/>
    </xf>
    <xf numFmtId="165" fontId="10" fillId="4" borderId="1" xfId="0" applyFont="true" applyBorder="true" applyAlignment="true" applyProtection="false">
      <alignment horizontal="right" vertical="bottom" textRotation="0" wrapText="false" indent="0" shrinkToFit="false"/>
      <protection locked="true" hidden="false"/>
    </xf>
    <xf numFmtId="166" fontId="10" fillId="4" borderId="1"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72C27B"/>
          <bgColor rgb="FF000000"/>
        </patternFill>
      </fill>
    </dxf>
    <dxf>
      <fill>
        <patternFill patternType="solid">
          <fgColor rgb="FF87C87D"/>
          <bgColor rgb="FF000000"/>
        </patternFill>
      </fill>
    </dxf>
    <dxf>
      <fill>
        <patternFill patternType="solid">
          <fgColor rgb="FF8BC97D"/>
          <bgColor rgb="FF000000"/>
        </patternFill>
      </fill>
    </dxf>
    <dxf>
      <fill>
        <patternFill patternType="solid">
          <fgColor rgb="FF94CC7D"/>
          <bgColor rgb="FF000000"/>
        </patternFill>
      </fill>
    </dxf>
    <dxf>
      <fill>
        <patternFill patternType="solid">
          <fgColor rgb="FFA3D07E"/>
          <bgColor rgb="FF000000"/>
        </patternFill>
      </fill>
    </dxf>
    <dxf>
      <fill>
        <patternFill patternType="solid">
          <fgColor rgb="FFA9D27F"/>
          <bgColor rgb="FF000000"/>
        </patternFill>
      </fill>
    </dxf>
    <dxf>
      <fill>
        <patternFill patternType="solid">
          <fgColor rgb="FFABD27F"/>
          <bgColor rgb="FF000000"/>
        </patternFill>
      </fill>
    </dxf>
    <dxf>
      <fill>
        <patternFill patternType="solid">
          <fgColor rgb="FFC5DA80"/>
          <bgColor rgb="FF000000"/>
        </patternFill>
      </fill>
    </dxf>
    <dxf>
      <fill>
        <patternFill patternType="solid">
          <fgColor rgb="FFC8DB80"/>
          <bgColor rgb="FF000000"/>
        </patternFill>
      </fill>
    </dxf>
    <dxf>
      <fill>
        <patternFill patternType="solid">
          <fgColor rgb="FFCBDC81"/>
          <bgColor rgb="FF000000"/>
        </patternFill>
      </fill>
    </dxf>
    <dxf>
      <fill>
        <patternFill patternType="solid">
          <fgColor rgb="FFD4DE81"/>
          <bgColor rgb="FF000000"/>
        </patternFill>
      </fill>
    </dxf>
    <dxf>
      <fill>
        <patternFill patternType="solid">
          <fgColor rgb="FFDFE282"/>
          <bgColor rgb="FF000000"/>
        </patternFill>
      </fill>
    </dxf>
    <dxf>
      <fill>
        <patternFill patternType="solid">
          <fgColor rgb="FFE3E382"/>
          <bgColor rgb="FF000000"/>
        </patternFill>
      </fill>
    </dxf>
    <dxf>
      <fill>
        <patternFill patternType="solid">
          <fgColor rgb="FFE7E482"/>
          <bgColor rgb="FF000000"/>
        </patternFill>
      </fill>
    </dxf>
    <dxf>
      <fill>
        <patternFill patternType="solid">
          <fgColor rgb="FFF8696B"/>
          <bgColor rgb="FF000000"/>
        </patternFill>
      </fill>
    </dxf>
    <dxf>
      <fill>
        <patternFill patternType="solid">
          <fgColor rgb="FFF9786E"/>
          <bgColor rgb="FF000000"/>
        </patternFill>
      </fill>
    </dxf>
    <dxf>
      <fill>
        <patternFill patternType="solid">
          <fgColor rgb="FFF97B6F"/>
          <bgColor rgb="FF000000"/>
        </patternFill>
      </fill>
    </dxf>
    <dxf>
      <fill>
        <patternFill patternType="solid">
          <fgColor rgb="FFFB9574"/>
          <bgColor rgb="FF000000"/>
        </patternFill>
      </fill>
    </dxf>
    <dxf>
      <fill>
        <patternFill patternType="solid">
          <fgColor rgb="FFFCAB78"/>
          <bgColor rgb="FF000000"/>
        </patternFill>
      </fill>
    </dxf>
    <dxf>
      <fill>
        <patternFill patternType="solid">
          <fgColor rgb="FFFCAC78"/>
          <bgColor rgb="FF000000"/>
        </patternFill>
      </fill>
    </dxf>
    <dxf>
      <fill>
        <patternFill patternType="solid">
          <fgColor rgb="FFFCB279"/>
          <bgColor rgb="FF000000"/>
        </patternFill>
      </fill>
    </dxf>
    <dxf>
      <fill>
        <patternFill patternType="solid">
          <fgColor rgb="FFFCEA83"/>
          <bgColor rgb="FF000000"/>
        </patternFill>
      </fill>
    </dxf>
    <dxf>
      <fill>
        <patternFill patternType="solid">
          <fgColor rgb="FFFDBB7B"/>
          <bgColor rgb="FF000000"/>
        </patternFill>
      </fill>
    </dxf>
    <dxf>
      <fill>
        <patternFill patternType="solid">
          <fgColor rgb="FFFFDB81"/>
          <bgColor rgb="FF000000"/>
        </patternFill>
      </fill>
    </dxf>
    <dxf>
      <fill>
        <patternFill patternType="solid">
          <fgColor rgb="FFFFDC82"/>
          <bgColor rgb="FF000000"/>
        </patternFill>
      </fill>
    </dxf>
    <dxf>
      <fill>
        <patternFill patternType="solid">
          <fgColor rgb="FFFFE683"/>
          <bgColor rgb="FF000000"/>
        </patternFill>
      </fill>
    </dxf>
    <dxf>
      <fill>
        <patternFill patternType="solid">
          <fgColor rgb="FFFFEB8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B8B8B"/>
      <rgbColor rgb="FF9999FF"/>
      <rgbColor rgb="FF8C564B"/>
      <rgbColor rgb="FFFFF2CC"/>
      <rgbColor rgb="FFD9E1F2"/>
      <rgbColor rgb="FF660066"/>
      <rgbColor rgb="FFFF8080"/>
      <rgbColor rgb="FF1F77B4"/>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7F0E"/>
      <rgbColor rgb="FF595959"/>
      <rgbColor rgb="FF969696"/>
      <rgbColor rgb="FF1F3864"/>
      <rgbColor rgb="FF2CA02C"/>
      <rgbColor rgb="FF003300"/>
      <rgbColor rgb="FF333300"/>
      <rgbColor rgb="FFD627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 Id="rId15" Type="http://schemas.openxmlformats.org/officeDocument/2006/relationships/worksheet" Target="worksheets/sheet12.xml"/><Relationship Id="rId16" Type="http://schemas.openxmlformats.org/officeDocument/2006/relationships/worksheet" Target="worksheets/sheet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Aptos Narrow"/>
              </a:defRPr>
            </a:pPr>
            <a:r>
              <a:rPr lang="en-US" sz="1800" b="1" strike="noStrike" spc="-1">
                <a:solidFill>
                  <a:srgbClr val="000000"/>
                </a:solidFill>
                <a:latin typeface="Aptos Narrow"/>
              </a:rPr>
              <a:t>Martins — Top 5 Defects Over Time</a:t>
            </a:r>
          </a:p>
        </c:rich>
      </c:tx>
      <c:overlay val="0"/>
      <c:spPr>
        <a:noFill/>
        <a:ln w="0">
          <a:noFill/>
        </a:ln>
      </c:spPr>
    </c:title>
    <c:autoTitleDeleted val="0"/>
    <c:plotArea>
      <c:layout/>
      <c:lineChart>
        <c:grouping val="standard"/>
        <c:varyColors val="0"/>
        <c:ser>
          <c:idx val="0"/>
          <c:order val="0"/>
          <c:tx>
            <c:strRef>
              <c:f>'Defect Trends- ATM'!$A$6</c:f>
              <c:strCache>
                <c:ptCount val="1"/>
                <c:pt idx="0">
                  <c:v>Critical Mesentery Hole/Laceration (&gt;0.5")</c:v>
                </c:pt>
              </c:strCache>
            </c:strRef>
          </c:tx>
          <c:spPr>
            <a:ln w="25560">
              <a:solidFill>
                <a:srgbClr val="1F77B4"/>
              </a:solidFill>
              <a:round/>
            </a:ln>
          </c:spPr>
          <c:marker>
            <c:symbol val="circle"/>
            <c:size val="7"/>
            <c:spPr>
              <a:solidFill>
                <a:srgbClr val="1F77B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ATM'!$B$6:$N$6</c:f>
              <c:numCache>
                <c:formatCode>General</c:formatCode>
                <c:ptCount val="13"/>
                <c:pt idx="0">
                  <c:v>1</c:v>
                </c:pt>
                <c:pt idx="1">
                  <c:v>17</c:v>
                </c:pt>
                <c:pt idx="2">
                  <c:v>45</c:v>
                </c:pt>
                <c:pt idx="3">
                  <c:v>6</c:v>
                </c:pt>
                <c:pt idx="4">
                  <c:v>22</c:v>
                </c:pt>
                <c:pt idx="5">
                  <c:v>26</c:v>
                </c:pt>
                <c:pt idx="6">
                  <c:v>12</c:v>
                </c:pt>
                <c:pt idx="7">
                  <c:v>12</c:v>
                </c:pt>
                <c:pt idx="8">
                  <c:v>6</c:v>
                </c:pt>
                <c:pt idx="9">
                  <c:v>18</c:v>
                </c:pt>
                <c:pt idx="10">
                  <c:v>4</c:v>
                </c:pt>
                <c:pt idx="11">
                  <c:v>1</c:v>
                </c:pt>
                <c:pt idx="12">
                  <c:v>1</c:v>
                </c:pt>
              </c:numCache>
            </c:numRef>
          </c:val>
          <c:smooth val="0"/>
          <c:extLst>
            <c:ext xmlns:c16="http://schemas.microsoft.com/office/drawing/2014/chart" uri="{C3380CC4-5D6E-409C-BE32-E72D297353CC}">
              <c16:uniqueId val="{00000000-F6B1-486E-85C7-2E9A77955F04}"/>
            </c:ext>
          </c:extLst>
        </c:ser>
        <c:ser>
          <c:idx val="1"/>
          <c:order val="1"/>
          <c:tx>
            <c:strRef>
              <c:f>'Defect Trends- ATM'!$A$11</c:f>
              <c:strCache>
                <c:ptCount val="1"/>
                <c:pt idx="0">
                  <c:v>Urethra Laceration (exposing internal)</c:v>
                </c:pt>
              </c:strCache>
            </c:strRef>
          </c:tx>
          <c:spPr>
            <a:ln w="25560">
              <a:solidFill>
                <a:srgbClr val="D62728"/>
              </a:solidFill>
              <a:round/>
            </a:ln>
          </c:spPr>
          <c:marker>
            <c:symbol val="circle"/>
            <c:size val="7"/>
            <c:spPr>
              <a:solidFill>
                <a:srgbClr val="D6272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ATM'!$B$11:$N$11</c:f>
              <c:numCache>
                <c:formatCode>General</c:formatCode>
                <c:ptCount val="13"/>
                <c:pt idx="0">
                  <c:v>5</c:v>
                </c:pt>
                <c:pt idx="1">
                  <c:v>6</c:v>
                </c:pt>
                <c:pt idx="2">
                  <c:v>19</c:v>
                </c:pt>
                <c:pt idx="3">
                  <c:v>9</c:v>
                </c:pt>
                <c:pt idx="4">
                  <c:v>2</c:v>
                </c:pt>
                <c:pt idx="5">
                  <c:v>10</c:v>
                </c:pt>
                <c:pt idx="6">
                  <c:v>4</c:v>
                </c:pt>
                <c:pt idx="7">
                  <c:v>0</c:v>
                </c:pt>
                <c:pt idx="8">
                  <c:v>0</c:v>
                </c:pt>
                <c:pt idx="9">
                  <c:v>0</c:v>
                </c:pt>
                <c:pt idx="10">
                  <c:v>6</c:v>
                </c:pt>
                <c:pt idx="11">
                  <c:v>1</c:v>
                </c:pt>
                <c:pt idx="12">
                  <c:v>4</c:v>
                </c:pt>
              </c:numCache>
            </c:numRef>
          </c:val>
          <c:smooth val="0"/>
          <c:extLst>
            <c:ext xmlns:c16="http://schemas.microsoft.com/office/drawing/2014/chart" uri="{C3380CC4-5D6E-409C-BE32-E72D297353CC}">
              <c16:uniqueId val="{00000001-F6B1-486E-85C7-2E9A77955F04}"/>
            </c:ext>
          </c:extLst>
        </c:ser>
        <c:ser>
          <c:idx val="2"/>
          <c:order val="2"/>
          <c:tx>
            <c:strRef>
              <c:f>'Defect Trends- ATM'!$A$8</c:f>
              <c:strCache>
                <c:ptCount val="1"/>
                <c:pt idx="0">
                  <c:v>Blood Clot</c:v>
                </c:pt>
              </c:strCache>
            </c:strRef>
          </c:tx>
          <c:spPr>
            <a:ln w="25560">
              <a:solidFill>
                <a:srgbClr val="8C564B"/>
              </a:solidFill>
              <a:round/>
            </a:ln>
          </c:spPr>
          <c:marker>
            <c:symbol val="circle"/>
            <c:size val="7"/>
            <c:spPr>
              <a:solidFill>
                <a:srgbClr val="8C56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ATM'!$B$8:$N$8</c:f>
              <c:numCache>
                <c:formatCode>General</c:formatCode>
                <c:ptCount val="13"/>
                <c:pt idx="0">
                  <c:v>1</c:v>
                </c:pt>
                <c:pt idx="1">
                  <c:v>10</c:v>
                </c:pt>
                <c:pt idx="2">
                  <c:v>10</c:v>
                </c:pt>
                <c:pt idx="3">
                  <c:v>9</c:v>
                </c:pt>
                <c:pt idx="4">
                  <c:v>4</c:v>
                </c:pt>
                <c:pt idx="5">
                  <c:v>2</c:v>
                </c:pt>
                <c:pt idx="6">
                  <c:v>5</c:v>
                </c:pt>
                <c:pt idx="7">
                  <c:v>5</c:v>
                </c:pt>
                <c:pt idx="8">
                  <c:v>4</c:v>
                </c:pt>
                <c:pt idx="9">
                  <c:v>6</c:v>
                </c:pt>
                <c:pt idx="10">
                  <c:v>3</c:v>
                </c:pt>
                <c:pt idx="11">
                  <c:v>1</c:v>
                </c:pt>
                <c:pt idx="12">
                  <c:v>0</c:v>
                </c:pt>
              </c:numCache>
            </c:numRef>
          </c:val>
          <c:smooth val="0"/>
          <c:extLst>
            <c:ext xmlns:c16="http://schemas.microsoft.com/office/drawing/2014/chart" uri="{C3380CC4-5D6E-409C-BE32-E72D297353CC}">
              <c16:uniqueId val="{00000002-F6B1-486E-85C7-2E9A77955F04}"/>
            </c:ext>
          </c:extLst>
        </c:ser>
        <c:ser>
          <c:idx val="3"/>
          <c:order val="3"/>
          <c:tx>
            <c:strRef>
              <c:f>'Defect Trends- ATM'!$A$10</c:f>
              <c:strCache>
                <c:ptCount val="1"/>
                <c:pt idx="0">
                  <c:v>Bladder Length Undersize</c:v>
                </c:pt>
              </c:strCache>
            </c:strRef>
          </c:tx>
          <c:spPr>
            <a:ln w="25560">
              <a:solidFill>
                <a:srgbClr val="2CA02C"/>
              </a:solidFill>
              <a:round/>
            </a:ln>
          </c:spPr>
          <c:marker>
            <c:symbol val="circle"/>
            <c:size val="7"/>
            <c:spPr>
              <a:solidFill>
                <a:srgbClr val="2CA02C"/>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ATM'!$B$10:$N$10</c:f>
              <c:numCache>
                <c:formatCode>General</c:formatCode>
                <c:ptCount val="13"/>
                <c:pt idx="0">
                  <c:v>8</c:v>
                </c:pt>
                <c:pt idx="1">
                  <c:v>5</c:v>
                </c:pt>
                <c:pt idx="2">
                  <c:v>20</c:v>
                </c:pt>
                <c:pt idx="3">
                  <c:v>9</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F6B1-486E-85C7-2E9A77955F04}"/>
            </c:ext>
          </c:extLst>
        </c:ser>
        <c:ser>
          <c:idx val="4"/>
          <c:order val="4"/>
          <c:tx>
            <c:strRef>
              <c:f>'Defect Trends- ATM'!$A$12</c:f>
              <c:strCache>
                <c:ptCount val="1"/>
                <c:pt idx="0">
                  <c:v>Bladder Laceration (exposing internal)</c:v>
                </c:pt>
              </c:strCache>
            </c:strRef>
          </c:tx>
          <c:spPr>
            <a:ln w="25560">
              <a:solidFill>
                <a:srgbClr val="FF7F0E"/>
              </a:solidFill>
              <a:round/>
            </a:ln>
          </c:spPr>
          <c:marker>
            <c:symbol val="circle"/>
            <c:size val="7"/>
            <c:spPr>
              <a:solidFill>
                <a:srgbClr val="FF7F0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ATM'!$B$5:$N$5</c:f>
              <c:strCache>
                <c:ptCount val="13"/>
                <c:pt idx="0">
                  <c:v>2026-02-09</c:v>
                </c:pt>
                <c:pt idx="1">
                  <c:v>2026-02-23</c:v>
                </c:pt>
                <c:pt idx="2">
                  <c:v>2026-03-02</c:v>
                </c:pt>
                <c:pt idx="3">
                  <c:v>2026-03-09</c:v>
                </c:pt>
                <c:pt idx="4">
                  <c:v>2026-03-16</c:v>
                </c:pt>
                <c:pt idx="5">
                  <c:v>2026-03-23</c:v>
                </c:pt>
                <c:pt idx="6">
                  <c:v>2026-03-30</c:v>
                </c:pt>
                <c:pt idx="7">
                  <c:v>2026-04-06</c:v>
                </c:pt>
                <c:pt idx="8">
                  <c:v>2026-04-13</c:v>
                </c:pt>
                <c:pt idx="9">
                  <c:v>2026-04-20</c:v>
                </c:pt>
                <c:pt idx="10">
                  <c:v>2026-05-04</c:v>
                </c:pt>
                <c:pt idx="11">
                  <c:v>2026-05-11</c:v>
                </c:pt>
                <c:pt idx="12">
                  <c:v>2026-05-28</c:v>
                </c:pt>
              </c:strCache>
            </c:strRef>
          </c:cat>
          <c:val>
            <c:numRef>
              <c:f>'Defect Trends- ATM'!$B$12:$N$12</c:f>
              <c:numCache>
                <c:formatCode>General</c:formatCode>
                <c:ptCount val="13"/>
                <c:pt idx="0">
                  <c:v>3</c:v>
                </c:pt>
                <c:pt idx="1">
                  <c:v>2</c:v>
                </c:pt>
                <c:pt idx="2">
                  <c:v>4</c:v>
                </c:pt>
                <c:pt idx="3">
                  <c:v>4</c:v>
                </c:pt>
                <c:pt idx="4">
                  <c:v>5</c:v>
                </c:pt>
                <c:pt idx="5">
                  <c:v>0</c:v>
                </c:pt>
                <c:pt idx="6">
                  <c:v>0</c:v>
                </c:pt>
                <c:pt idx="7">
                  <c:v>2</c:v>
                </c:pt>
                <c:pt idx="8">
                  <c:v>0</c:v>
                </c:pt>
                <c:pt idx="9">
                  <c:v>0</c:v>
                </c:pt>
                <c:pt idx="10">
                  <c:v>0</c:v>
                </c:pt>
                <c:pt idx="11">
                  <c:v>0</c:v>
                </c:pt>
                <c:pt idx="12">
                  <c:v>0</c:v>
                </c:pt>
              </c:numCache>
            </c:numRef>
          </c:val>
          <c:smooth val="0"/>
          <c:extLst>
            <c:ext xmlns:c16="http://schemas.microsoft.com/office/drawing/2014/chart" uri="{C3380CC4-5D6E-409C-BE32-E72D297353CC}">
              <c16:uniqueId val="{00000004-F6B1-486E-85C7-2E9A77955F04}"/>
            </c:ext>
          </c:extLst>
        </c:ser>
        <c:dLbls>
          <c:showLegendKey val="0"/>
          <c:showVal val="0"/>
          <c:showCatName val="0"/>
          <c:showSerName val="0"/>
          <c:showPercent val="0"/>
          <c:showBubbleSize val="0"/>
        </c:dLbls>
        <c:hiLowLines>
          <c:spPr>
            <a:ln w="0">
              <a:noFill/>
            </a:ln>
          </c:spPr>
        </c:hiLowLines>
        <c:marker val="1"/>
        <c:smooth val="0"/>
        <c:axId val="47241900"/>
        <c:axId val="75330007"/>
      </c:lineChart>
      <c:catAx>
        <c:axId val="47241900"/>
        <c:scaling>
          <c:orientation val="minMax"/>
        </c:scaling>
        <c:delete val="0"/>
        <c:axPos val="b"/>
        <c:title>
          <c:tx>
            <c:rich>
              <a:bodyPr rot="0"/>
              <a:lstStyle/>
              <a:p>
                <a:pPr>
                  <a:defRPr lang="en-US" sz="1000" b="1" strike="noStrike" spc="-1">
                    <a:solidFill>
                      <a:srgbClr val="000000"/>
                    </a:solidFill>
                    <a:latin typeface="Aptos Narrow"/>
                  </a:defRPr>
                </a:pPr>
                <a:r>
                  <a:rPr lang="en-US" sz="1000" b="1" strike="noStrike" spc="-1">
                    <a:solidFill>
                      <a:srgbClr val="000000"/>
                    </a:solidFill>
                    <a:latin typeface="Aptos Narrow"/>
                  </a:rPr>
                  <a:t>Receipt date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5330007"/>
        <c:crosses val="autoZero"/>
        <c:auto val="1"/>
        <c:lblAlgn val="ctr"/>
        <c:lblOffset val="100"/>
        <c:noMultiLvlLbl val="0"/>
      </c:catAx>
      <c:valAx>
        <c:axId val="75330007"/>
        <c:scaling>
          <c:orientation val="minMax"/>
        </c:scaling>
        <c:delete val="0"/>
        <c:axPos val="l"/>
        <c:majorGridlines>
          <c:spPr>
            <a:ln w="12600">
              <a:solidFill>
                <a:srgbClr val="8B8B8B"/>
              </a:solidFill>
              <a:round/>
            </a:ln>
          </c:spPr>
        </c:majorGridlines>
        <c:title>
          <c:tx>
            <c:rich>
              <a:bodyPr rot="-5400000"/>
              <a:lstStyle/>
              <a:p>
                <a:pPr>
                  <a:defRPr lang="en-US" sz="1000" b="1" strike="noStrike" spc="-1">
                    <a:solidFill>
                      <a:srgbClr val="000000"/>
                    </a:solidFill>
                    <a:latin typeface="Aptos Narrow"/>
                  </a:defRPr>
                </a:pPr>
                <a:r>
                  <a:rPr lang="en-US" sz="1000" b="1" strike="noStrike" spc="-1">
                    <a:solidFill>
                      <a:srgbClr val="000000"/>
                    </a:solidFill>
                    <a:latin typeface="Aptos Narrow"/>
                  </a:rPr>
                  <a:t>Defect count</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72419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Aptos Narrow"/>
              </a:defRPr>
            </a:pPr>
            <a:r>
              <a:rPr lang="en-US" sz="1800" b="1" strike="noStrike" spc="-1">
                <a:solidFill>
                  <a:srgbClr val="000000"/>
                </a:solidFill>
                <a:latin typeface="Aptos Narrow"/>
              </a:rPr>
              <a:t>Parks — Top 5 Defects Over Time</a:t>
            </a:r>
          </a:p>
        </c:rich>
      </c:tx>
      <c:overlay val="0"/>
      <c:spPr>
        <a:noFill/>
        <a:ln w="0">
          <a:noFill/>
        </a:ln>
      </c:spPr>
    </c:title>
    <c:autoTitleDeleted val="0"/>
    <c:plotArea>
      <c:layout/>
      <c:lineChart>
        <c:grouping val="standard"/>
        <c:varyColors val="0"/>
        <c:ser>
          <c:idx val="0"/>
          <c:order val="0"/>
          <c:tx>
            <c:strRef>
              <c:f>'Defect Trends- ATM'!$A$23</c:f>
              <c:strCache>
                <c:ptCount val="1"/>
                <c:pt idx="0">
                  <c:v>Critical Mesentery Hole/Laceration (&gt;0.5")</c:v>
                </c:pt>
              </c:strCache>
            </c:strRef>
          </c:tx>
          <c:spPr>
            <a:ln w="25560">
              <a:solidFill>
                <a:srgbClr val="1F77B4"/>
              </a:solidFill>
              <a:round/>
            </a:ln>
          </c:spPr>
          <c:marker>
            <c:symbol val="circle"/>
            <c:size val="7"/>
            <c:spPr>
              <a:solidFill>
                <a:srgbClr val="1F77B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ATM'!$B$23:$H$23</c:f>
              <c:numCache>
                <c:formatCode>General</c:formatCode>
                <c:ptCount val="7"/>
                <c:pt idx="0">
                  <c:v>1</c:v>
                </c:pt>
                <c:pt idx="1">
                  <c:v>4</c:v>
                </c:pt>
                <c:pt idx="2">
                  <c:v>2</c:v>
                </c:pt>
                <c:pt idx="3">
                  <c:v>22</c:v>
                </c:pt>
                <c:pt idx="4">
                  <c:v>2</c:v>
                </c:pt>
                <c:pt idx="5">
                  <c:v>187</c:v>
                </c:pt>
                <c:pt idx="6">
                  <c:v>0</c:v>
                </c:pt>
              </c:numCache>
            </c:numRef>
          </c:val>
          <c:smooth val="0"/>
          <c:extLst>
            <c:ext xmlns:c16="http://schemas.microsoft.com/office/drawing/2014/chart" uri="{C3380CC4-5D6E-409C-BE32-E72D297353CC}">
              <c16:uniqueId val="{00000000-E390-4650-BB96-03EB811B8AC0}"/>
            </c:ext>
          </c:extLst>
        </c:ser>
        <c:ser>
          <c:idx val="1"/>
          <c:order val="1"/>
          <c:tx>
            <c:strRef>
              <c:f>'Defect Trends- ATM'!$A$28</c:f>
              <c:strCache>
                <c:ptCount val="1"/>
                <c:pt idx="0">
                  <c:v>Urethra Laceration (exposing internal)</c:v>
                </c:pt>
              </c:strCache>
            </c:strRef>
          </c:tx>
          <c:spPr>
            <a:ln w="25560">
              <a:solidFill>
                <a:srgbClr val="D62728"/>
              </a:solidFill>
              <a:round/>
            </a:ln>
          </c:spPr>
          <c:marker>
            <c:symbol val="circle"/>
            <c:size val="7"/>
            <c:spPr>
              <a:solidFill>
                <a:srgbClr val="D6272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ATM'!$B$28:$H$28</c:f>
              <c:numCache>
                <c:formatCode>General</c:formatCode>
                <c:ptCount val="7"/>
                <c:pt idx="0">
                  <c:v>0</c:v>
                </c:pt>
                <c:pt idx="1">
                  <c:v>2</c:v>
                </c:pt>
                <c:pt idx="2">
                  <c:v>2</c:v>
                </c:pt>
                <c:pt idx="3">
                  <c:v>3</c:v>
                </c:pt>
                <c:pt idx="4">
                  <c:v>0</c:v>
                </c:pt>
                <c:pt idx="5">
                  <c:v>2</c:v>
                </c:pt>
                <c:pt idx="6">
                  <c:v>0</c:v>
                </c:pt>
              </c:numCache>
            </c:numRef>
          </c:val>
          <c:smooth val="0"/>
          <c:extLst>
            <c:ext xmlns:c16="http://schemas.microsoft.com/office/drawing/2014/chart" uri="{C3380CC4-5D6E-409C-BE32-E72D297353CC}">
              <c16:uniqueId val="{00000001-E390-4650-BB96-03EB811B8AC0}"/>
            </c:ext>
          </c:extLst>
        </c:ser>
        <c:ser>
          <c:idx val="2"/>
          <c:order val="2"/>
          <c:tx>
            <c:strRef>
              <c:f>'Defect Trends- ATM'!$A$25</c:f>
              <c:strCache>
                <c:ptCount val="1"/>
                <c:pt idx="0">
                  <c:v>Blood Clot</c:v>
                </c:pt>
              </c:strCache>
            </c:strRef>
          </c:tx>
          <c:spPr>
            <a:ln w="25560">
              <a:solidFill>
                <a:srgbClr val="8C564B"/>
              </a:solidFill>
              <a:round/>
            </a:ln>
          </c:spPr>
          <c:marker>
            <c:symbol val="circle"/>
            <c:size val="7"/>
            <c:spPr>
              <a:solidFill>
                <a:srgbClr val="8C56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ATM'!$B$25:$H$25</c:f>
              <c:numCache>
                <c:formatCode>General</c:formatCode>
                <c:ptCount val="7"/>
                <c:pt idx="0">
                  <c:v>1</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E390-4650-BB96-03EB811B8AC0}"/>
            </c:ext>
          </c:extLst>
        </c:ser>
        <c:ser>
          <c:idx val="3"/>
          <c:order val="3"/>
          <c:tx>
            <c:strRef>
              <c:f>'Defect Trends- ATM'!$A$27</c:f>
              <c:strCache>
                <c:ptCount val="1"/>
                <c:pt idx="0">
                  <c:v>Bladder Length Undersize</c:v>
                </c:pt>
              </c:strCache>
            </c:strRef>
          </c:tx>
          <c:spPr>
            <a:ln w="25560">
              <a:solidFill>
                <a:srgbClr val="2CA02C"/>
              </a:solidFill>
              <a:round/>
            </a:ln>
          </c:spPr>
          <c:marker>
            <c:symbol val="circle"/>
            <c:size val="7"/>
            <c:spPr>
              <a:solidFill>
                <a:srgbClr val="2CA02C"/>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ATM'!$B$27:$H$27</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E390-4650-BB96-03EB811B8AC0}"/>
            </c:ext>
          </c:extLst>
        </c:ser>
        <c:ser>
          <c:idx val="4"/>
          <c:order val="4"/>
          <c:tx>
            <c:strRef>
              <c:f>'Defect Trends- ATM'!$A$29</c:f>
              <c:strCache>
                <c:ptCount val="1"/>
                <c:pt idx="0">
                  <c:v>Bladder Laceration (exposing internal)</c:v>
                </c:pt>
              </c:strCache>
            </c:strRef>
          </c:tx>
          <c:spPr>
            <a:ln w="25560">
              <a:solidFill>
                <a:srgbClr val="FF7F0E"/>
              </a:solidFill>
              <a:round/>
            </a:ln>
          </c:spPr>
          <c:marker>
            <c:symbol val="circle"/>
            <c:size val="7"/>
            <c:spPr>
              <a:solidFill>
                <a:srgbClr val="FF7F0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'Defect Trends- ATM'!$B$22:$H$22</c:f>
              <c:strCache>
                <c:ptCount val="7"/>
                <c:pt idx="0">
                  <c:v>2026-03-09</c:v>
                </c:pt>
                <c:pt idx="1">
                  <c:v>2026-03-23</c:v>
                </c:pt>
                <c:pt idx="2">
                  <c:v>2026-03-30</c:v>
                </c:pt>
                <c:pt idx="3">
                  <c:v>2026-04-20</c:v>
                </c:pt>
                <c:pt idx="4">
                  <c:v>2026-05-04</c:v>
                </c:pt>
                <c:pt idx="5">
                  <c:v>2026-05-11</c:v>
                </c:pt>
                <c:pt idx="6">
                  <c:v>2026-05-28</c:v>
                </c:pt>
              </c:strCache>
            </c:strRef>
          </c:cat>
          <c:val>
            <c:numRef>
              <c:f>'Defect Trends- ATM'!$B$29:$H$29</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4-E390-4650-BB96-03EB811B8AC0}"/>
            </c:ext>
          </c:extLst>
        </c:ser>
        <c:dLbls>
          <c:showLegendKey val="0"/>
          <c:showVal val="0"/>
          <c:showCatName val="0"/>
          <c:showSerName val="0"/>
          <c:showPercent val="0"/>
          <c:showBubbleSize val="0"/>
        </c:dLbls>
        <c:hiLowLines>
          <c:spPr>
            <a:ln w="0">
              <a:noFill/>
            </a:ln>
          </c:spPr>
        </c:hiLowLines>
        <c:marker val="1"/>
        <c:smooth val="0"/>
        <c:axId val="77954094"/>
        <c:axId val="80690491"/>
      </c:lineChart>
      <c:catAx>
        <c:axId val="77954094"/>
        <c:scaling>
          <c:orientation val="minMax"/>
        </c:scaling>
        <c:delete val="0"/>
        <c:axPos val="b"/>
        <c:title>
          <c:tx>
            <c:rich>
              <a:bodyPr rot="0"/>
              <a:lstStyle/>
              <a:p>
                <a:pPr>
                  <a:defRPr lang="en-US" sz="1000" b="1" strike="noStrike" spc="-1">
                    <a:solidFill>
                      <a:srgbClr val="000000"/>
                    </a:solidFill>
                    <a:latin typeface="Aptos Narrow"/>
                  </a:defRPr>
                </a:pPr>
                <a:r>
                  <a:rPr lang="en-US" sz="1000" b="1" strike="noStrike" spc="-1">
                    <a:solidFill>
                      <a:srgbClr val="000000"/>
                    </a:solidFill>
                    <a:latin typeface="Aptos Narrow"/>
                  </a:rPr>
                  <a:t>Receipt date</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80690491"/>
        <c:crosses val="autoZero"/>
        <c:auto val="1"/>
        <c:lblAlgn val="ctr"/>
        <c:lblOffset val="100"/>
        <c:noMultiLvlLbl val="0"/>
      </c:catAx>
      <c:valAx>
        <c:axId val="80690491"/>
        <c:scaling>
          <c:orientation val="minMax"/>
        </c:scaling>
        <c:delete val="0"/>
        <c:axPos val="l"/>
        <c:majorGridlines>
          <c:spPr>
            <a:ln w="12600">
              <a:solidFill>
                <a:srgbClr val="8B8B8B"/>
              </a:solidFill>
              <a:round/>
            </a:ln>
          </c:spPr>
        </c:majorGridlines>
        <c:title>
          <c:tx>
            <c:rich>
              <a:bodyPr rot="-5400000"/>
              <a:lstStyle/>
              <a:p>
                <a:pPr>
                  <a:defRPr lang="en-US" sz="1000" b="1" strike="noStrike" spc="-1">
                    <a:solidFill>
                      <a:srgbClr val="000000"/>
                    </a:solidFill>
                    <a:latin typeface="Aptos Narrow"/>
                  </a:defRPr>
                </a:pPr>
                <a:r>
                  <a:rPr lang="en-US" sz="1000" b="1" strike="noStrike" spc="-1">
                    <a:solidFill>
                      <a:srgbClr val="000000"/>
                    </a:solidFill>
                    <a:latin typeface="Aptos Narrow"/>
                  </a:rPr>
                  <a:t>Defect count</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795409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151920</xdr:rowOff>
    </xdr:from>
    <xdr:to>
      <xdr:col>5</xdr:col>
      <xdr:colOff>50040</xdr:colOff>
      <xdr:row>67</xdr:row>
      <xdr:rowOff>104040</xdr:rowOff>
    </xdr:to>
    <xdr:graphicFrame>
      <xdr:nvGraphicFramePr>
        <xdr:cNvPr id="0" name="Chart 1"/>
        <xdr:cNvGraphicFramePr/>
      </xdr:nvGraphicFramePr>
      <xdr:xfrm>
        <a:off x="0" y="9991080"/>
        <a:ext cx="8840880" cy="3752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69</xdr:row>
      <xdr:rowOff>151920</xdr:rowOff>
    </xdr:from>
    <xdr:to>
      <xdr:col>5</xdr:col>
      <xdr:colOff>50040</xdr:colOff>
      <xdr:row>90</xdr:row>
      <xdr:rowOff>104040</xdr:rowOff>
    </xdr:to>
    <xdr:graphicFrame>
      <xdr:nvGraphicFramePr>
        <xdr:cNvPr id="1" name="Chart 2"/>
        <xdr:cNvGraphicFramePr/>
      </xdr:nvGraphicFramePr>
      <xdr:xfrm>
        <a:off x="0" y="14153760"/>
        <a:ext cx="8840880" cy="3752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130680</xdr:rowOff>
    </xdr:from>
    <xdr:to>
      <xdr:col>0</xdr:col>
      <xdr:colOff>2602440</xdr:colOff>
      <xdr:row>12</xdr:row>
      <xdr:rowOff>51120</xdr:rowOff>
    </xdr:to>
    <xdr:pic>
      <xdr:nvPicPr>
        <xdr:cNvPr id="2" name="Image 1" descr="Picture"/>
        <xdr:cNvPicPr/>
      </xdr:nvPicPr>
      <xdr:blipFill>
        <a:blip r:embed="rId1"/>
        <a:stretch/>
      </xdr:blipFill>
      <xdr:spPr>
        <a:xfrm>
          <a:off x="0" y="1302120"/>
          <a:ext cx="2602440" cy="1711440"/>
        </a:xfrm>
        <a:prstGeom prst="rect">
          <a:avLst/>
        </a:prstGeom>
        <a:ln w="0">
          <a:noFill/>
        </a:ln>
      </xdr:spPr>
    </xdr:pic>
    <xdr:clientData/>
  </xdr:twoCellAnchor>
  <xdr:twoCellAnchor editAs="oneCell">
    <xdr:from>
      <xdr:col>0</xdr:col>
      <xdr:colOff>0</xdr:colOff>
      <xdr:row>26</xdr:row>
      <xdr:rowOff>130680</xdr:rowOff>
    </xdr:from>
    <xdr:to>
      <xdr:col>0</xdr:col>
      <xdr:colOff>2602440</xdr:colOff>
      <xdr:row>38</xdr:row>
      <xdr:rowOff>22320</xdr:rowOff>
    </xdr:to>
    <xdr:pic>
      <xdr:nvPicPr>
        <xdr:cNvPr id="3" name="Image 2" descr="Picture"/>
        <xdr:cNvPicPr/>
      </xdr:nvPicPr>
      <xdr:blipFill>
        <a:blip r:embed="rId2"/>
        <a:stretch/>
      </xdr:blipFill>
      <xdr:spPr>
        <a:xfrm>
          <a:off x="0" y="6274440"/>
          <a:ext cx="2602440" cy="2596680"/>
        </a:xfrm>
        <a:prstGeom prst="rect">
          <a:avLst/>
        </a:prstGeom>
        <a:ln w="0">
          <a:noFill/>
        </a:ln>
      </xdr:spPr>
    </xdr:pic>
    <xdr:clientData/>
  </xdr:twoCellAnchor>
  <xdr:twoCellAnchor editAs="oneCell">
    <xdr:from>
      <xdr:col>0</xdr:col>
      <xdr:colOff>0</xdr:colOff>
      <xdr:row>48</xdr:row>
      <xdr:rowOff>131040</xdr:rowOff>
    </xdr:from>
    <xdr:to>
      <xdr:col>0</xdr:col>
      <xdr:colOff>2602440</xdr:colOff>
      <xdr:row>59</xdr:row>
      <xdr:rowOff>174960</xdr:rowOff>
    </xdr:to>
    <xdr:pic>
      <xdr:nvPicPr>
        <xdr:cNvPr id="4" name="Image 3" descr="Picture"/>
        <xdr:cNvPicPr/>
      </xdr:nvPicPr>
      <xdr:blipFill>
        <a:blip r:embed="rId3"/>
        <a:stretch/>
      </xdr:blipFill>
      <xdr:spPr>
        <a:xfrm>
          <a:off x="0" y="11246760"/>
          <a:ext cx="2602440" cy="2520360"/>
        </a:xfrm>
        <a:prstGeom prst="rect">
          <a:avLst/>
        </a:prstGeom>
        <a:ln w="0">
          <a:noFill/>
        </a:ln>
      </xdr:spPr>
    </xdr:pic>
    <xdr:clientData/>
  </xdr:twoCellAnchor>
  <xdr:twoCellAnchor editAs="oneCell">
    <xdr:from>
      <xdr:col>0</xdr:col>
      <xdr:colOff>0</xdr:colOff>
      <xdr:row>70</xdr:row>
      <xdr:rowOff>131040</xdr:rowOff>
    </xdr:from>
    <xdr:to>
      <xdr:col>0</xdr:col>
      <xdr:colOff>2602440</xdr:colOff>
      <xdr:row>81</xdr:row>
      <xdr:rowOff>32040</xdr:rowOff>
    </xdr:to>
    <xdr:pic>
      <xdr:nvPicPr>
        <xdr:cNvPr id="5" name="Image 4" descr="Picture"/>
        <xdr:cNvPicPr/>
      </xdr:nvPicPr>
      <xdr:blipFill>
        <a:blip r:embed="rId4"/>
        <a:stretch/>
      </xdr:blipFill>
      <xdr:spPr>
        <a:xfrm>
          <a:off x="0" y="16218720"/>
          <a:ext cx="2602440" cy="2377440"/>
        </a:xfrm>
        <a:prstGeom prst="rect">
          <a:avLst/>
        </a:prstGeom>
        <a:ln w="0">
          <a:noFill/>
        </a:ln>
      </xdr:spPr>
    </xdr:pic>
    <xdr:clientData/>
  </xdr:twoCellAnchor>
  <xdr:twoCellAnchor editAs="oneCell">
    <xdr:from>
      <xdr:col>0</xdr:col>
      <xdr:colOff>0</xdr:colOff>
      <xdr:row>92</xdr:row>
      <xdr:rowOff>130680</xdr:rowOff>
    </xdr:from>
    <xdr:to>
      <xdr:col>0</xdr:col>
      <xdr:colOff>2602440</xdr:colOff>
      <xdr:row>98</xdr:row>
      <xdr:rowOff>12960</xdr:rowOff>
    </xdr:to>
    <xdr:pic>
      <xdr:nvPicPr>
        <xdr:cNvPr id="6" name="Image 5" descr="Picture"/>
        <xdr:cNvPicPr/>
      </xdr:nvPicPr>
      <xdr:blipFill>
        <a:blip r:embed="rId5"/>
        <a:stretch/>
      </xdr:blipFill>
      <xdr:spPr>
        <a:xfrm>
          <a:off x="0" y="21190320"/>
          <a:ext cx="2602440" cy="1216080"/>
        </a:xfrm>
        <a:prstGeom prst="rect">
          <a:avLst/>
        </a:prstGeom>
        <a:ln w="0">
          <a:noFill/>
        </a:ln>
      </xdr:spPr>
    </xdr:pic>
    <xdr:clientData/>
  </xdr:twoCellAnchor>
  <xdr:twoCellAnchor editAs="oneCell">
    <xdr:from>
      <xdr:col>0</xdr:col>
      <xdr:colOff>0</xdr:colOff>
      <xdr:row>114</xdr:row>
      <xdr:rowOff>130680</xdr:rowOff>
    </xdr:from>
    <xdr:to>
      <xdr:col>0</xdr:col>
      <xdr:colOff>2602440</xdr:colOff>
      <xdr:row>126</xdr:row>
      <xdr:rowOff>51120</xdr:rowOff>
    </xdr:to>
    <xdr:pic>
      <xdr:nvPicPr>
        <xdr:cNvPr id="7" name="Image 6" descr="Picture"/>
        <xdr:cNvPicPr/>
      </xdr:nvPicPr>
      <xdr:blipFill>
        <a:blip r:embed="rId6"/>
        <a:stretch/>
      </xdr:blipFill>
      <xdr:spPr>
        <a:xfrm>
          <a:off x="0" y="26162640"/>
          <a:ext cx="2602440" cy="26254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J85" activeCellId="0" sqref="J85"/>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2" min="2" style="0" width="20.89"/>
    <col collapsed="false" customWidth="true" hidden="false" outlineLevel="0" max="14" min="3" style="0" width="11"/>
    <col collapsed="false" customWidth="true" hidden="false" outlineLevel="0" max="15" min="15" style="0" width="10"/>
  </cols>
  <sheetData>
    <row r="1" customFormat="false" ht="21" hidden="false" customHeight="true" outlineLevel="0" collapsed="false">
      <c r="A1" s="1" t="s">
        <v>0</v>
      </c>
      <c r="B1" s="1"/>
      <c r="C1" s="1"/>
      <c r="D1" s="1"/>
      <c r="E1" s="1"/>
      <c r="F1" s="1"/>
      <c r="G1" s="1"/>
      <c r="H1" s="1"/>
      <c r="I1" s="1"/>
      <c r="J1" s="1"/>
      <c r="K1" s="1"/>
      <c r="L1" s="1"/>
      <c r="M1" s="1"/>
      <c r="N1" s="1"/>
      <c r="O1" s="1"/>
    </row>
    <row r="2" customFormat="false" ht="37.5" hidden="false" customHeight="true" outlineLevel="0" collapsed="false">
      <c r="A2" s="2" t="s">
        <v>1</v>
      </c>
      <c r="B2" s="2"/>
      <c r="C2" s="2"/>
      <c r="D2" s="2"/>
      <c r="E2" s="2"/>
      <c r="F2" s="2"/>
      <c r="G2" s="2"/>
      <c r="H2" s="2"/>
      <c r="I2" s="2"/>
      <c r="J2" s="2"/>
      <c r="K2" s="2"/>
      <c r="L2" s="2"/>
      <c r="M2" s="2"/>
      <c r="N2" s="2"/>
      <c r="O2" s="2"/>
    </row>
    <row r="4" customFormat="false" ht="21.75" hidden="false" customHeight="true" outlineLevel="0" collapsed="false">
      <c r="A4" s="3" t="s">
        <v>2</v>
      </c>
      <c r="B4" s="3"/>
      <c r="C4" s="3"/>
      <c r="D4" s="3"/>
      <c r="E4" s="3"/>
      <c r="F4" s="3"/>
      <c r="G4" s="3"/>
      <c r="H4" s="3"/>
      <c r="I4" s="3"/>
      <c r="J4" s="3"/>
      <c r="K4" s="3"/>
      <c r="L4" s="3"/>
      <c r="M4" s="3"/>
      <c r="N4" s="3"/>
      <c r="O4" s="3"/>
    </row>
    <row r="5" customFormat="false" ht="27.7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c r="O5" s="4" t="s">
        <v>17</v>
      </c>
    </row>
    <row r="6" customFormat="false" ht="14.25" hidden="false" customHeight="true" outlineLevel="0" collapsed="false">
      <c r="A6" s="5" t="s">
        <v>18</v>
      </c>
      <c r="B6" s="6" t="n">
        <f aca="false">SUMIFS('Master Data'!I:I,'Master Data'!A:A,"2026-02-09",'Master Data'!E:E,"Martins",'Master Data'!H:H,A6)</f>
        <v>1</v>
      </c>
      <c r="C6" s="6" t="n">
        <f aca="false">SUMIFS('Master Data'!I:I,'Master Data'!A:A,"2026-02-23",'Master Data'!E:E,"Martins",'Master Data'!H:H,A6)</f>
        <v>17</v>
      </c>
      <c r="D6" s="6" t="n">
        <f aca="false">SUMIFS('Master Data'!I:I,'Master Data'!A:A,"2026-03-02",'Master Data'!E:E,"Martins",'Master Data'!H:H,A6)</f>
        <v>45</v>
      </c>
      <c r="E6" s="6" t="n">
        <f aca="false">SUMIFS('Master Data'!I:I,'Master Data'!A:A,"2026-03-09",'Master Data'!E:E,"Martins",'Master Data'!H:H,A6)</f>
        <v>6</v>
      </c>
      <c r="F6" s="6" t="n">
        <f aca="false">SUMIFS('Master Data'!I:I,'Master Data'!A:A,"2026-03-16",'Master Data'!E:E,"Martins",'Master Data'!H:H,A6)</f>
        <v>22</v>
      </c>
      <c r="G6" s="6" t="n">
        <f aca="false">SUMIFS('Master Data'!I:I,'Master Data'!A:A,"2026-03-23",'Master Data'!E:E,"Martins",'Master Data'!H:H,A6)</f>
        <v>26</v>
      </c>
      <c r="H6" s="6" t="n">
        <f aca="false">SUMIFS('Master Data'!I:I,'Master Data'!A:A,"2026-03-30",'Master Data'!E:E,"Martins",'Master Data'!H:H,A6)</f>
        <v>12</v>
      </c>
      <c r="I6" s="6" t="n">
        <f aca="false">SUMIFS('Master Data'!I:I,'Master Data'!A:A,"2026-04-06",'Master Data'!E:E,"Martins",'Master Data'!H:H,A6)</f>
        <v>12</v>
      </c>
      <c r="J6" s="6" t="n">
        <f aca="false">SUMIFS('Master Data'!I:I,'Master Data'!A:A,"2026-04-13",'Master Data'!E:E,"Martins",'Master Data'!H:H,A6)</f>
        <v>6</v>
      </c>
      <c r="K6" s="6" t="n">
        <f aca="false">SUMIFS('Master Data'!I:I,'Master Data'!A:A,"2026-04-20",'Master Data'!E:E,"Martins",'Master Data'!H:H,A6)</f>
        <v>18</v>
      </c>
      <c r="L6" s="6" t="n">
        <f aca="false">SUMIFS('Master Data'!I:I,'Master Data'!A:A,"2026-05-04",'Master Data'!E:E,"Martins",'Master Data'!H:H,A6)</f>
        <v>4</v>
      </c>
      <c r="M6" s="6" t="n">
        <f aca="false">SUMIFS('Master Data'!I:I,'Master Data'!A:A,"2026-05-11",'Master Data'!E:E,"Martins",'Master Data'!H:H,A6)</f>
        <v>1</v>
      </c>
      <c r="N6" s="6" t="n">
        <f aca="false">SUMIFS('Master Data'!I:I,'Master Data'!A:A,"2026-05-28",'Master Data'!E:E,"Martins",'Master Data'!H:H,A6)</f>
        <v>1</v>
      </c>
      <c r="O6" s="6" t="n">
        <f aca="false">SUM(B6:N6)</f>
        <v>171</v>
      </c>
    </row>
    <row r="7" customFormat="false" ht="14.25" hidden="false" customHeight="true" outlineLevel="0" collapsed="false">
      <c r="A7" s="5" t="s">
        <v>19</v>
      </c>
      <c r="B7" s="6" t="n">
        <f aca="false">SUMIFS('Master Data'!I:I,'Master Data'!A:A,"2026-02-09",'Master Data'!E:E,"Martins",'Master Data'!H:H,A7)</f>
        <v>0</v>
      </c>
      <c r="C7" s="6" t="n">
        <f aca="false">SUMIFS('Master Data'!I:I,'Master Data'!A:A,"2026-02-23",'Master Data'!E:E,"Martins",'Master Data'!H:H,A7)</f>
        <v>0</v>
      </c>
      <c r="D7" s="6" t="n">
        <f aca="false">SUMIFS('Master Data'!I:I,'Master Data'!A:A,"2026-03-02",'Master Data'!E:E,"Martins",'Master Data'!H:H,A7)</f>
        <v>0</v>
      </c>
      <c r="E7" s="6" t="n">
        <f aca="false">SUMIFS('Master Data'!I:I,'Master Data'!A:A,"2026-03-09",'Master Data'!E:E,"Martins",'Master Data'!H:H,A7)</f>
        <v>0</v>
      </c>
      <c r="F7" s="6" t="n">
        <f aca="false">SUMIFS('Master Data'!I:I,'Master Data'!A:A,"2026-03-16",'Master Data'!E:E,"Martins",'Master Data'!H:H,A7)</f>
        <v>0</v>
      </c>
      <c r="G7" s="6" t="n">
        <f aca="false">SUMIFS('Master Data'!I:I,'Master Data'!A:A,"2026-03-23",'Master Data'!E:E,"Martins",'Master Data'!H:H,A7)</f>
        <v>0</v>
      </c>
      <c r="H7" s="6" t="n">
        <f aca="false">SUMIFS('Master Data'!I:I,'Master Data'!A:A,"2026-03-30",'Master Data'!E:E,"Martins",'Master Data'!H:H,A7)</f>
        <v>0</v>
      </c>
      <c r="I7" s="6" t="n">
        <f aca="false">SUMIFS('Master Data'!I:I,'Master Data'!A:A,"2026-04-06",'Master Data'!E:E,"Martins",'Master Data'!H:H,A7)</f>
        <v>0</v>
      </c>
      <c r="J7" s="6" t="n">
        <f aca="false">SUMIFS('Master Data'!I:I,'Master Data'!A:A,"2026-04-13",'Master Data'!E:E,"Martins",'Master Data'!H:H,A7)</f>
        <v>0</v>
      </c>
      <c r="K7" s="6" t="n">
        <f aca="false">SUMIFS('Master Data'!I:I,'Master Data'!A:A,"2026-04-20",'Master Data'!E:E,"Martins",'Master Data'!H:H,A7)</f>
        <v>0</v>
      </c>
      <c r="L7" s="6" t="n">
        <f aca="false">SUMIFS('Master Data'!I:I,'Master Data'!A:A,"2026-05-04",'Master Data'!E:E,"Martins",'Master Data'!H:H,A7)</f>
        <v>0</v>
      </c>
      <c r="M7" s="6" t="n">
        <f aca="false">SUMIFS('Master Data'!I:I,'Master Data'!A:A,"2026-05-11",'Master Data'!E:E,"Martins",'Master Data'!H:H,A7)</f>
        <v>0</v>
      </c>
      <c r="N7" s="6" t="n">
        <f aca="false">SUMIFS('Master Data'!I:I,'Master Data'!A:A,"2026-05-28",'Master Data'!E:E,"Martins",'Master Data'!H:H,A7)</f>
        <v>0</v>
      </c>
      <c r="O7" s="6" t="n">
        <f aca="false">SUM(B7:N7)</f>
        <v>0</v>
      </c>
    </row>
    <row r="8" customFormat="false" ht="14.25" hidden="false" customHeight="true" outlineLevel="0" collapsed="false">
      <c r="A8" s="5" t="s">
        <v>20</v>
      </c>
      <c r="B8" s="6" t="n">
        <f aca="false">SUMIFS('Master Data'!I:I,'Master Data'!A:A,"2026-02-09",'Master Data'!E:E,"Martins",'Master Data'!H:H,A8)</f>
        <v>1</v>
      </c>
      <c r="C8" s="6" t="n">
        <f aca="false">SUMIFS('Master Data'!I:I,'Master Data'!A:A,"2026-02-23",'Master Data'!E:E,"Martins",'Master Data'!H:H,A8)</f>
        <v>10</v>
      </c>
      <c r="D8" s="6" t="n">
        <f aca="false">SUMIFS('Master Data'!I:I,'Master Data'!A:A,"2026-03-02",'Master Data'!E:E,"Martins",'Master Data'!H:H,A8)</f>
        <v>10</v>
      </c>
      <c r="E8" s="6" t="n">
        <f aca="false">SUMIFS('Master Data'!I:I,'Master Data'!A:A,"2026-03-09",'Master Data'!E:E,"Martins",'Master Data'!H:H,A8)</f>
        <v>9</v>
      </c>
      <c r="F8" s="6" t="n">
        <f aca="false">SUMIFS('Master Data'!I:I,'Master Data'!A:A,"2026-03-16",'Master Data'!E:E,"Martins",'Master Data'!H:H,A8)</f>
        <v>4</v>
      </c>
      <c r="G8" s="6" t="n">
        <f aca="false">SUMIFS('Master Data'!I:I,'Master Data'!A:A,"2026-03-23",'Master Data'!E:E,"Martins",'Master Data'!H:H,A8)</f>
        <v>2</v>
      </c>
      <c r="H8" s="6" t="n">
        <f aca="false">SUMIFS('Master Data'!I:I,'Master Data'!A:A,"2026-03-30",'Master Data'!E:E,"Martins",'Master Data'!H:H,A8)</f>
        <v>5</v>
      </c>
      <c r="I8" s="6" t="n">
        <f aca="false">SUMIFS('Master Data'!I:I,'Master Data'!A:A,"2026-04-06",'Master Data'!E:E,"Martins",'Master Data'!H:H,A8)</f>
        <v>5</v>
      </c>
      <c r="J8" s="6" t="n">
        <f aca="false">SUMIFS('Master Data'!I:I,'Master Data'!A:A,"2026-04-13",'Master Data'!E:E,"Martins",'Master Data'!H:H,A8)</f>
        <v>4</v>
      </c>
      <c r="K8" s="6" t="n">
        <f aca="false">SUMIFS('Master Data'!I:I,'Master Data'!A:A,"2026-04-20",'Master Data'!E:E,"Martins",'Master Data'!H:H,A8)</f>
        <v>6</v>
      </c>
      <c r="L8" s="6" t="n">
        <f aca="false">SUMIFS('Master Data'!I:I,'Master Data'!A:A,"2026-05-04",'Master Data'!E:E,"Martins",'Master Data'!H:H,A8)</f>
        <v>3</v>
      </c>
      <c r="M8" s="6" t="n">
        <f aca="false">SUMIFS('Master Data'!I:I,'Master Data'!A:A,"2026-05-11",'Master Data'!E:E,"Martins",'Master Data'!H:H,A8)</f>
        <v>1</v>
      </c>
      <c r="N8" s="6" t="n">
        <f aca="false">SUMIFS('Master Data'!I:I,'Master Data'!A:A,"2026-05-28",'Master Data'!E:E,"Martins",'Master Data'!H:H,A8)</f>
        <v>0</v>
      </c>
      <c r="O8" s="6" t="n">
        <f aca="false">SUM(B8:N8)</f>
        <v>60</v>
      </c>
    </row>
    <row r="9" customFormat="false" ht="14.25" hidden="false" customHeight="true" outlineLevel="0" collapsed="false">
      <c r="A9" s="5" t="s">
        <v>21</v>
      </c>
      <c r="B9" s="6" t="n">
        <f aca="false">SUMIFS('Master Data'!I:I,'Master Data'!A:A,"2026-02-09",'Master Data'!E:E,"Martins",'Master Data'!H:H,A9)</f>
        <v>0</v>
      </c>
      <c r="C9" s="6" t="n">
        <f aca="false">SUMIFS('Master Data'!I:I,'Master Data'!A:A,"2026-02-23",'Master Data'!E:E,"Martins",'Master Data'!H:H,A9)</f>
        <v>1</v>
      </c>
      <c r="D9" s="6" t="n">
        <f aca="false">SUMIFS('Master Data'!I:I,'Master Data'!A:A,"2026-03-02",'Master Data'!E:E,"Martins",'Master Data'!H:H,A9)</f>
        <v>0</v>
      </c>
      <c r="E9" s="6" t="n">
        <f aca="false">SUMIFS('Master Data'!I:I,'Master Data'!A:A,"2026-03-09",'Master Data'!E:E,"Martins",'Master Data'!H:H,A9)</f>
        <v>0</v>
      </c>
      <c r="F9" s="6" t="n">
        <f aca="false">SUMIFS('Master Data'!I:I,'Master Data'!A:A,"2026-03-16",'Master Data'!E:E,"Martins",'Master Data'!H:H,A9)</f>
        <v>0</v>
      </c>
      <c r="G9" s="6" t="n">
        <f aca="false">SUMIFS('Master Data'!I:I,'Master Data'!A:A,"2026-03-23",'Master Data'!E:E,"Martins",'Master Data'!H:H,A9)</f>
        <v>0</v>
      </c>
      <c r="H9" s="6" t="n">
        <f aca="false">SUMIFS('Master Data'!I:I,'Master Data'!A:A,"2026-03-30",'Master Data'!E:E,"Martins",'Master Data'!H:H,A9)</f>
        <v>0</v>
      </c>
      <c r="I9" s="6" t="n">
        <f aca="false">SUMIFS('Master Data'!I:I,'Master Data'!A:A,"2026-04-06",'Master Data'!E:E,"Martins",'Master Data'!H:H,A9)</f>
        <v>0</v>
      </c>
      <c r="J9" s="6" t="n">
        <f aca="false">SUMIFS('Master Data'!I:I,'Master Data'!A:A,"2026-04-13",'Master Data'!E:E,"Martins",'Master Data'!H:H,A9)</f>
        <v>0</v>
      </c>
      <c r="K9" s="6" t="n">
        <f aca="false">SUMIFS('Master Data'!I:I,'Master Data'!A:A,"2026-04-20",'Master Data'!E:E,"Martins",'Master Data'!H:H,A9)</f>
        <v>0</v>
      </c>
      <c r="L9" s="6" t="n">
        <f aca="false">SUMIFS('Master Data'!I:I,'Master Data'!A:A,"2026-05-04",'Master Data'!E:E,"Martins",'Master Data'!H:H,A9)</f>
        <v>0</v>
      </c>
      <c r="M9" s="6" t="n">
        <f aca="false">SUMIFS('Master Data'!I:I,'Master Data'!A:A,"2026-05-11",'Master Data'!E:E,"Martins",'Master Data'!H:H,A9)</f>
        <v>0</v>
      </c>
      <c r="N9" s="6" t="n">
        <f aca="false">SUMIFS('Master Data'!I:I,'Master Data'!A:A,"2026-05-28",'Master Data'!E:E,"Martins",'Master Data'!H:H,A9)</f>
        <v>0</v>
      </c>
      <c r="O9" s="6" t="n">
        <f aca="false">SUM(B9:N9)</f>
        <v>1</v>
      </c>
    </row>
    <row r="10" customFormat="false" ht="14.25" hidden="false" customHeight="true" outlineLevel="0" collapsed="false">
      <c r="A10" s="5" t="s">
        <v>22</v>
      </c>
      <c r="B10" s="6" t="n">
        <f aca="false">SUMIFS('Master Data'!I:I,'Master Data'!A:A,"2026-02-09",'Master Data'!E:E,"Martins",'Master Data'!H:H,A10)</f>
        <v>8</v>
      </c>
      <c r="C10" s="6" t="n">
        <f aca="false">SUMIFS('Master Data'!I:I,'Master Data'!A:A,"2026-02-23",'Master Data'!E:E,"Martins",'Master Data'!H:H,A10)</f>
        <v>5</v>
      </c>
      <c r="D10" s="6" t="n">
        <f aca="false">SUMIFS('Master Data'!I:I,'Master Data'!A:A,"2026-03-02",'Master Data'!E:E,"Martins",'Master Data'!H:H,A10)</f>
        <v>20</v>
      </c>
      <c r="E10" s="6" t="n">
        <f aca="false">SUMIFS('Master Data'!I:I,'Master Data'!A:A,"2026-03-09",'Master Data'!E:E,"Martins",'Master Data'!H:H,A10)</f>
        <v>9</v>
      </c>
      <c r="F10" s="6" t="n">
        <f aca="false">SUMIFS('Master Data'!I:I,'Master Data'!A:A,"2026-03-16",'Master Data'!E:E,"Martins",'Master Data'!H:H,A10)</f>
        <v>0</v>
      </c>
      <c r="G10" s="6" t="n">
        <f aca="false">SUMIFS('Master Data'!I:I,'Master Data'!A:A,"2026-03-23",'Master Data'!E:E,"Martins",'Master Data'!H:H,A10)</f>
        <v>0</v>
      </c>
      <c r="H10" s="6" t="n">
        <f aca="false">SUMIFS('Master Data'!I:I,'Master Data'!A:A,"2026-03-30",'Master Data'!E:E,"Martins",'Master Data'!H:H,A10)</f>
        <v>0</v>
      </c>
      <c r="I10" s="6" t="n">
        <f aca="false">SUMIFS('Master Data'!I:I,'Master Data'!A:A,"2026-04-06",'Master Data'!E:E,"Martins",'Master Data'!H:H,A10)</f>
        <v>0</v>
      </c>
      <c r="J10" s="6" t="n">
        <f aca="false">SUMIFS('Master Data'!I:I,'Master Data'!A:A,"2026-04-13",'Master Data'!E:E,"Martins",'Master Data'!H:H,A10)</f>
        <v>0</v>
      </c>
      <c r="K10" s="6" t="n">
        <f aca="false">SUMIFS('Master Data'!I:I,'Master Data'!A:A,"2026-04-20",'Master Data'!E:E,"Martins",'Master Data'!H:H,A10)</f>
        <v>0</v>
      </c>
      <c r="L10" s="6" t="n">
        <f aca="false">SUMIFS('Master Data'!I:I,'Master Data'!A:A,"2026-05-04",'Master Data'!E:E,"Martins",'Master Data'!H:H,A10)</f>
        <v>0</v>
      </c>
      <c r="M10" s="6" t="n">
        <f aca="false">SUMIFS('Master Data'!I:I,'Master Data'!A:A,"2026-05-11",'Master Data'!E:E,"Martins",'Master Data'!H:H,A10)</f>
        <v>0</v>
      </c>
      <c r="N10" s="6" t="n">
        <f aca="false">SUMIFS('Master Data'!I:I,'Master Data'!A:A,"2026-05-28",'Master Data'!E:E,"Martins",'Master Data'!H:H,A10)</f>
        <v>0</v>
      </c>
      <c r="O10" s="6" t="n">
        <f aca="false">SUM(B10:N10)</f>
        <v>42</v>
      </c>
    </row>
    <row r="11" customFormat="false" ht="14.25" hidden="false" customHeight="true" outlineLevel="0" collapsed="false">
      <c r="A11" s="5" t="s">
        <v>23</v>
      </c>
      <c r="B11" s="6" t="n">
        <f aca="false">SUMIFS('Master Data'!I:I,'Master Data'!A:A,"2026-02-09",'Master Data'!E:E,"Martins",'Master Data'!H:H,A11)</f>
        <v>5</v>
      </c>
      <c r="C11" s="6" t="n">
        <f aca="false">SUMIFS('Master Data'!I:I,'Master Data'!A:A,"2026-02-23",'Master Data'!E:E,"Martins",'Master Data'!H:H,A11)</f>
        <v>6</v>
      </c>
      <c r="D11" s="6" t="n">
        <f aca="false">SUMIFS('Master Data'!I:I,'Master Data'!A:A,"2026-03-02",'Master Data'!E:E,"Martins",'Master Data'!H:H,A11)</f>
        <v>19</v>
      </c>
      <c r="E11" s="6" t="n">
        <f aca="false">SUMIFS('Master Data'!I:I,'Master Data'!A:A,"2026-03-09",'Master Data'!E:E,"Martins",'Master Data'!H:H,A11)</f>
        <v>9</v>
      </c>
      <c r="F11" s="6" t="n">
        <f aca="false">SUMIFS('Master Data'!I:I,'Master Data'!A:A,"2026-03-16",'Master Data'!E:E,"Martins",'Master Data'!H:H,A11)</f>
        <v>2</v>
      </c>
      <c r="G11" s="6" t="n">
        <f aca="false">SUMIFS('Master Data'!I:I,'Master Data'!A:A,"2026-03-23",'Master Data'!E:E,"Martins",'Master Data'!H:H,A11)</f>
        <v>10</v>
      </c>
      <c r="H11" s="6" t="n">
        <f aca="false">SUMIFS('Master Data'!I:I,'Master Data'!A:A,"2026-03-30",'Master Data'!E:E,"Martins",'Master Data'!H:H,A11)</f>
        <v>4</v>
      </c>
      <c r="I11" s="6" t="n">
        <f aca="false">SUMIFS('Master Data'!I:I,'Master Data'!A:A,"2026-04-06",'Master Data'!E:E,"Martins",'Master Data'!H:H,A11)</f>
        <v>0</v>
      </c>
      <c r="J11" s="6" t="n">
        <f aca="false">SUMIFS('Master Data'!I:I,'Master Data'!A:A,"2026-04-13",'Master Data'!E:E,"Martins",'Master Data'!H:H,A11)</f>
        <v>0</v>
      </c>
      <c r="K11" s="6" t="n">
        <f aca="false">SUMIFS('Master Data'!I:I,'Master Data'!A:A,"2026-04-20",'Master Data'!E:E,"Martins",'Master Data'!H:H,A11)</f>
        <v>0</v>
      </c>
      <c r="L11" s="6" t="n">
        <f aca="false">SUMIFS('Master Data'!I:I,'Master Data'!A:A,"2026-05-04",'Master Data'!E:E,"Martins",'Master Data'!H:H,A11)</f>
        <v>6</v>
      </c>
      <c r="M11" s="6" t="n">
        <f aca="false">SUMIFS('Master Data'!I:I,'Master Data'!A:A,"2026-05-11",'Master Data'!E:E,"Martins",'Master Data'!H:H,A11)</f>
        <v>1</v>
      </c>
      <c r="N11" s="6" t="n">
        <f aca="false">SUMIFS('Master Data'!I:I,'Master Data'!A:A,"2026-05-28",'Master Data'!E:E,"Martins",'Master Data'!H:H,A11)</f>
        <v>4</v>
      </c>
      <c r="O11" s="6" t="n">
        <f aca="false">SUM(B11:N11)</f>
        <v>66</v>
      </c>
    </row>
    <row r="12" customFormat="false" ht="14.25" hidden="false" customHeight="true" outlineLevel="0" collapsed="false">
      <c r="A12" s="5" t="s">
        <v>24</v>
      </c>
      <c r="B12" s="6" t="n">
        <f aca="false">SUMIFS('Master Data'!I:I,'Master Data'!A:A,"2026-02-09",'Master Data'!E:E,"Martins",'Master Data'!H:H,A12)</f>
        <v>3</v>
      </c>
      <c r="C12" s="6" t="n">
        <f aca="false">SUMIFS('Master Data'!I:I,'Master Data'!A:A,"2026-02-23",'Master Data'!E:E,"Martins",'Master Data'!H:H,A12)</f>
        <v>2</v>
      </c>
      <c r="D12" s="6" t="n">
        <f aca="false">SUMIFS('Master Data'!I:I,'Master Data'!A:A,"2026-03-02",'Master Data'!E:E,"Martins",'Master Data'!H:H,A12)</f>
        <v>4</v>
      </c>
      <c r="E12" s="6" t="n">
        <f aca="false">SUMIFS('Master Data'!I:I,'Master Data'!A:A,"2026-03-09",'Master Data'!E:E,"Martins",'Master Data'!H:H,A12)</f>
        <v>4</v>
      </c>
      <c r="F12" s="6" t="n">
        <f aca="false">SUMIFS('Master Data'!I:I,'Master Data'!A:A,"2026-03-16",'Master Data'!E:E,"Martins",'Master Data'!H:H,A12)</f>
        <v>5</v>
      </c>
      <c r="G12" s="6" t="n">
        <f aca="false">SUMIFS('Master Data'!I:I,'Master Data'!A:A,"2026-03-23",'Master Data'!E:E,"Martins",'Master Data'!H:H,A12)</f>
        <v>0</v>
      </c>
      <c r="H12" s="6" t="n">
        <f aca="false">SUMIFS('Master Data'!I:I,'Master Data'!A:A,"2026-03-30",'Master Data'!E:E,"Martins",'Master Data'!H:H,A12)</f>
        <v>0</v>
      </c>
      <c r="I12" s="6" t="n">
        <f aca="false">SUMIFS('Master Data'!I:I,'Master Data'!A:A,"2026-04-06",'Master Data'!E:E,"Martins",'Master Data'!H:H,A12)</f>
        <v>2</v>
      </c>
      <c r="J12" s="6" t="n">
        <f aca="false">SUMIFS('Master Data'!I:I,'Master Data'!A:A,"2026-04-13",'Master Data'!E:E,"Martins",'Master Data'!H:H,A12)</f>
        <v>0</v>
      </c>
      <c r="K12" s="6" t="n">
        <f aca="false">SUMIFS('Master Data'!I:I,'Master Data'!A:A,"2026-04-20",'Master Data'!E:E,"Martins",'Master Data'!H:H,A12)</f>
        <v>0</v>
      </c>
      <c r="L12" s="6" t="n">
        <f aca="false">SUMIFS('Master Data'!I:I,'Master Data'!A:A,"2026-05-04",'Master Data'!E:E,"Martins",'Master Data'!H:H,A12)</f>
        <v>0</v>
      </c>
      <c r="M12" s="6" t="n">
        <f aca="false">SUMIFS('Master Data'!I:I,'Master Data'!A:A,"2026-05-11",'Master Data'!E:E,"Martins",'Master Data'!H:H,A12)</f>
        <v>0</v>
      </c>
      <c r="N12" s="6" t="n">
        <f aca="false">SUMIFS('Master Data'!I:I,'Master Data'!A:A,"2026-05-28",'Master Data'!E:E,"Martins",'Master Data'!H:H,A12)</f>
        <v>0</v>
      </c>
      <c r="O12" s="6" t="n">
        <f aca="false">SUM(B12:N12)</f>
        <v>20</v>
      </c>
    </row>
    <row r="13" customFormat="false" ht="14.25" hidden="false" customHeight="true" outlineLevel="0" collapsed="false">
      <c r="A13" s="5" t="s">
        <v>25</v>
      </c>
      <c r="B13" s="6" t="n">
        <f aca="false">SUMIFS('Master Data'!I:I,'Master Data'!A:A,"2026-02-09",'Master Data'!E:E,"Martins",'Master Data'!H:H,A13)</f>
        <v>1</v>
      </c>
      <c r="C13" s="6" t="n">
        <f aca="false">SUMIFS('Master Data'!I:I,'Master Data'!A:A,"2026-02-23",'Master Data'!E:E,"Martins",'Master Data'!H:H,A13)</f>
        <v>2</v>
      </c>
      <c r="D13" s="6" t="n">
        <f aca="false">SUMIFS('Master Data'!I:I,'Master Data'!A:A,"2026-03-02",'Master Data'!E:E,"Martins",'Master Data'!H:H,A13)</f>
        <v>0</v>
      </c>
      <c r="E13" s="6" t="n">
        <f aca="false">SUMIFS('Master Data'!I:I,'Master Data'!A:A,"2026-03-09",'Master Data'!E:E,"Martins",'Master Data'!H:H,A13)</f>
        <v>0</v>
      </c>
      <c r="F13" s="6" t="n">
        <f aca="false">SUMIFS('Master Data'!I:I,'Master Data'!A:A,"2026-03-16",'Master Data'!E:E,"Martins",'Master Data'!H:H,A13)</f>
        <v>0</v>
      </c>
      <c r="G13" s="6" t="n">
        <f aca="false">SUMIFS('Master Data'!I:I,'Master Data'!A:A,"2026-03-23",'Master Data'!E:E,"Martins",'Master Data'!H:H,A13)</f>
        <v>0</v>
      </c>
      <c r="H13" s="6" t="n">
        <f aca="false">SUMIFS('Master Data'!I:I,'Master Data'!A:A,"2026-03-30",'Master Data'!E:E,"Martins",'Master Data'!H:H,A13)</f>
        <v>0</v>
      </c>
      <c r="I13" s="6" t="n">
        <f aca="false">SUMIFS('Master Data'!I:I,'Master Data'!A:A,"2026-04-06",'Master Data'!E:E,"Martins",'Master Data'!H:H,A13)</f>
        <v>0</v>
      </c>
      <c r="J13" s="6" t="n">
        <f aca="false">SUMIFS('Master Data'!I:I,'Master Data'!A:A,"2026-04-13",'Master Data'!E:E,"Martins",'Master Data'!H:H,A13)</f>
        <v>0</v>
      </c>
      <c r="K13" s="6" t="n">
        <f aca="false">SUMIFS('Master Data'!I:I,'Master Data'!A:A,"2026-04-20",'Master Data'!E:E,"Martins",'Master Data'!H:H,A13)</f>
        <v>0</v>
      </c>
      <c r="L13" s="6" t="n">
        <f aca="false">SUMIFS('Master Data'!I:I,'Master Data'!A:A,"2026-05-04",'Master Data'!E:E,"Martins",'Master Data'!H:H,A13)</f>
        <v>0</v>
      </c>
      <c r="M13" s="6" t="n">
        <f aca="false">SUMIFS('Master Data'!I:I,'Master Data'!A:A,"2026-05-11",'Master Data'!E:E,"Martins",'Master Data'!H:H,A13)</f>
        <v>0</v>
      </c>
      <c r="N13" s="6" t="n">
        <f aca="false">SUMIFS('Master Data'!I:I,'Master Data'!A:A,"2026-05-28",'Master Data'!E:E,"Martins",'Master Data'!H:H,A13)</f>
        <v>0</v>
      </c>
      <c r="O13" s="6" t="n">
        <f aca="false">SUM(B13:N13)</f>
        <v>3</v>
      </c>
    </row>
    <row r="14" customFormat="false" ht="14.25" hidden="false" customHeight="true" outlineLevel="0" collapsed="false">
      <c r="A14" s="5" t="s">
        <v>26</v>
      </c>
      <c r="B14" s="6" t="n">
        <f aca="false">SUMIFS('Master Data'!I:I,'Master Data'!A:A,"2026-02-09",'Master Data'!E:E,"Martins",'Master Data'!H:H,A14)</f>
        <v>0</v>
      </c>
      <c r="C14" s="6" t="n">
        <f aca="false">SUMIFS('Master Data'!I:I,'Master Data'!A:A,"2026-02-23",'Master Data'!E:E,"Martins",'Master Data'!H:H,A14)</f>
        <v>0</v>
      </c>
      <c r="D14" s="6" t="n">
        <f aca="false">SUMIFS('Master Data'!I:I,'Master Data'!A:A,"2026-03-02",'Master Data'!E:E,"Martins",'Master Data'!H:H,A14)</f>
        <v>3</v>
      </c>
      <c r="E14" s="6" t="n">
        <f aca="false">SUMIFS('Master Data'!I:I,'Master Data'!A:A,"2026-03-09",'Master Data'!E:E,"Martins",'Master Data'!H:H,A14)</f>
        <v>0</v>
      </c>
      <c r="F14" s="6" t="n">
        <f aca="false">SUMIFS('Master Data'!I:I,'Master Data'!A:A,"2026-03-16",'Master Data'!E:E,"Martins",'Master Data'!H:H,A14)</f>
        <v>0</v>
      </c>
      <c r="G14" s="6" t="n">
        <f aca="false">SUMIFS('Master Data'!I:I,'Master Data'!A:A,"2026-03-23",'Master Data'!E:E,"Martins",'Master Data'!H:H,A14)</f>
        <v>0</v>
      </c>
      <c r="H14" s="6" t="n">
        <f aca="false">SUMIFS('Master Data'!I:I,'Master Data'!A:A,"2026-03-30",'Master Data'!E:E,"Martins",'Master Data'!H:H,A14)</f>
        <v>0</v>
      </c>
      <c r="I14" s="6" t="n">
        <f aca="false">SUMIFS('Master Data'!I:I,'Master Data'!A:A,"2026-04-06",'Master Data'!E:E,"Martins",'Master Data'!H:H,A14)</f>
        <v>1</v>
      </c>
      <c r="J14" s="6" t="n">
        <f aca="false">SUMIFS('Master Data'!I:I,'Master Data'!A:A,"2026-04-13",'Master Data'!E:E,"Martins",'Master Data'!H:H,A14)</f>
        <v>0</v>
      </c>
      <c r="K14" s="6" t="n">
        <f aca="false">SUMIFS('Master Data'!I:I,'Master Data'!A:A,"2026-04-20",'Master Data'!E:E,"Martins",'Master Data'!H:H,A14)</f>
        <v>0</v>
      </c>
      <c r="L14" s="6" t="n">
        <f aca="false">SUMIFS('Master Data'!I:I,'Master Data'!A:A,"2026-05-04",'Master Data'!E:E,"Martins",'Master Data'!H:H,A14)</f>
        <v>1</v>
      </c>
      <c r="M14" s="6" t="n">
        <f aca="false">SUMIFS('Master Data'!I:I,'Master Data'!A:A,"2026-05-11",'Master Data'!E:E,"Martins",'Master Data'!H:H,A14)</f>
        <v>0</v>
      </c>
      <c r="N14" s="6" t="n">
        <f aca="false">SUMIFS('Master Data'!I:I,'Master Data'!A:A,"2026-05-28",'Master Data'!E:E,"Martins",'Master Data'!H:H,A14)</f>
        <v>0</v>
      </c>
      <c r="O14" s="6" t="n">
        <f aca="false">SUM(B14:N14)</f>
        <v>5</v>
      </c>
    </row>
    <row r="15" customFormat="false" ht="14.25" hidden="false" customHeight="true" outlineLevel="0" collapsed="false">
      <c r="A15" s="5" t="s">
        <v>27</v>
      </c>
      <c r="B15" s="6" t="n">
        <f aca="false">SUMIFS('Master Data'!I:I,'Master Data'!A:A,"2026-02-09",'Master Data'!E:E,"Martins",'Master Data'!H:H,A15)</f>
        <v>0</v>
      </c>
      <c r="C15" s="6" t="n">
        <f aca="false">SUMIFS('Master Data'!I:I,'Master Data'!A:A,"2026-02-23",'Master Data'!E:E,"Martins",'Master Data'!H:H,A15)</f>
        <v>0</v>
      </c>
      <c r="D15" s="6" t="n">
        <f aca="false">SUMIFS('Master Data'!I:I,'Master Data'!A:A,"2026-03-02",'Master Data'!E:E,"Martins",'Master Data'!H:H,A15)</f>
        <v>0</v>
      </c>
      <c r="E15" s="6" t="n">
        <f aca="false">SUMIFS('Master Data'!I:I,'Master Data'!A:A,"2026-03-09",'Master Data'!E:E,"Martins",'Master Data'!H:H,A15)</f>
        <v>0</v>
      </c>
      <c r="F15" s="6" t="n">
        <f aca="false">SUMIFS('Master Data'!I:I,'Master Data'!A:A,"2026-03-16",'Master Data'!E:E,"Martins",'Master Data'!H:H,A15)</f>
        <v>0</v>
      </c>
      <c r="G15" s="6" t="n">
        <f aca="false">SUMIFS('Master Data'!I:I,'Master Data'!A:A,"2026-03-23",'Master Data'!E:E,"Martins",'Master Data'!H:H,A15)</f>
        <v>0</v>
      </c>
      <c r="H15" s="6" t="n">
        <f aca="false">SUMIFS('Master Data'!I:I,'Master Data'!A:A,"2026-03-30",'Master Data'!E:E,"Martins",'Master Data'!H:H,A15)</f>
        <v>0</v>
      </c>
      <c r="I15" s="6" t="n">
        <f aca="false">SUMIFS('Master Data'!I:I,'Master Data'!A:A,"2026-04-06",'Master Data'!E:E,"Martins",'Master Data'!H:H,A15)</f>
        <v>0</v>
      </c>
      <c r="J15" s="6" t="n">
        <f aca="false">SUMIFS('Master Data'!I:I,'Master Data'!A:A,"2026-04-13",'Master Data'!E:E,"Martins",'Master Data'!H:H,A15)</f>
        <v>0</v>
      </c>
      <c r="K15" s="6" t="n">
        <f aca="false">SUMIFS('Master Data'!I:I,'Master Data'!A:A,"2026-04-20",'Master Data'!E:E,"Martins",'Master Data'!H:H,A15)</f>
        <v>0</v>
      </c>
      <c r="L15" s="6" t="n">
        <f aca="false">SUMIFS('Master Data'!I:I,'Master Data'!A:A,"2026-05-04",'Master Data'!E:E,"Martins",'Master Data'!H:H,A15)</f>
        <v>0</v>
      </c>
      <c r="M15" s="6" t="n">
        <f aca="false">SUMIFS('Master Data'!I:I,'Master Data'!A:A,"2026-05-11",'Master Data'!E:E,"Martins",'Master Data'!H:H,A15)</f>
        <v>0</v>
      </c>
      <c r="N15" s="6" t="n">
        <f aca="false">SUMIFS('Master Data'!I:I,'Master Data'!A:A,"2026-05-28",'Master Data'!E:E,"Martins",'Master Data'!H:H,A15)</f>
        <v>0</v>
      </c>
      <c r="O15" s="6" t="n">
        <f aca="false">SUM(B15:N15)</f>
        <v>0</v>
      </c>
    </row>
    <row r="16" customFormat="false" ht="14.25" hidden="false" customHeight="true" outlineLevel="0" collapsed="false">
      <c r="A16" s="7" t="s">
        <v>28</v>
      </c>
      <c r="B16" s="8" t="n">
        <f aca="false">SUMIFS('Receipt Summary'!F:F,'Receipt Summary'!A:A,"2026-02-09",'Receipt Summary'!D:D,"Martins")</f>
        <v>150</v>
      </c>
      <c r="C16" s="8" t="n">
        <f aca="false">SUMIFS('Receipt Summary'!F:F,'Receipt Summary'!A:A,"2026-02-23",'Receipt Summary'!D:D,"Martins")</f>
        <v>181</v>
      </c>
      <c r="D16" s="8" t="n">
        <f aca="false">SUMIFS('Receipt Summary'!F:F,'Receipt Summary'!A:A,"2026-03-02",'Receipt Summary'!D:D,"Martins")</f>
        <v>353</v>
      </c>
      <c r="E16" s="8" t="n">
        <f aca="false">SUMIFS('Receipt Summary'!F:F,'Receipt Summary'!A:A,"2026-03-09",'Receipt Summary'!D:D,"Martins")</f>
        <v>221</v>
      </c>
      <c r="F16" s="8" t="n">
        <f aca="false">SUMIFS('Receipt Summary'!F:F,'Receipt Summary'!A:A,"2026-03-16",'Receipt Summary'!D:D,"Martins")</f>
        <v>220</v>
      </c>
      <c r="G16" s="8" t="n">
        <f aca="false">SUMIFS('Receipt Summary'!F:F,'Receipt Summary'!A:A,"2026-03-23",'Receipt Summary'!D:D,"Martins")</f>
        <v>209</v>
      </c>
      <c r="H16" s="8" t="n">
        <f aca="false">SUMIFS('Receipt Summary'!F:F,'Receipt Summary'!A:A,"2026-03-30",'Receipt Summary'!D:D,"Martins")</f>
        <v>227</v>
      </c>
      <c r="I16" s="8" t="n">
        <f aca="false">SUMIFS('Receipt Summary'!F:F,'Receipt Summary'!A:A,"2026-04-06",'Receipt Summary'!D:D,"Martins")</f>
        <v>180</v>
      </c>
      <c r="J16" s="8" t="n">
        <f aca="false">SUMIFS('Receipt Summary'!F:F,'Receipt Summary'!A:A,"2026-04-13",'Receipt Summary'!D:D,"Martins")</f>
        <v>200</v>
      </c>
      <c r="K16" s="8" t="n">
        <f aca="false">SUMIFS('Receipt Summary'!F:F,'Receipt Summary'!A:A,"2026-04-20",'Receipt Summary'!D:D,"Martins")</f>
        <v>170</v>
      </c>
      <c r="L16" s="8" t="n">
        <f aca="false">SUMIFS('Receipt Summary'!F:F,'Receipt Summary'!A:A,"2026-05-04",'Receipt Summary'!D:D,"Martins")</f>
        <v>270</v>
      </c>
      <c r="M16" s="8" t="n">
        <f aca="false">SUMIFS('Receipt Summary'!F:F,'Receipt Summary'!A:A,"2026-05-11",'Receipt Summary'!D:D,"Martins")</f>
        <v>100</v>
      </c>
      <c r="N16" s="8" t="n">
        <f aca="false">SUMIFS('Receipt Summary'!F:F,'Receipt Summary'!A:A,"2026-05-28",'Receipt Summary'!D:D,"Martins")</f>
        <v>270</v>
      </c>
      <c r="O16" s="8" t="n">
        <f aca="false">SUM(B16:N16)</f>
        <v>2751</v>
      </c>
    </row>
    <row r="17" customFormat="false" ht="14.25" hidden="false" customHeight="true" outlineLevel="0" collapsed="false">
      <c r="A17" s="7" t="s">
        <v>29</v>
      </c>
      <c r="B17" s="8" t="n">
        <f aca="false">SUMIFS('Receipt Summary'!H:H,'Receipt Summary'!A:A,"2026-02-09",'Receipt Summary'!D:D,"Martins")</f>
        <v>19</v>
      </c>
      <c r="C17" s="8" t="n">
        <f aca="false">SUMIFS('Receipt Summary'!H:H,'Receipt Summary'!A:A,"2026-02-23",'Receipt Summary'!D:D,"Martins")</f>
        <v>43</v>
      </c>
      <c r="D17" s="8" t="n">
        <f aca="false">SUMIFS('Receipt Summary'!H:H,'Receipt Summary'!A:A,"2026-03-02",'Receipt Summary'!D:D,"Martins")</f>
        <v>100</v>
      </c>
      <c r="E17" s="8" t="n">
        <f aca="false">SUMIFS('Receipt Summary'!H:H,'Receipt Summary'!A:A,"2026-03-09",'Receipt Summary'!D:D,"Martins")</f>
        <v>37</v>
      </c>
      <c r="F17" s="8" t="n">
        <f aca="false">SUMIFS('Receipt Summary'!H:H,'Receipt Summary'!A:A,"2026-03-16",'Receipt Summary'!D:D,"Martins")</f>
        <v>33</v>
      </c>
      <c r="G17" s="8" t="n">
        <f aca="false">SUMIFS('Receipt Summary'!H:H,'Receipt Summary'!A:A,"2026-03-23",'Receipt Summary'!D:D,"Martins")</f>
        <v>38</v>
      </c>
      <c r="H17" s="8" t="n">
        <f aca="false">SUMIFS('Receipt Summary'!H:H,'Receipt Summary'!A:A,"2026-03-30",'Receipt Summary'!D:D,"Martins")</f>
        <v>21</v>
      </c>
      <c r="I17" s="8" t="n">
        <f aca="false">SUMIFS('Receipt Summary'!H:H,'Receipt Summary'!A:A,"2026-04-06",'Receipt Summary'!D:D,"Martins")</f>
        <v>20</v>
      </c>
      <c r="J17" s="8" t="n">
        <f aca="false">SUMIFS('Receipt Summary'!H:H,'Receipt Summary'!A:A,"2026-04-13",'Receipt Summary'!D:D,"Martins")</f>
        <v>10</v>
      </c>
      <c r="K17" s="8" t="n">
        <f aca="false">SUMIFS('Receipt Summary'!H:H,'Receipt Summary'!A:A,"2026-04-20",'Receipt Summary'!D:D,"Martins")</f>
        <v>24</v>
      </c>
      <c r="L17" s="8" t="n">
        <f aca="false">SUMIFS('Receipt Summary'!H:H,'Receipt Summary'!A:A,"2026-05-04",'Receipt Summary'!D:D,"Martins")</f>
        <v>14</v>
      </c>
      <c r="M17" s="8" t="n">
        <f aca="false">SUMIFS('Receipt Summary'!H:H,'Receipt Summary'!A:A,"2026-05-11",'Receipt Summary'!D:D,"Martins")</f>
        <v>3</v>
      </c>
      <c r="N17" s="8" t="n">
        <f aca="false">SUMIFS('Receipt Summary'!H:H,'Receipt Summary'!A:A,"2026-05-28",'Receipt Summary'!D:D,"Martins")</f>
        <v>5</v>
      </c>
      <c r="O17" s="8" t="n">
        <f aca="false">SUM(B17:N17)</f>
        <v>367</v>
      </c>
    </row>
    <row r="18" customFormat="false" ht="14.25" hidden="false" customHeight="true" outlineLevel="0" collapsed="false">
      <c r="A18" s="7" t="s">
        <v>30</v>
      </c>
      <c r="B18" s="9" t="n">
        <f aca="false">IFERROR(B17/B16,0)</f>
        <v>0.126666666666667</v>
      </c>
      <c r="C18" s="9" t="n">
        <f aca="false">IFERROR(C17/C16,0)</f>
        <v>0.237569060773481</v>
      </c>
      <c r="D18" s="9" t="n">
        <f aca="false">IFERROR(D17/D16,0)</f>
        <v>0.28328611898017</v>
      </c>
      <c r="E18" s="9" t="n">
        <f aca="false">IFERROR(E17/E16,0)</f>
        <v>0.167420814479638</v>
      </c>
      <c r="F18" s="9" t="n">
        <f aca="false">IFERROR(F17/F16,0)</f>
        <v>0.15</v>
      </c>
      <c r="G18" s="9" t="n">
        <f aca="false">IFERROR(G17/G16,0)</f>
        <v>0.181818181818182</v>
      </c>
      <c r="H18" s="9" t="n">
        <f aca="false">IFERROR(H17/H16,0)</f>
        <v>0.092511013215859</v>
      </c>
      <c r="I18" s="9" t="n">
        <f aca="false">IFERROR(I17/I16,0)</f>
        <v>0.111111111111111</v>
      </c>
      <c r="J18" s="9" t="n">
        <f aca="false">IFERROR(J17/J16,0)</f>
        <v>0.05</v>
      </c>
      <c r="K18" s="9" t="n">
        <f aca="false">IFERROR(K17/K16,0)</f>
        <v>0.141176470588235</v>
      </c>
      <c r="L18" s="9" t="n">
        <f aca="false">IFERROR(L17/L16,0)</f>
        <v>0.0518518518518519</v>
      </c>
      <c r="M18" s="9" t="n">
        <f aca="false">IFERROR(M17/M16,0)</f>
        <v>0.03</v>
      </c>
      <c r="N18" s="9" t="n">
        <f aca="false">IFERROR(N17/N16,0)</f>
        <v>0.0185185185185185</v>
      </c>
      <c r="O18" s="9" t="n">
        <f aca="false">IFERROR(O17/O16,0)</f>
        <v>0.133406034169393</v>
      </c>
    </row>
    <row r="21" customFormat="false" ht="21.75" hidden="false" customHeight="true" outlineLevel="0" collapsed="false">
      <c r="A21" s="10" t="s">
        <v>31</v>
      </c>
      <c r="B21" s="10"/>
      <c r="C21" s="10"/>
      <c r="D21" s="10"/>
      <c r="E21" s="10"/>
      <c r="F21" s="10"/>
      <c r="G21" s="10"/>
      <c r="H21" s="10"/>
      <c r="I21" s="10"/>
    </row>
    <row r="22" customFormat="false" ht="27.75" hidden="false" customHeight="true" outlineLevel="0" collapsed="false">
      <c r="A22" s="4" t="s">
        <v>3</v>
      </c>
      <c r="B22" s="4" t="s">
        <v>7</v>
      </c>
      <c r="C22" s="4" t="s">
        <v>9</v>
      </c>
      <c r="D22" s="4" t="s">
        <v>10</v>
      </c>
      <c r="E22" s="4" t="s">
        <v>13</v>
      </c>
      <c r="F22" s="4" t="s">
        <v>14</v>
      </c>
      <c r="G22" s="4" t="s">
        <v>15</v>
      </c>
      <c r="H22" s="4" t="s">
        <v>16</v>
      </c>
      <c r="I22" s="4" t="s">
        <v>17</v>
      </c>
    </row>
    <row r="23" customFormat="false" ht="14.25" hidden="false" customHeight="true" outlineLevel="0" collapsed="false">
      <c r="A23" s="5" t="s">
        <v>18</v>
      </c>
      <c r="B23" s="6" t="n">
        <f aca="false">SUMIFS('Master Data'!I:I,'Master Data'!A:A,"2026-03-09",'Master Data'!E:E,"Parks",'Master Data'!H:H,A23)</f>
        <v>1</v>
      </c>
      <c r="C23" s="6" t="n">
        <f aca="false">SUMIFS('Master Data'!I:I,'Master Data'!A:A,"2026-03-23",'Master Data'!E:E,"Parks",'Master Data'!H:H,A23)</f>
        <v>4</v>
      </c>
      <c r="D23" s="6" t="n">
        <f aca="false">SUMIFS('Master Data'!I:I,'Master Data'!A:A,"2026-03-30",'Master Data'!E:E,"Parks",'Master Data'!H:H,A23)</f>
        <v>2</v>
      </c>
      <c r="E23" s="6" t="n">
        <f aca="false">SUMIFS('Master Data'!I:I,'Master Data'!A:A,"2026-04-20",'Master Data'!E:E,"Parks",'Master Data'!H:H,A23)</f>
        <v>22</v>
      </c>
      <c r="F23" s="6" t="n">
        <f aca="false">SUMIFS('Master Data'!I:I,'Master Data'!A:A,"2026-05-04",'Master Data'!E:E,"Parks",'Master Data'!H:H,A23)</f>
        <v>2</v>
      </c>
      <c r="G23" s="6" t="n">
        <f aca="false">SUMIFS('Master Data'!I:I,'Master Data'!A:A,"2026-05-11",'Master Data'!E:E,"Parks",'Master Data'!H:H,A23)</f>
        <v>187</v>
      </c>
      <c r="H23" s="6" t="n">
        <f aca="false">SUMIFS('Master Data'!I:I,'Master Data'!A:A,"2026-05-28",'Master Data'!E:E,"Parks",'Master Data'!H:H,A23)</f>
        <v>0</v>
      </c>
      <c r="I23" s="6" t="n">
        <f aca="false">SUM(B23:H23)</f>
        <v>218</v>
      </c>
    </row>
    <row r="24" customFormat="false" ht="14.25" hidden="false" customHeight="true" outlineLevel="0" collapsed="false">
      <c r="A24" s="5" t="s">
        <v>19</v>
      </c>
      <c r="B24" s="6" t="n">
        <f aca="false">SUMIFS('Master Data'!I:I,'Master Data'!A:A,"2026-03-09",'Master Data'!E:E,"Parks",'Master Data'!H:H,A24)</f>
        <v>0</v>
      </c>
      <c r="C24" s="6" t="n">
        <f aca="false">SUMIFS('Master Data'!I:I,'Master Data'!A:A,"2026-03-23",'Master Data'!E:E,"Parks",'Master Data'!H:H,A24)</f>
        <v>0</v>
      </c>
      <c r="D24" s="6" t="n">
        <f aca="false">SUMIFS('Master Data'!I:I,'Master Data'!A:A,"2026-03-30",'Master Data'!E:E,"Parks",'Master Data'!H:H,A24)</f>
        <v>0</v>
      </c>
      <c r="E24" s="6" t="n">
        <f aca="false">SUMIFS('Master Data'!I:I,'Master Data'!A:A,"2026-04-20",'Master Data'!E:E,"Parks",'Master Data'!H:H,A24)</f>
        <v>0</v>
      </c>
      <c r="F24" s="6" t="n">
        <f aca="false">SUMIFS('Master Data'!I:I,'Master Data'!A:A,"2026-05-04",'Master Data'!E:E,"Parks",'Master Data'!H:H,A24)</f>
        <v>0</v>
      </c>
      <c r="G24" s="6" t="n">
        <f aca="false">SUMIFS('Master Data'!I:I,'Master Data'!A:A,"2026-05-11",'Master Data'!E:E,"Parks",'Master Data'!H:H,A24)</f>
        <v>0</v>
      </c>
      <c r="H24" s="6" t="n">
        <f aca="false">SUMIFS('Master Data'!I:I,'Master Data'!A:A,"2026-05-28",'Master Data'!E:E,"Parks",'Master Data'!H:H,A24)</f>
        <v>0</v>
      </c>
      <c r="I24" s="6" t="n">
        <f aca="false">SUM(B24:H24)</f>
        <v>0</v>
      </c>
    </row>
    <row r="25" customFormat="false" ht="14.25" hidden="false" customHeight="true" outlineLevel="0" collapsed="false">
      <c r="A25" s="5" t="s">
        <v>20</v>
      </c>
      <c r="B25" s="6" t="n">
        <f aca="false">SUMIFS('Master Data'!I:I,'Master Data'!A:A,"2026-03-09",'Master Data'!E:E,"Parks",'Master Data'!H:H,A25)</f>
        <v>1</v>
      </c>
      <c r="C25" s="6" t="n">
        <f aca="false">SUMIFS('Master Data'!I:I,'Master Data'!A:A,"2026-03-23",'Master Data'!E:E,"Parks",'Master Data'!H:H,A25)</f>
        <v>0</v>
      </c>
      <c r="D25" s="6" t="n">
        <f aca="false">SUMIFS('Master Data'!I:I,'Master Data'!A:A,"2026-03-30",'Master Data'!E:E,"Parks",'Master Data'!H:H,A25)</f>
        <v>0</v>
      </c>
      <c r="E25" s="6" t="n">
        <f aca="false">SUMIFS('Master Data'!I:I,'Master Data'!A:A,"2026-04-20",'Master Data'!E:E,"Parks",'Master Data'!H:H,A25)</f>
        <v>0</v>
      </c>
      <c r="F25" s="6" t="n">
        <f aca="false">SUMIFS('Master Data'!I:I,'Master Data'!A:A,"2026-05-04",'Master Data'!E:E,"Parks",'Master Data'!H:H,A25)</f>
        <v>0</v>
      </c>
      <c r="G25" s="6" t="n">
        <f aca="false">SUMIFS('Master Data'!I:I,'Master Data'!A:A,"2026-05-11",'Master Data'!E:E,"Parks",'Master Data'!H:H,A25)</f>
        <v>0</v>
      </c>
      <c r="H25" s="6" t="n">
        <f aca="false">SUMIFS('Master Data'!I:I,'Master Data'!A:A,"2026-05-28",'Master Data'!E:E,"Parks",'Master Data'!H:H,A25)</f>
        <v>0</v>
      </c>
      <c r="I25" s="6" t="n">
        <f aca="false">SUM(B25:H25)</f>
        <v>1</v>
      </c>
    </row>
    <row r="26" customFormat="false" ht="14.25" hidden="false" customHeight="true" outlineLevel="0" collapsed="false">
      <c r="A26" s="5" t="s">
        <v>21</v>
      </c>
      <c r="B26" s="6" t="n">
        <f aca="false">SUMIFS('Master Data'!I:I,'Master Data'!A:A,"2026-03-09",'Master Data'!E:E,"Parks",'Master Data'!H:H,A26)</f>
        <v>0</v>
      </c>
      <c r="C26" s="6" t="n">
        <f aca="false">SUMIFS('Master Data'!I:I,'Master Data'!A:A,"2026-03-23",'Master Data'!E:E,"Parks",'Master Data'!H:H,A26)</f>
        <v>0</v>
      </c>
      <c r="D26" s="6" t="n">
        <f aca="false">SUMIFS('Master Data'!I:I,'Master Data'!A:A,"2026-03-30",'Master Data'!E:E,"Parks",'Master Data'!H:H,A26)</f>
        <v>1</v>
      </c>
      <c r="E26" s="6" t="n">
        <f aca="false">SUMIFS('Master Data'!I:I,'Master Data'!A:A,"2026-04-20",'Master Data'!E:E,"Parks",'Master Data'!H:H,A26)</f>
        <v>4</v>
      </c>
      <c r="F26" s="6" t="n">
        <f aca="false">SUMIFS('Master Data'!I:I,'Master Data'!A:A,"2026-05-04",'Master Data'!E:E,"Parks",'Master Data'!H:H,A26)</f>
        <v>0</v>
      </c>
      <c r="G26" s="6" t="n">
        <f aca="false">SUMIFS('Master Data'!I:I,'Master Data'!A:A,"2026-05-11",'Master Data'!E:E,"Parks",'Master Data'!H:H,A26)</f>
        <v>0</v>
      </c>
      <c r="H26" s="6" t="n">
        <f aca="false">SUMIFS('Master Data'!I:I,'Master Data'!A:A,"2026-05-28",'Master Data'!E:E,"Parks",'Master Data'!H:H,A26)</f>
        <v>0</v>
      </c>
      <c r="I26" s="6" t="n">
        <f aca="false">SUM(B26:H26)</f>
        <v>5</v>
      </c>
    </row>
    <row r="27" customFormat="false" ht="14.25" hidden="false" customHeight="true" outlineLevel="0" collapsed="false">
      <c r="A27" s="5" t="s">
        <v>22</v>
      </c>
      <c r="B27" s="6" t="n">
        <f aca="false">SUMIFS('Master Data'!I:I,'Master Data'!A:A,"2026-03-09",'Master Data'!E:E,"Parks",'Master Data'!H:H,A27)</f>
        <v>0</v>
      </c>
      <c r="C27" s="6" t="n">
        <f aca="false">SUMIFS('Master Data'!I:I,'Master Data'!A:A,"2026-03-23",'Master Data'!E:E,"Parks",'Master Data'!H:H,A27)</f>
        <v>0</v>
      </c>
      <c r="D27" s="6" t="n">
        <f aca="false">SUMIFS('Master Data'!I:I,'Master Data'!A:A,"2026-03-30",'Master Data'!E:E,"Parks",'Master Data'!H:H,A27)</f>
        <v>0</v>
      </c>
      <c r="E27" s="6" t="n">
        <f aca="false">SUMIFS('Master Data'!I:I,'Master Data'!A:A,"2026-04-20",'Master Data'!E:E,"Parks",'Master Data'!H:H,A27)</f>
        <v>0</v>
      </c>
      <c r="F27" s="6" t="n">
        <f aca="false">SUMIFS('Master Data'!I:I,'Master Data'!A:A,"2026-05-04",'Master Data'!E:E,"Parks",'Master Data'!H:H,A27)</f>
        <v>0</v>
      </c>
      <c r="G27" s="6" t="n">
        <f aca="false">SUMIFS('Master Data'!I:I,'Master Data'!A:A,"2026-05-11",'Master Data'!E:E,"Parks",'Master Data'!H:H,A27)</f>
        <v>0</v>
      </c>
      <c r="H27" s="6" t="n">
        <f aca="false">SUMIFS('Master Data'!I:I,'Master Data'!A:A,"2026-05-28",'Master Data'!E:E,"Parks",'Master Data'!H:H,A27)</f>
        <v>0</v>
      </c>
      <c r="I27" s="6" t="n">
        <f aca="false">SUM(B27:H27)</f>
        <v>0</v>
      </c>
    </row>
    <row r="28" customFormat="false" ht="14.25" hidden="false" customHeight="true" outlineLevel="0" collapsed="false">
      <c r="A28" s="5" t="s">
        <v>23</v>
      </c>
      <c r="B28" s="6" t="n">
        <f aca="false">SUMIFS('Master Data'!I:I,'Master Data'!A:A,"2026-03-09",'Master Data'!E:E,"Parks",'Master Data'!H:H,A28)</f>
        <v>0</v>
      </c>
      <c r="C28" s="6" t="n">
        <f aca="false">SUMIFS('Master Data'!I:I,'Master Data'!A:A,"2026-03-23",'Master Data'!E:E,"Parks",'Master Data'!H:H,A28)</f>
        <v>2</v>
      </c>
      <c r="D28" s="6" t="n">
        <f aca="false">SUMIFS('Master Data'!I:I,'Master Data'!A:A,"2026-03-30",'Master Data'!E:E,"Parks",'Master Data'!H:H,A28)</f>
        <v>2</v>
      </c>
      <c r="E28" s="6" t="n">
        <f aca="false">SUMIFS('Master Data'!I:I,'Master Data'!A:A,"2026-04-20",'Master Data'!E:E,"Parks",'Master Data'!H:H,A28)</f>
        <v>3</v>
      </c>
      <c r="F28" s="6" t="n">
        <f aca="false">SUMIFS('Master Data'!I:I,'Master Data'!A:A,"2026-05-04",'Master Data'!E:E,"Parks",'Master Data'!H:H,A28)</f>
        <v>0</v>
      </c>
      <c r="G28" s="6" t="n">
        <f aca="false">SUMIFS('Master Data'!I:I,'Master Data'!A:A,"2026-05-11",'Master Data'!E:E,"Parks",'Master Data'!H:H,A28)</f>
        <v>2</v>
      </c>
      <c r="H28" s="6" t="n">
        <f aca="false">SUMIFS('Master Data'!I:I,'Master Data'!A:A,"2026-05-28",'Master Data'!E:E,"Parks",'Master Data'!H:H,A28)</f>
        <v>0</v>
      </c>
      <c r="I28" s="6" t="n">
        <f aca="false">SUM(B28:H28)</f>
        <v>9</v>
      </c>
    </row>
    <row r="29" customFormat="false" ht="14.25" hidden="false" customHeight="true" outlineLevel="0" collapsed="false">
      <c r="A29" s="5" t="s">
        <v>24</v>
      </c>
      <c r="B29" s="6" t="n">
        <f aca="false">SUMIFS('Master Data'!I:I,'Master Data'!A:A,"2026-03-09",'Master Data'!E:E,"Parks",'Master Data'!H:H,A29)</f>
        <v>0</v>
      </c>
      <c r="C29" s="6" t="n">
        <f aca="false">SUMIFS('Master Data'!I:I,'Master Data'!A:A,"2026-03-23",'Master Data'!E:E,"Parks",'Master Data'!H:H,A29)</f>
        <v>0</v>
      </c>
      <c r="D29" s="6" t="n">
        <f aca="false">SUMIFS('Master Data'!I:I,'Master Data'!A:A,"2026-03-30",'Master Data'!E:E,"Parks",'Master Data'!H:H,A29)</f>
        <v>0</v>
      </c>
      <c r="E29" s="6" t="n">
        <f aca="false">SUMIFS('Master Data'!I:I,'Master Data'!A:A,"2026-04-20",'Master Data'!E:E,"Parks",'Master Data'!H:H,A29)</f>
        <v>0</v>
      </c>
      <c r="F29" s="6" t="n">
        <f aca="false">SUMIFS('Master Data'!I:I,'Master Data'!A:A,"2026-05-04",'Master Data'!E:E,"Parks",'Master Data'!H:H,A29)</f>
        <v>0</v>
      </c>
      <c r="G29" s="6" t="n">
        <f aca="false">SUMIFS('Master Data'!I:I,'Master Data'!A:A,"2026-05-11",'Master Data'!E:E,"Parks",'Master Data'!H:H,A29)</f>
        <v>0</v>
      </c>
      <c r="H29" s="6" t="n">
        <f aca="false">SUMIFS('Master Data'!I:I,'Master Data'!A:A,"2026-05-28",'Master Data'!E:E,"Parks",'Master Data'!H:H,A29)</f>
        <v>0</v>
      </c>
      <c r="I29" s="6" t="n">
        <f aca="false">SUM(B29:H29)</f>
        <v>0</v>
      </c>
    </row>
    <row r="30" customFormat="false" ht="14.25" hidden="false" customHeight="true" outlineLevel="0" collapsed="false">
      <c r="A30" s="5" t="s">
        <v>25</v>
      </c>
      <c r="B30" s="6" t="n">
        <f aca="false">SUMIFS('Master Data'!I:I,'Master Data'!A:A,"2026-03-09",'Master Data'!E:E,"Parks",'Master Data'!H:H,A30)</f>
        <v>0</v>
      </c>
      <c r="C30" s="6" t="n">
        <f aca="false">SUMIFS('Master Data'!I:I,'Master Data'!A:A,"2026-03-23",'Master Data'!E:E,"Parks",'Master Data'!H:H,A30)</f>
        <v>0</v>
      </c>
      <c r="D30" s="6" t="n">
        <f aca="false">SUMIFS('Master Data'!I:I,'Master Data'!A:A,"2026-03-30",'Master Data'!E:E,"Parks",'Master Data'!H:H,A30)</f>
        <v>0</v>
      </c>
      <c r="E30" s="6" t="n">
        <f aca="false">SUMIFS('Master Data'!I:I,'Master Data'!A:A,"2026-04-20",'Master Data'!E:E,"Parks",'Master Data'!H:H,A30)</f>
        <v>0</v>
      </c>
      <c r="F30" s="6" t="n">
        <f aca="false">SUMIFS('Master Data'!I:I,'Master Data'!A:A,"2026-05-04",'Master Data'!E:E,"Parks",'Master Data'!H:H,A30)</f>
        <v>0</v>
      </c>
      <c r="G30" s="6" t="n">
        <f aca="false">SUMIFS('Master Data'!I:I,'Master Data'!A:A,"2026-05-11",'Master Data'!E:E,"Parks",'Master Data'!H:H,A30)</f>
        <v>0</v>
      </c>
      <c r="H30" s="6" t="n">
        <f aca="false">SUMIFS('Master Data'!I:I,'Master Data'!A:A,"2026-05-28",'Master Data'!E:E,"Parks",'Master Data'!H:H,A30)</f>
        <v>0</v>
      </c>
      <c r="I30" s="6" t="n">
        <f aca="false">SUM(B30:H30)</f>
        <v>0</v>
      </c>
    </row>
    <row r="31" customFormat="false" ht="14.25" hidden="false" customHeight="true" outlineLevel="0" collapsed="false">
      <c r="A31" s="5" t="s">
        <v>26</v>
      </c>
      <c r="B31" s="6" t="n">
        <f aca="false">SUMIFS('Master Data'!I:I,'Master Data'!A:A,"2026-03-09",'Master Data'!E:E,"Parks",'Master Data'!H:H,A31)</f>
        <v>0</v>
      </c>
      <c r="C31" s="6" t="n">
        <f aca="false">SUMIFS('Master Data'!I:I,'Master Data'!A:A,"2026-03-23",'Master Data'!E:E,"Parks",'Master Data'!H:H,A31)</f>
        <v>0</v>
      </c>
      <c r="D31" s="6" t="n">
        <f aca="false">SUMIFS('Master Data'!I:I,'Master Data'!A:A,"2026-03-30",'Master Data'!E:E,"Parks",'Master Data'!H:H,A31)</f>
        <v>0</v>
      </c>
      <c r="E31" s="6" t="n">
        <f aca="false">SUMIFS('Master Data'!I:I,'Master Data'!A:A,"2026-04-20",'Master Data'!E:E,"Parks",'Master Data'!H:H,A31)</f>
        <v>0</v>
      </c>
      <c r="F31" s="6" t="n">
        <f aca="false">SUMIFS('Master Data'!I:I,'Master Data'!A:A,"2026-05-04",'Master Data'!E:E,"Parks",'Master Data'!H:H,A31)</f>
        <v>0</v>
      </c>
      <c r="G31" s="6" t="n">
        <f aca="false">SUMIFS('Master Data'!I:I,'Master Data'!A:A,"2026-05-11",'Master Data'!E:E,"Parks",'Master Data'!H:H,A31)</f>
        <v>0</v>
      </c>
      <c r="H31" s="6" t="n">
        <f aca="false">SUMIFS('Master Data'!I:I,'Master Data'!A:A,"2026-05-28",'Master Data'!E:E,"Parks",'Master Data'!H:H,A31)</f>
        <v>0</v>
      </c>
      <c r="I31" s="6" t="n">
        <f aca="false">SUM(B31:H31)</f>
        <v>0</v>
      </c>
    </row>
    <row r="32" customFormat="false" ht="14.25" hidden="false" customHeight="true" outlineLevel="0" collapsed="false">
      <c r="A32" s="5" t="s">
        <v>27</v>
      </c>
      <c r="B32" s="6" t="n">
        <f aca="false">SUMIFS('Master Data'!I:I,'Master Data'!A:A,"2026-03-09",'Master Data'!E:E,"Parks",'Master Data'!H:H,A32)</f>
        <v>0</v>
      </c>
      <c r="C32" s="6" t="n">
        <f aca="false">SUMIFS('Master Data'!I:I,'Master Data'!A:A,"2026-03-23",'Master Data'!E:E,"Parks",'Master Data'!H:H,A32)</f>
        <v>0</v>
      </c>
      <c r="D32" s="6" t="n">
        <f aca="false">SUMIFS('Master Data'!I:I,'Master Data'!A:A,"2026-03-30",'Master Data'!E:E,"Parks",'Master Data'!H:H,A32)</f>
        <v>2</v>
      </c>
      <c r="E32" s="6" t="n">
        <f aca="false">SUMIFS('Master Data'!I:I,'Master Data'!A:A,"2026-04-20",'Master Data'!E:E,"Parks",'Master Data'!H:H,A32)</f>
        <v>10</v>
      </c>
      <c r="F32" s="6" t="n">
        <f aca="false">SUMIFS('Master Data'!I:I,'Master Data'!A:A,"2026-05-04",'Master Data'!E:E,"Parks",'Master Data'!H:H,A32)</f>
        <v>2</v>
      </c>
      <c r="G32" s="6" t="n">
        <f aca="false">SUMIFS('Master Data'!I:I,'Master Data'!A:A,"2026-05-11",'Master Data'!E:E,"Parks",'Master Data'!H:H,A32)</f>
        <v>6</v>
      </c>
      <c r="H32" s="6" t="n">
        <f aca="false">SUMIFS('Master Data'!I:I,'Master Data'!A:A,"2026-05-28",'Master Data'!E:E,"Parks",'Master Data'!H:H,A32)</f>
        <v>0</v>
      </c>
      <c r="I32" s="6" t="n">
        <f aca="false">SUM(B32:H32)</f>
        <v>20</v>
      </c>
    </row>
    <row r="33" customFormat="false" ht="14.25" hidden="false" customHeight="true" outlineLevel="0" collapsed="false">
      <c r="A33" s="7" t="s">
        <v>28</v>
      </c>
      <c r="B33" s="8" t="n">
        <f aca="false">SUMIFS('Receipt Summary'!F:F,'Receipt Summary'!A:A,"2026-03-09",'Receipt Summary'!D:D,"Parks")</f>
        <v>15</v>
      </c>
      <c r="C33" s="8" t="n">
        <f aca="false">SUMIFS('Receipt Summary'!F:F,'Receipt Summary'!A:A,"2026-03-23",'Receipt Summary'!D:D,"Parks")</f>
        <v>22</v>
      </c>
      <c r="D33" s="8" t="n">
        <f aca="false">SUMIFS('Receipt Summary'!F:F,'Receipt Summary'!A:A,"2026-03-30",'Receipt Summary'!D:D,"Parks")</f>
        <v>15</v>
      </c>
      <c r="E33" s="8" t="n">
        <f aca="false">SUMIFS('Receipt Summary'!F:F,'Receipt Summary'!A:A,"2026-04-20",'Receipt Summary'!D:D,"Parks")</f>
        <v>118</v>
      </c>
      <c r="F33" s="8" t="n">
        <f aca="false">SUMIFS('Receipt Summary'!F:F,'Receipt Summary'!A:A,"2026-05-04",'Receipt Summary'!D:D,"Parks")</f>
        <v>30</v>
      </c>
      <c r="G33" s="8" t="n">
        <f aca="false">SUMIFS('Receipt Summary'!F:F,'Receipt Summary'!A:A,"2026-05-11",'Receipt Summary'!D:D,"Parks")</f>
        <v>220</v>
      </c>
      <c r="H33" s="8" t="n">
        <f aca="false">SUMIFS('Receipt Summary'!F:F,'Receipt Summary'!A:A,"2026-05-28",'Receipt Summary'!D:D,"Parks")</f>
        <v>7</v>
      </c>
      <c r="I33" s="8" t="n">
        <f aca="false">SUM(B33:H33)</f>
        <v>427</v>
      </c>
    </row>
    <row r="34" customFormat="false" ht="14.25" hidden="false" customHeight="true" outlineLevel="0" collapsed="false">
      <c r="A34" s="7" t="s">
        <v>29</v>
      </c>
      <c r="B34" s="8" t="n">
        <f aca="false">SUMIFS('Receipt Summary'!H:H,'Receipt Summary'!A:A,"2026-03-09",'Receipt Summary'!D:D,"Parks")</f>
        <v>2</v>
      </c>
      <c r="C34" s="8" t="n">
        <f aca="false">SUMIFS('Receipt Summary'!H:H,'Receipt Summary'!A:A,"2026-03-23",'Receipt Summary'!D:D,"Parks")</f>
        <v>6</v>
      </c>
      <c r="D34" s="8" t="n">
        <f aca="false">SUMIFS('Receipt Summary'!H:H,'Receipt Summary'!A:A,"2026-03-30",'Receipt Summary'!D:D,"Parks")</f>
        <v>7</v>
      </c>
      <c r="E34" s="8" t="n">
        <f aca="false">SUMIFS('Receipt Summary'!H:H,'Receipt Summary'!A:A,"2026-04-20",'Receipt Summary'!D:D,"Parks")</f>
        <v>39</v>
      </c>
      <c r="F34" s="8" t="n">
        <f aca="false">SUMIFS('Receipt Summary'!H:H,'Receipt Summary'!A:A,"2026-05-04",'Receipt Summary'!D:D,"Parks")</f>
        <v>4</v>
      </c>
      <c r="G34" s="8" t="n">
        <f aca="false">SUMIFS('Receipt Summary'!H:H,'Receipt Summary'!A:A,"2026-05-11",'Receipt Summary'!D:D,"Parks")</f>
        <v>195</v>
      </c>
      <c r="H34" s="8" t="n">
        <f aca="false">SUMIFS('Receipt Summary'!H:H,'Receipt Summary'!A:A,"2026-05-28",'Receipt Summary'!D:D,"Parks")</f>
        <v>0</v>
      </c>
      <c r="I34" s="8" t="n">
        <f aca="false">SUM(B34:H34)</f>
        <v>253</v>
      </c>
    </row>
    <row r="35" customFormat="false" ht="14.25" hidden="false" customHeight="true" outlineLevel="0" collapsed="false">
      <c r="A35" s="7" t="s">
        <v>30</v>
      </c>
      <c r="B35" s="9" t="n">
        <f aca="false">IFERROR(B34/B33,0)</f>
        <v>0.133333333333333</v>
      </c>
      <c r="C35" s="9" t="n">
        <f aca="false">IFERROR(C34/C33,0)</f>
        <v>0.272727272727273</v>
      </c>
      <c r="D35" s="9" t="n">
        <f aca="false">IFERROR(D34/D33,0)</f>
        <v>0.466666666666667</v>
      </c>
      <c r="E35" s="9" t="n">
        <f aca="false">IFERROR(E34/E33,0)</f>
        <v>0.330508474576271</v>
      </c>
      <c r="F35" s="9" t="n">
        <f aca="false">IFERROR(F34/F33,0)</f>
        <v>0.133333333333333</v>
      </c>
      <c r="G35" s="9" t="n">
        <f aca="false">IFERROR(G34/G33,0)</f>
        <v>0.886363636363636</v>
      </c>
      <c r="H35" s="9" t="n">
        <f aca="false">IFERROR(H34/H33,0)</f>
        <v>0</v>
      </c>
      <c r="I35" s="9" t="n">
        <f aca="false">IFERROR(I34/I33,0)</f>
        <v>0.592505854800937</v>
      </c>
    </row>
    <row r="38" customFormat="false" ht="21.75" hidden="false" customHeight="true" outlineLevel="0" collapsed="false">
      <c r="A38" s="3" t="s">
        <v>32</v>
      </c>
      <c r="B38" s="3"/>
      <c r="C38" s="3"/>
      <c r="D38" s="3"/>
      <c r="E38" s="3"/>
      <c r="F38" s="3"/>
    </row>
    <row r="39" customFormat="false" ht="28.5" hidden="false" customHeight="true" outlineLevel="0" collapsed="false">
      <c r="A39" s="11" t="s">
        <v>33</v>
      </c>
      <c r="B39" s="11" t="s">
        <v>3</v>
      </c>
      <c r="C39" s="11" t="s">
        <v>34</v>
      </c>
      <c r="D39" s="11" t="s">
        <v>35</v>
      </c>
      <c r="E39" s="11" t="s">
        <v>36</v>
      </c>
      <c r="F39" s="11" t="s">
        <v>37</v>
      </c>
    </row>
    <row r="40" customFormat="false" ht="14.25" hidden="false" customHeight="true" outlineLevel="0" collapsed="false">
      <c r="A40" s="6" t="n">
        <v>1</v>
      </c>
      <c r="B40" s="12" t="s">
        <v>18</v>
      </c>
      <c r="C40" s="6" t="n">
        <f aca="false">SUMIFS('Master Data'!I:I,'Master Data'!E:E,"Martins",'Master Data'!H:H,B40)</f>
        <v>171</v>
      </c>
      <c r="D40" s="6" t="n">
        <f aca="false">SUMIFS('Master Data'!I:I,'Master Data'!E:E,"Parks",'Master Data'!H:H,B40)</f>
        <v>218</v>
      </c>
      <c r="E40" s="6" t="n">
        <f aca="false">C40+D40</f>
        <v>389</v>
      </c>
      <c r="F40" s="13" t="n">
        <f aca="false">IFERROR(E40/SUMIFS('Master Data'!I:I,'Master Data'!H:H,"&lt;&gt;(no defects recorded)"),0)</f>
        <v>0.626409017713366</v>
      </c>
    </row>
    <row r="41" customFormat="false" ht="14.25" hidden="false" customHeight="true" outlineLevel="0" collapsed="false">
      <c r="A41" s="6" t="n">
        <v>2</v>
      </c>
      <c r="B41" s="12" t="s">
        <v>23</v>
      </c>
      <c r="C41" s="6" t="n">
        <f aca="false">SUMIFS('Master Data'!I:I,'Master Data'!E:E,"Martins",'Master Data'!H:H,B41)</f>
        <v>66</v>
      </c>
      <c r="D41" s="6" t="n">
        <f aca="false">SUMIFS('Master Data'!I:I,'Master Data'!E:E,"Parks",'Master Data'!H:H,B41)</f>
        <v>9</v>
      </c>
      <c r="E41" s="6" t="n">
        <f aca="false">C41+D41</f>
        <v>75</v>
      </c>
      <c r="F41" s="13" t="n">
        <f aca="false">IFERROR(E41/SUMIFS('Master Data'!I:I,'Master Data'!H:H,"&lt;&gt;(no defects recorded)"),0)</f>
        <v>0.120772946859903</v>
      </c>
    </row>
    <row r="42" customFormat="false" ht="14.25" hidden="false" customHeight="true" outlineLevel="0" collapsed="false">
      <c r="A42" s="6" t="n">
        <v>3</v>
      </c>
      <c r="B42" s="12" t="s">
        <v>20</v>
      </c>
      <c r="C42" s="6" t="n">
        <f aca="false">SUMIFS('Master Data'!I:I,'Master Data'!E:E,"Martins",'Master Data'!H:H,B42)</f>
        <v>60</v>
      </c>
      <c r="D42" s="6" t="n">
        <f aca="false">SUMIFS('Master Data'!I:I,'Master Data'!E:E,"Parks",'Master Data'!H:H,B42)</f>
        <v>1</v>
      </c>
      <c r="E42" s="6" t="n">
        <f aca="false">C42+D42</f>
        <v>61</v>
      </c>
      <c r="F42" s="13" t="n">
        <f aca="false">IFERROR(E42/SUMIFS('Master Data'!I:I,'Master Data'!H:H,"&lt;&gt;(no defects recorded)"),0)</f>
        <v>0.0982286634460548</v>
      </c>
    </row>
    <row r="43" customFormat="false" ht="14.25" hidden="false" customHeight="true" outlineLevel="0" collapsed="false">
      <c r="A43" s="6" t="n">
        <v>4</v>
      </c>
      <c r="B43" s="12" t="s">
        <v>22</v>
      </c>
      <c r="C43" s="6" t="n">
        <f aca="false">SUMIFS('Master Data'!I:I,'Master Data'!E:E,"Martins",'Master Data'!H:H,B43)</f>
        <v>42</v>
      </c>
      <c r="D43" s="6" t="n">
        <f aca="false">SUMIFS('Master Data'!I:I,'Master Data'!E:E,"Parks",'Master Data'!H:H,B43)</f>
        <v>0</v>
      </c>
      <c r="E43" s="6" t="n">
        <f aca="false">C43+D43</f>
        <v>42</v>
      </c>
      <c r="F43" s="13" t="n">
        <f aca="false">IFERROR(E43/SUMIFS('Master Data'!I:I,'Master Data'!H:H,"&lt;&gt;(no defects recorded)"),0)</f>
        <v>0.0676328502415459</v>
      </c>
    </row>
    <row r="44" customFormat="false" ht="14.25" hidden="false" customHeight="true" outlineLevel="0" collapsed="false">
      <c r="A44" s="6" t="n">
        <v>5</v>
      </c>
      <c r="B44" s="12" t="s">
        <v>24</v>
      </c>
      <c r="C44" s="6" t="n">
        <f aca="false">SUMIFS('Master Data'!I:I,'Master Data'!E:E,"Martins",'Master Data'!H:H,B44)</f>
        <v>20</v>
      </c>
      <c r="D44" s="6" t="n">
        <f aca="false">SUMIFS('Master Data'!I:I,'Master Data'!E:E,"Parks",'Master Data'!H:H,B44)</f>
        <v>0</v>
      </c>
      <c r="E44" s="6" t="n">
        <f aca="false">C44+D44</f>
        <v>20</v>
      </c>
      <c r="F44" s="13" t="n">
        <f aca="false">IFERROR(E44/SUMIFS('Master Data'!I:I,'Master Data'!H:H,"&lt;&gt;(no defects recorded)"),0)</f>
        <v>0.0322061191626409</v>
      </c>
    </row>
    <row r="46" customFormat="false" ht="39.75" hidden="false" customHeight="true" outlineLevel="0" collapsed="false">
      <c r="A46" s="2" t="s">
        <v>38</v>
      </c>
      <c r="B46" s="2"/>
      <c r="C46" s="2"/>
      <c r="D46" s="2"/>
      <c r="E46" s="2"/>
      <c r="F46" s="2"/>
    </row>
  </sheetData>
  <mergeCells count="6">
    <mergeCell ref="A1:O1"/>
    <mergeCell ref="A2:O2"/>
    <mergeCell ref="A4:O4"/>
    <mergeCell ref="A21:I21"/>
    <mergeCell ref="A38:F38"/>
    <mergeCell ref="A46:F46"/>
  </mergeCells>
  <conditionalFormatting sqref="B6:N15">
    <cfRule type="colorScale" priority="2">
      <colorScale>
        <cfvo type="num" val="0"/>
        <cfvo type="num" val="10"/>
        <cfvo type="num" val="50"/>
        <color rgb="FFFFFFFF"/>
        <color rgb="FFFFEB84"/>
        <color rgb="FFF8696B"/>
      </colorScale>
    </cfRule>
  </conditionalFormatting>
  <conditionalFormatting sqref="B18:N18">
    <cfRule type="colorScale" priority="3">
      <colorScale>
        <cfvo type="num" val="0"/>
        <cfvo type="num" val="0.2"/>
        <cfvo type="num" val="0.5"/>
        <color rgb="FF63BE7B"/>
        <color rgb="FFFFEB84"/>
        <color rgb="FFF8696B"/>
      </colorScale>
    </cfRule>
  </conditionalFormatting>
  <conditionalFormatting sqref="B23:H32">
    <cfRule type="colorScale" priority="4">
      <colorScale>
        <cfvo type="num" val="0"/>
        <cfvo type="num" val="10"/>
        <cfvo type="num" val="50"/>
        <color rgb="FFFFFFFF"/>
        <color rgb="FFFFEB84"/>
        <color rgb="FFF8696B"/>
      </colorScale>
    </cfRule>
  </conditionalFormatting>
  <conditionalFormatting sqref="B35:H35">
    <cfRule type="colorScale" priority="5">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sheetPr filterMode="false">
    <pageSetUpPr fitToPage="false"/>
  </sheetPr>
  <dimension ref="A1:L1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5390625" defaultRowHeight="15" zeroHeight="false" outlineLevelRow="0" outlineLevelCol="0"/>
  <cols>
    <col collapsed="false" customWidth="true" hidden="false" outlineLevel="0" max="1" min="1" style="0" width="16.78"/>
    <col collapsed="false" customWidth="true" hidden="false" outlineLevel="0" max="2" min="2" style="0" width="24.11"/>
    <col collapsed="false" customWidth="true" hidden="false" outlineLevel="0" max="3" min="3" style="0" width="15.66"/>
    <col collapsed="false" customWidth="true" hidden="false" outlineLevel="0" max="4" min="4" style="0" width="16.66"/>
    <col collapsed="false" customWidth="true" hidden="false" outlineLevel="0" max="5" min="5" style="0" width="29.66"/>
    <col collapsed="false" customWidth="true" hidden="false" outlineLevel="0" max="6" min="6" style="0" width="38"/>
    <col collapsed="false" customWidth="true" hidden="false" outlineLevel="0" max="7" min="7" style="0" width="13.89"/>
    <col collapsed="false" customWidth="true" hidden="false" outlineLevel="0" max="10" min="10" style="0" width="23.44"/>
    <col collapsed="false" customWidth="true" hidden="false" outlineLevel="0" max="11" min="11" style="0" width="45"/>
    <col collapsed="false" customWidth="true" hidden="false" outlineLevel="0" max="12" min="12" style="0" width="22.78"/>
    <col collapsed="false" customWidth="true" hidden="false" outlineLevel="0" max="13" min="13" style="0" width="8.67"/>
  </cols>
  <sheetData>
    <row r="1" customFormat="false" ht="21" hidden="false" customHeight="true" outlineLevel="0" collapsed="false">
      <c r="A1" s="1" t="s">
        <v>39</v>
      </c>
      <c r="B1" s="1"/>
      <c r="C1" s="1"/>
      <c r="D1" s="1"/>
      <c r="E1" s="1"/>
      <c r="F1" s="1"/>
      <c r="G1" s="1"/>
      <c r="H1" s="1"/>
      <c r="I1" s="1"/>
      <c r="J1" s="1"/>
      <c r="K1" s="1"/>
      <c r="L1" s="1"/>
    </row>
    <row r="2" customFormat="false" ht="51.75" hidden="false" customHeight="true" outlineLevel="0" collapsed="false">
      <c r="A2" s="2" t="s">
        <v>40</v>
      </c>
      <c r="B2" s="2"/>
      <c r="C2" s="2"/>
      <c r="D2" s="2"/>
      <c r="E2" s="2"/>
      <c r="F2" s="2"/>
      <c r="G2" s="2"/>
      <c r="H2" s="2"/>
      <c r="I2" s="2"/>
      <c r="J2" s="2"/>
      <c r="K2" s="2"/>
      <c r="L2" s="2"/>
    </row>
    <row r="4" customFormat="false" ht="21.75" hidden="false" customHeight="true" outlineLevel="0" collapsed="false">
      <c r="A4" s="3" t="s">
        <v>41</v>
      </c>
      <c r="B4" s="3"/>
      <c r="C4" s="3"/>
      <c r="D4" s="3"/>
      <c r="E4" s="3"/>
      <c r="F4" s="3"/>
      <c r="G4" s="3"/>
      <c r="H4" s="3"/>
      <c r="I4" s="3"/>
      <c r="J4" s="3"/>
      <c r="K4" s="3"/>
      <c r="L4" s="3"/>
    </row>
    <row r="5" customFormat="false" ht="28.5" hidden="false" customHeight="true" outlineLevel="0" collapsed="false">
      <c r="A5" s="11" t="s">
        <v>42</v>
      </c>
      <c r="B5" s="11" t="s">
        <v>43</v>
      </c>
      <c r="C5" s="11" t="s">
        <v>44</v>
      </c>
      <c r="D5" s="11" t="s">
        <v>45</v>
      </c>
      <c r="E5" s="11" t="s">
        <v>46</v>
      </c>
      <c r="F5" s="11" t="s">
        <v>47</v>
      </c>
      <c r="G5" s="11" t="s">
        <v>48</v>
      </c>
      <c r="H5" s="11" t="s">
        <v>49</v>
      </c>
      <c r="I5" s="11" t="s">
        <v>50</v>
      </c>
    </row>
    <row r="6" customFormat="false" ht="13.5" hidden="false" customHeight="true" outlineLevel="0" collapsed="false">
      <c r="A6" s="14" t="s">
        <v>51</v>
      </c>
      <c r="B6" s="14" t="s">
        <v>52</v>
      </c>
      <c r="C6" s="14" t="s">
        <v>53</v>
      </c>
      <c r="D6" s="14" t="s">
        <v>54</v>
      </c>
      <c r="E6" s="14" t="s">
        <v>55</v>
      </c>
      <c r="F6" s="14" t="s">
        <v>56</v>
      </c>
      <c r="G6" s="14" t="s">
        <v>57</v>
      </c>
      <c r="H6" s="14" t="s">
        <v>58</v>
      </c>
      <c r="I6" s="14" t="s">
        <v>59</v>
      </c>
    </row>
    <row r="7" customFormat="false" ht="13.5" hidden="false" customHeight="true" outlineLevel="0" collapsed="false">
      <c r="A7" s="14" t="s">
        <v>60</v>
      </c>
      <c r="B7" s="14" t="s">
        <v>61</v>
      </c>
      <c r="C7" s="14" t="s">
        <v>53</v>
      </c>
      <c r="D7" s="14" t="s">
        <v>54</v>
      </c>
      <c r="E7" s="14" t="s">
        <v>55</v>
      </c>
      <c r="F7" s="14" t="s">
        <v>62</v>
      </c>
      <c r="G7" s="14" t="s">
        <v>63</v>
      </c>
      <c r="H7" s="14" t="s">
        <v>58</v>
      </c>
      <c r="I7" s="14" t="s">
        <v>59</v>
      </c>
    </row>
    <row r="8" customFormat="false" ht="13.5" hidden="false" customHeight="true" outlineLevel="0" collapsed="false">
      <c r="A8" s="14" t="s">
        <v>64</v>
      </c>
      <c r="B8" s="14" t="s">
        <v>65</v>
      </c>
      <c r="C8" s="14" t="s">
        <v>53</v>
      </c>
      <c r="D8" s="14" t="s">
        <v>54</v>
      </c>
      <c r="E8" s="14" t="s">
        <v>55</v>
      </c>
      <c r="F8" s="14" t="s">
        <v>66</v>
      </c>
      <c r="G8" s="14" t="s">
        <v>67</v>
      </c>
      <c r="H8" s="14" t="s">
        <v>58</v>
      </c>
      <c r="I8" s="14" t="s">
        <v>59</v>
      </c>
    </row>
    <row r="9" customFormat="false" ht="13.5" hidden="false" customHeight="true" outlineLevel="0" collapsed="false">
      <c r="A9" s="14" t="s">
        <v>68</v>
      </c>
      <c r="B9" s="14" t="s">
        <v>69</v>
      </c>
      <c r="C9" s="14" t="s">
        <v>53</v>
      </c>
      <c r="D9" s="14" t="s">
        <v>54</v>
      </c>
      <c r="E9" s="14" t="s">
        <v>55</v>
      </c>
      <c r="F9" s="14" t="s">
        <v>70</v>
      </c>
      <c r="G9" s="14" t="s">
        <v>71</v>
      </c>
      <c r="H9" s="14" t="s">
        <v>58</v>
      </c>
      <c r="I9" s="14" t="s">
        <v>59</v>
      </c>
    </row>
    <row r="10" customFormat="false" ht="13.5" hidden="false" customHeight="true" outlineLevel="0" collapsed="false">
      <c r="A10" s="14" t="s">
        <v>72</v>
      </c>
      <c r="B10" s="14" t="s">
        <v>73</v>
      </c>
      <c r="C10" s="14" t="s">
        <v>53</v>
      </c>
      <c r="D10" s="14" t="s">
        <v>54</v>
      </c>
      <c r="E10" s="14" t="s">
        <v>55</v>
      </c>
      <c r="F10" s="14" t="s">
        <v>70</v>
      </c>
      <c r="G10" s="14" t="s">
        <v>74</v>
      </c>
      <c r="H10" s="14" t="s">
        <v>58</v>
      </c>
      <c r="I10" s="14" t="s">
        <v>75</v>
      </c>
    </row>
    <row r="11" customFormat="false" ht="13.5" hidden="false" customHeight="true" outlineLevel="0" collapsed="false">
      <c r="A11" s="14" t="s">
        <v>76</v>
      </c>
      <c r="B11" s="14" t="s">
        <v>16</v>
      </c>
      <c r="C11" s="14" t="s">
        <v>77</v>
      </c>
      <c r="D11" s="14" t="s">
        <v>78</v>
      </c>
      <c r="E11" s="14" t="s">
        <v>79</v>
      </c>
      <c r="F11" s="14" t="s">
        <v>80</v>
      </c>
      <c r="G11" s="14" t="s">
        <v>75</v>
      </c>
      <c r="H11" s="14" t="s">
        <v>81</v>
      </c>
      <c r="I11" s="14" t="s">
        <v>75</v>
      </c>
    </row>
    <row r="12" customFormat="false" ht="13.5" hidden="false" customHeight="true" outlineLevel="0" collapsed="false">
      <c r="A12" s="14" t="s">
        <v>82</v>
      </c>
      <c r="B12" s="14" t="s">
        <v>83</v>
      </c>
      <c r="C12" s="14" t="s">
        <v>53</v>
      </c>
      <c r="D12" s="14" t="s">
        <v>54</v>
      </c>
      <c r="E12" s="14" t="s">
        <v>55</v>
      </c>
      <c r="F12" s="14" t="s">
        <v>84</v>
      </c>
      <c r="G12" s="14" t="s">
        <v>85</v>
      </c>
      <c r="H12" s="14" t="s">
        <v>58</v>
      </c>
      <c r="I12" s="14" t="s">
        <v>59</v>
      </c>
    </row>
    <row r="13" customFormat="false" ht="13.5" hidden="false" customHeight="true" outlineLevel="0" collapsed="false">
      <c r="A13" s="14" t="s">
        <v>86</v>
      </c>
      <c r="B13" s="14" t="s">
        <v>87</v>
      </c>
      <c r="C13" s="14" t="s">
        <v>77</v>
      </c>
      <c r="D13" s="14" t="s">
        <v>78</v>
      </c>
      <c r="E13" s="14" t="s">
        <v>79</v>
      </c>
      <c r="F13" s="14" t="s">
        <v>80</v>
      </c>
      <c r="G13" s="14" t="s">
        <v>75</v>
      </c>
      <c r="H13" s="14" t="s">
        <v>81</v>
      </c>
      <c r="I13" s="14" t="s">
        <v>75</v>
      </c>
    </row>
    <row r="14" customFormat="false" hidden="false" outlineLevel="0" collapsed="false" ht="13.5" customHeight="true">
      <c r="A14" s="14" t="inlineStr">
        <is>
          <t xml:space="preserve">Visit 9</t>
        </is>
      </c>
      <c r="B14" s="14" t="inlineStr">
        <is>
          <t xml:space="preserve">2026-06-08</t>
        </is>
      </c>
      <c r="C14" s="14" t="inlineStr">
        <is>
          <t xml:space="preserve">Martins</t>
        </is>
      </c>
      <c r="D14" s="14" t="inlineStr">
        <is>
          <t xml:space="preserve">Toni Cruz</t>
        </is>
      </c>
      <c r="E14" s="14" t="inlineStr">
        <is>
          <t xml:space="preserve">Jesus</t>
        </is>
      </c>
      <c r="F14" s="14" t="inlineStr">
        <is>
          <t xml:space="preserve">5502428786</t>
        </is>
      </c>
      <c r="G14" s="14" t="inlineStr">
        <is>
          <t xml:space="preserve">5502428782</t>
        </is>
      </c>
      <c r="H14" s="14" t="inlineStr">
        <is>
          <t xml:space="preserve">666541</t>
        </is>
      </c>
      <c r="I14" s="14" t="inlineStr">
        <is>
          <t xml:space="preserve">666506</t>
        </is>
      </c>
    </row>
    <row r="15" customFormat="false" hidden="false" outlineLevel="0" collapsed="false" ht="13.5" customHeight="true">
      <c r="A15" s="14" t="inlineStr">
        <is>
          <t xml:space="preserve">Visit 10</t>
        </is>
      </c>
      <c r="B15" s="14" t="inlineStr">
        <is>
          <t xml:space="preserve">2026-06-15</t>
        </is>
      </c>
      <c r="C15" s="14" t="inlineStr">
        <is>
          <t xml:space="preserve">Martins</t>
        </is>
      </c>
      <c r="D15" s="14" t="inlineStr">
        <is>
          <t xml:space="preserve">Toni Cruz</t>
        </is>
      </c>
      <c r="E15" s="14" t="inlineStr">
        <is>
          <t xml:space="preserve">Jesus</t>
        </is>
      </c>
      <c r="F15" s="14" t="inlineStr">
        <is>
          <t xml:space="preserve">5502462845</t>
        </is>
      </c>
      <c r="G15" s="14" t="inlineStr">
        <is>
          <t xml:space="preserve">5502462842</t>
        </is>
      </c>
      <c r="H15" s="14" t="inlineStr">
        <is>
          <t xml:space="preserve">666541</t>
        </is>
      </c>
      <c r="I15" s="14" t="inlineStr">
        <is>
          <t xml:space="preserve">666506</t>
        </is>
      </c>
    </row>
    <row r="16" customFormat="false" hidden="false" outlineLevel="0" collapsed="false" ht="13.5" customHeight="true">
      <c r="A16" s="14" t="inlineStr">
        <is>
          <t xml:space="preserve">Visit 11</t>
        </is>
      </c>
      <c r="B16" s="14" t="inlineStr">
        <is>
          <t xml:space="preserve">2026-06-16</t>
        </is>
      </c>
      <c r="C16" s="14" t="inlineStr">
        <is>
          <t xml:space="preserve">Parks Family Meats</t>
        </is>
      </c>
      <c r="D16" s="14" t="inlineStr">
        <is>
          <t xml:space="preserve">Rasmin Mujanovic</t>
        </is>
      </c>
      <c r="E16" s="14" t="inlineStr">
        <is>
          <t xml:space="preserve">Natalie</t>
        </is>
      </c>
      <c r="F16" s="14" t="inlineStr">
        <is>
          <t xml:space="preserve">(no batch data)</t>
        </is>
      </c>
      <c r="G16" s="14" t="inlineStr">
        <is>
          <t xml:space="preserve">—</t>
        </is>
      </c>
      <c r="H16" s="14" t="inlineStr">
        <is>
          <t xml:space="preserve">666518</t>
        </is>
      </c>
      <c r="I16" s="14" t="inlineStr">
        <is>
          <t xml:space="preserve">—</t>
        </is>
      </c>
    </row>
    <row r="17" customFormat="false" hidden="false" outlineLevel="0" collapsed="false" ht="13.5" customHeight="true">
      <c r="A17" s="14" t="inlineStr">
        <is>
          <t xml:space="preserve">Visit 12</t>
        </is>
      </c>
      <c r="B17" s="14" t="inlineStr">
        <is>
          <t xml:space="preserve">2026-06-24</t>
        </is>
      </c>
      <c r="C17" s="14" t="inlineStr">
        <is>
          <t xml:space="preserve">Martins</t>
        </is>
      </c>
      <c r="D17" s="14" t="inlineStr">
        <is>
          <t xml:space="preserve">Toni Cruz</t>
        </is>
      </c>
      <c r="E17" s="14" t="inlineStr">
        <is>
          <t xml:space="preserve">Jesus</t>
        </is>
      </c>
      <c r="F17" s="14" t="inlineStr">
        <is>
          <t xml:space="preserve">5502462845</t>
        </is>
      </c>
      <c r="G17" s="14" t="inlineStr">
        <is>
          <t xml:space="preserve">(none collected)</t>
        </is>
      </c>
      <c r="H17" s="14" t="inlineStr">
        <is>
          <t xml:space="preserve">666541</t>
        </is>
      </c>
      <c r="I17" s="14" t="inlineStr">
        <is>
          <t xml:space="preserve">—</t>
        </is>
      </c>
    </row>
    <row r="18" customFormat="false" hidden="false" outlineLevel="0" collapsed="false" ht="13.5" customHeight="true">
      <c r="A18" s="14" t="inlineStr">
        <is>
          <t xml:space="preserve">Visit 13</t>
        </is>
      </c>
      <c r="B18" s="14" t="inlineStr">
        <is>
          <t xml:space="preserve">2026-06-22</t>
        </is>
      </c>
      <c r="C18" s="14" t="inlineStr">
        <is>
          <t xml:space="preserve">Parks Family Meats</t>
        </is>
      </c>
      <c r="D18" s="14" t="inlineStr">
        <is>
          <t xml:space="preserve">Rasmin Mujanovic</t>
        </is>
      </c>
      <c r="E18" s="14" t="inlineStr">
        <is>
          <t xml:space="preserve">Natalie</t>
        </is>
      </c>
      <c r="F18" s="14" t="inlineStr">
        <is>
          <t xml:space="preserve">(no batch data)</t>
        </is>
      </c>
      <c r="G18" s="14" t="inlineStr">
        <is>
          <t xml:space="preserve">—</t>
        </is>
      </c>
      <c r="H18" s="14" t="inlineStr">
        <is>
          <t xml:space="preserve">666518</t>
        </is>
      </c>
      <c r="I18" s="14" t="inlineStr">
        <is>
          <t xml:space="preserve">—</t>
        </is>
      </c>
    </row>
    <row r="19" customFormat="false" hidden="false" outlineLevel="0" collapsed="false" ht="13.5" customHeight="true">
      <c r="A19" s="14" t="inlineStr">
        <is>
          <t xml:space="preserve">Visit 14</t>
        </is>
      </c>
      <c r="B19" s="14" t="inlineStr">
        <is>
          <t xml:space="preserve">2026-06-25</t>
        </is>
      </c>
      <c r="C19" s="14" t="inlineStr">
        <is>
          <t xml:space="preserve">Parks Family Meats</t>
        </is>
      </c>
      <c r="D19" s="14" t="inlineStr">
        <is>
          <t xml:space="preserve">Rasmin Mujanovic</t>
        </is>
      </c>
      <c r="E19" s="14" t="inlineStr">
        <is>
          <t xml:space="preserve">Natalie</t>
        </is>
      </c>
      <c r="F19" s="14" t="inlineStr">
        <is>
          <t xml:space="preserve">(no batch data)</t>
        </is>
      </c>
      <c r="G19" s="14" t="inlineStr">
        <is>
          <t xml:space="preserve">—</t>
        </is>
      </c>
      <c r="H19" s="14" t="inlineStr">
        <is>
          <t xml:space="preserve">666518</t>
        </is>
      </c>
      <c r="I19" s="14" t="inlineStr">
        <is>
          <t xml:space="preserve">—</t>
        </is>
      </c>
    </row>
    <row r="20" customFormat="false" hidden="false" outlineLevel="0" collapsed="false" ht="13.5" customHeight="true">
      <c r="A20" s="14" t="inlineStr">
        <is>
          <t xml:space="preserve">Visit 15</t>
        </is>
      </c>
      <c r="B20" s="14" t="inlineStr">
        <is>
          <t xml:space="preserve">2026-06-29</t>
        </is>
      </c>
      <c r="C20" s="14" t="inlineStr">
        <is>
          <t xml:space="preserve">Martins</t>
        </is>
      </c>
      <c r="D20" s="14" t="inlineStr">
        <is>
          <t xml:space="preserve">Toni Cruz</t>
        </is>
      </c>
      <c r="E20" s="14" t="inlineStr">
        <is>
          <t xml:space="preserve">Jesus</t>
        </is>
      </c>
      <c r="F20" s="14" t="inlineStr">
        <is>
          <t xml:space="preserve">5502471460</t>
        </is>
      </c>
      <c r="G20" s="14" t="inlineStr">
        <is>
          <t xml:space="preserve">5502471457</t>
        </is>
      </c>
      <c r="H20" s="14" t="inlineStr">
        <is>
          <t xml:space="preserve">666541</t>
        </is>
      </c>
      <c r="I20" s="14" t="inlineStr">
        <is>
          <t xml:space="preserve">666506</t>
        </is>
      </c>
    </row>
    <row r="21" customFormat="false" hidden="false" outlineLevel="0" collapsed="false" ht="13.5" customHeight="true">
      <c r="A21" s="14" t="inlineStr">
        <is>
          <t xml:space="preserve">Visit 16</t>
        </is>
      </c>
      <c r="B21" s="14" t="inlineStr">
        <is>
          <t xml:space="preserve">2026-06-29</t>
        </is>
      </c>
      <c r="C21" s="14" t="inlineStr">
        <is>
          <t xml:space="preserve">Parks Family Meats</t>
        </is>
      </c>
      <c r="D21" s="14" t="inlineStr">
        <is>
          <t xml:space="preserve">Rasmin Mujanovic</t>
        </is>
      </c>
      <c r="E21" s="14" t="inlineStr">
        <is>
          <t xml:space="preserve">Natalie</t>
        </is>
      </c>
      <c r="F21" s="14" t="inlineStr">
        <is>
          <t xml:space="preserve">(no batch data)</t>
        </is>
      </c>
      <c r="G21" s="14" t="inlineStr">
        <is>
          <t xml:space="preserve">—</t>
        </is>
      </c>
      <c r="H21" s="14" t="inlineStr">
        <is>
          <t xml:space="preserve">666518</t>
        </is>
      </c>
      <c r="I21" s="14" t="inlineStr">
        <is>
          <t xml:space="preserve">—</t>
        </is>
      </c>
    </row>
    <row r="22" customFormat="false" hidden="false" outlineLevel="0" collapsed="false" ht="13.5" customHeight="true">
      <c r="A22" s="14" t="inlineStr">
        <is>
          <t xml:space="preserve">Visit 17</t>
        </is>
      </c>
      <c r="B22" s="14" t="inlineStr">
        <is>
          <t xml:space="preserve">2026-07-06</t>
        </is>
      </c>
      <c r="C22" s="14" t="inlineStr">
        <is>
          <t xml:space="preserve">Martins</t>
        </is>
      </c>
      <c r="D22" s="14" t="inlineStr">
        <is>
          <t xml:space="preserve">Toni Cruz</t>
        </is>
      </c>
      <c r="E22" s="14" t="inlineStr">
        <is>
          <t xml:space="preserve">Jesus</t>
        </is>
      </c>
      <c r="F22" s="14" t="inlineStr">
        <is>
          <t xml:space="preserve">5502471460</t>
        </is>
      </c>
      <c r="G22" s="14" t="inlineStr">
        <is>
          <t xml:space="preserve">5502471457</t>
        </is>
      </c>
      <c r="H22" s="14" t="inlineStr">
        <is>
          <t xml:space="preserve">666541</t>
        </is>
      </c>
      <c r="I22" s="14" t="inlineStr">
        <is>
          <t xml:space="preserve">666506</t>
        </is>
      </c>
    </row>
    <row r="23" customFormat="false" hidden="false" outlineLevel="0" collapsed="false" ht="13.5" customHeight="true">
      <c r="A23" s="14" t="inlineStr">
        <is>
          <t xml:space="preserve">Visit 18</t>
        </is>
      </c>
      <c r="B23" s="14" t="inlineStr">
        <is>
          <t xml:space="preserve">2026-07-13</t>
        </is>
      </c>
      <c r="C23" s="14" t="inlineStr">
        <is>
          <t xml:space="preserve">Martins</t>
        </is>
      </c>
      <c r="D23" s="14" t="inlineStr">
        <is>
          <t xml:space="preserve">Toni Cruz</t>
        </is>
      </c>
      <c r="E23" s="14" t="inlineStr">
        <is>
          <t xml:space="preserve">Jesus</t>
        </is>
      </c>
      <c r="F23" s="14" t="inlineStr">
        <is>
          <t xml:space="preserve">5502495107</t>
        </is>
      </c>
      <c r="G23" s="14" t="inlineStr">
        <is>
          <t xml:space="preserve">5502495104</t>
        </is>
      </c>
      <c r="H23" s="14" t="inlineStr">
        <is>
          <t xml:space="preserve">666541</t>
        </is>
      </c>
      <c r="I23" s="14" t="inlineStr">
        <is>
          <t xml:space="preserve">666506</t>
        </is>
      </c>
    </row>
    <row r="24" customFormat="false" hidden="false" outlineLevel="0" collapsed="false" ht="13.5" customHeight="true">
      <c r="A24" s="14" t="inlineStr">
        <is>
          <t xml:space="preserve">Visit 19</t>
        </is>
      </c>
      <c r="B24" s="14" t="inlineStr">
        <is>
          <t xml:space="preserve">2026-07-13</t>
        </is>
      </c>
      <c r="C24" s="14" t="inlineStr">
        <is>
          <t xml:space="preserve">Parks Family Meats</t>
        </is>
      </c>
      <c r="D24" s="14" t="inlineStr">
        <is>
          <t xml:space="preserve">Rasmin Mujanovic</t>
        </is>
      </c>
      <c r="E24" s="14" t="inlineStr">
        <is>
          <t xml:space="preserve">Natalie</t>
        </is>
      </c>
      <c r="F24" s="14" t="inlineStr">
        <is>
          <t xml:space="preserve">(no batch data)</t>
        </is>
      </c>
      <c r="G24" s="14" t="inlineStr">
        <is>
          <t xml:space="preserve">—</t>
        </is>
      </c>
      <c r="H24" s="14" t="inlineStr">
        <is>
          <t xml:space="preserve">666518</t>
        </is>
      </c>
      <c r="I24" s="14" t="inlineStr">
        <is>
          <t xml:space="preserve">—</t>
        </is>
      </c>
    </row>
    <row r="26" customFormat="false" ht="21.75" hidden="false" customHeight="true" outlineLevel="0" collapsed="false">
      <c r="A26" s="3" t="s">
        <v>88</v>
      </c>
      <c r="B26" s="3"/>
      <c r="C26" s="3"/>
      <c r="D26" s="3"/>
      <c r="E26" s="3"/>
      <c r="F26" s="3"/>
      <c r="G26" s="3"/>
      <c r="H26" s="3"/>
      <c r="I26" s="3"/>
      <c r="J26" s="3"/>
      <c r="K26" s="3"/>
      <c r="L26" s="3"/>
    </row>
    <row r="27" customFormat="false" ht="28.5" hidden="false" customHeight="true" outlineLevel="0" collapsed="false">
      <c r="A27" s="11" t="s">
        <v>89</v>
      </c>
      <c r="B27" s="11" t="s">
        <v>44</v>
      </c>
      <c r="C27" s="11" t="s">
        <v>90</v>
      </c>
      <c r="D27" s="11" t="s">
        <v>91</v>
      </c>
      <c r="E27" s="11" t="s">
        <v>92</v>
      </c>
      <c r="F27" s="11" t="s">
        <v>93</v>
      </c>
      <c r="G27" s="11" t="s">
        <v>94</v>
      </c>
      <c r="H27" s="11" t="s">
        <v>95</v>
      </c>
      <c r="I27" s="11" t="s">
        <v>96</v>
      </c>
      <c r="J27" s="11" t="s">
        <v>97</v>
      </c>
      <c r="K27" s="11" t="s">
        <v>98</v>
      </c>
      <c r="L27" s="11" t="s">
        <v>99</v>
      </c>
    </row>
    <row r="28" customFormat="false" ht="27" hidden="false" customHeight="true" outlineLevel="0" collapsed="false">
      <c r="A28" s="5" t="s">
        <v>12</v>
      </c>
      <c r="B28" s="5" t="s">
        <v>53</v>
      </c>
      <c r="C28" s="5" t="s">
        <v>56</v>
      </c>
      <c r="D28" s="5" t="s">
        <v>58</v>
      </c>
      <c r="E28" s="5" t="s">
        <v>100</v>
      </c>
      <c r="F28" s="5" t="s">
        <v>101</v>
      </c>
      <c r="G28" s="6" t="n">
        <v>48</v>
      </c>
      <c r="H28" s="6" t="n">
        <v>47</v>
      </c>
      <c r="I28" s="6" t="n">
        <v>1</v>
      </c>
      <c r="J28" s="15" t="n">
        <f aca="false">IFERROR(H28/G28,0)</f>
      </c>
      <c r="K28" s="16" t="s">
        <v>102</v>
      </c>
      <c r="L28" s="5" t="s">
        <v>103</v>
      </c>
    </row>
    <row r="29" customFormat="false" ht="27" hidden="false" customHeight="true" outlineLevel="0" collapsed="false">
      <c r="A29" s="5" t="s">
        <v>104</v>
      </c>
      <c r="B29" s="5" t="s">
        <v>53</v>
      </c>
      <c r="C29" s="5" t="s">
        <v>56</v>
      </c>
      <c r="D29" s="5" t="s">
        <v>58</v>
      </c>
      <c r="E29" s="5" t="s">
        <v>100</v>
      </c>
      <c r="F29" s="5" t="s">
        <v>101</v>
      </c>
      <c r="G29" s="6" t="n">
        <v>17</v>
      </c>
      <c r="H29" s="6" t="n">
        <v>13</v>
      </c>
      <c r="I29" s="6" t="n">
        <v>4</v>
      </c>
      <c r="J29" s="15" t="n">
        <f aca="false">IFERROR(H29/G29,0)</f>
      </c>
      <c r="K29" s="16" t="s">
        <v>105</v>
      </c>
      <c r="L29" s="5" t="s">
        <v>103</v>
      </c>
    </row>
    <row r="30" customFormat="false" ht="27" hidden="false" customHeight="true" outlineLevel="0" collapsed="false">
      <c r="A30" s="5" t="s">
        <v>12</v>
      </c>
      <c r="B30" s="5" t="s">
        <v>53</v>
      </c>
      <c r="C30" s="5" t="s">
        <v>57</v>
      </c>
      <c r="D30" s="5" t="s">
        <v>59</v>
      </c>
      <c r="E30" s="5" t="s">
        <v>106</v>
      </c>
      <c r="F30" s="5" t="s">
        <v>107</v>
      </c>
      <c r="G30" s="6" t="n">
        <v>3</v>
      </c>
      <c r="H30" s="6" t="n">
        <v>3</v>
      </c>
      <c r="I30" s="6" t="n">
        <v>0</v>
      </c>
      <c r="J30" s="15" t="n">
        <f aca="false">IFERROR(H30/G30,0)</f>
      </c>
      <c r="K30" s="16" t="s">
        <v>108</v>
      </c>
      <c r="L30" s="5" t="s">
        <v>103</v>
      </c>
    </row>
    <row r="31" customFormat="false" ht="13.5" hidden="false" customHeight="true" outlineLevel="0" collapsed="false">
      <c r="A31" s="5" t="s">
        <v>104</v>
      </c>
      <c r="B31" s="5" t="s">
        <v>53</v>
      </c>
      <c r="C31" s="5" t="s">
        <v>57</v>
      </c>
      <c r="D31" s="5" t="s">
        <v>59</v>
      </c>
      <c r="E31" s="5" t="s">
        <v>106</v>
      </c>
      <c r="F31" s="5" t="s">
        <v>107</v>
      </c>
      <c r="G31" s="6" t="n">
        <v>4</v>
      </c>
      <c r="H31" s="6" t="n">
        <v>4</v>
      </c>
      <c r="I31" s="6" t="n">
        <v>0</v>
      </c>
      <c r="J31" s="15" t="n">
        <f aca="false">IFERROR(H31/G31,0)</f>
      </c>
      <c r="K31" s="16"/>
      <c r="L31" s="5" t="s">
        <v>103</v>
      </c>
    </row>
    <row r="32" customFormat="false" ht="27" hidden="false" customHeight="true" outlineLevel="0" collapsed="false">
      <c r="A32" s="5" t="s">
        <v>13</v>
      </c>
      <c r="B32" s="5" t="s">
        <v>53</v>
      </c>
      <c r="C32" s="5" t="s">
        <v>62</v>
      </c>
      <c r="D32" s="5" t="s">
        <v>58</v>
      </c>
      <c r="E32" s="5" t="s">
        <v>100</v>
      </c>
      <c r="F32" s="5" t="s">
        <v>101</v>
      </c>
      <c r="G32" s="6" t="n">
        <v>0</v>
      </c>
      <c r="H32" s="6" t="n">
        <v>0</v>
      </c>
      <c r="I32" s="6" t="n">
        <v>0</v>
      </c>
      <c r="J32" s="15" t="n">
        <f aca="false">IFERROR(H32/G32,0)</f>
      </c>
      <c r="K32" s="16" t="s">
        <v>109</v>
      </c>
      <c r="L32" s="5" t="s">
        <v>103</v>
      </c>
    </row>
    <row r="33" customFormat="false" ht="13.5" hidden="false" customHeight="true" outlineLevel="0" collapsed="false">
      <c r="A33" s="5" t="s">
        <v>110</v>
      </c>
      <c r="B33" s="5" t="s">
        <v>53</v>
      </c>
      <c r="C33" s="5" t="s">
        <v>62</v>
      </c>
      <c r="D33" s="5" t="s">
        <v>58</v>
      </c>
      <c r="E33" s="5" t="s">
        <v>100</v>
      </c>
      <c r="F33" s="5" t="s">
        <v>101</v>
      </c>
      <c r="G33" s="6" t="n">
        <v>57</v>
      </c>
      <c r="H33" s="6" t="n">
        <v>56</v>
      </c>
      <c r="I33" s="6" t="n">
        <v>1</v>
      </c>
      <c r="J33" s="15" t="n">
        <f aca="false">IFERROR(H33/G33,0)</f>
      </c>
      <c r="K33" s="16" t="s">
        <v>111</v>
      </c>
      <c r="L33" s="5" t="s">
        <v>103</v>
      </c>
    </row>
    <row r="34" customFormat="false" ht="13.5" hidden="false" customHeight="true" outlineLevel="0" collapsed="false">
      <c r="A34" s="5" t="s">
        <v>13</v>
      </c>
      <c r="B34" s="5" t="s">
        <v>53</v>
      </c>
      <c r="C34" s="5" t="s">
        <v>63</v>
      </c>
      <c r="D34" s="5" t="s">
        <v>59</v>
      </c>
      <c r="E34" s="5" t="s">
        <v>106</v>
      </c>
      <c r="F34" s="5" t="s">
        <v>107</v>
      </c>
      <c r="G34" s="6" t="n">
        <v>31</v>
      </c>
      <c r="H34" s="6" t="n">
        <v>29</v>
      </c>
      <c r="I34" s="6" t="n">
        <v>2</v>
      </c>
      <c r="J34" s="15" t="n">
        <f aca="false">IFERROR(H34/G34,0)</f>
      </c>
      <c r="K34" s="16" t="s">
        <v>112</v>
      </c>
      <c r="L34" s="5" t="s">
        <v>103</v>
      </c>
    </row>
    <row r="35" customFormat="false" ht="13.5" hidden="false" customHeight="true" outlineLevel="0" collapsed="false">
      <c r="A35" s="5" t="s">
        <v>110</v>
      </c>
      <c r="B35" s="5" t="s">
        <v>53</v>
      </c>
      <c r="C35" s="5" t="s">
        <v>63</v>
      </c>
      <c r="D35" s="5" t="s">
        <v>59</v>
      </c>
      <c r="E35" s="5" t="s">
        <v>106</v>
      </c>
      <c r="F35" s="5" t="s">
        <v>107</v>
      </c>
      <c r="G35" s="6" t="n">
        <v>21</v>
      </c>
      <c r="H35" s="6" t="n">
        <v>19</v>
      </c>
      <c r="I35" s="6" t="n">
        <v>2</v>
      </c>
      <c r="J35" s="15" t="n">
        <f aca="false">IFERROR(H35/G35,0)</f>
      </c>
      <c r="K35" s="16" t="s">
        <v>113</v>
      </c>
      <c r="L35" s="5" t="s">
        <v>103</v>
      </c>
    </row>
    <row r="36" customFormat="false" ht="13.5" hidden="false" customHeight="true" outlineLevel="0" collapsed="false">
      <c r="A36" s="5" t="s">
        <v>14</v>
      </c>
      <c r="B36" s="5" t="s">
        <v>53</v>
      </c>
      <c r="C36" s="5" t="s">
        <v>66</v>
      </c>
      <c r="D36" s="5" t="s">
        <v>58</v>
      </c>
      <c r="E36" s="5" t="s">
        <v>100</v>
      </c>
      <c r="F36" s="5" t="s">
        <v>101</v>
      </c>
      <c r="G36" s="6" t="n">
        <v>37</v>
      </c>
      <c r="H36" s="6" t="n">
        <v>36</v>
      </c>
      <c r="I36" s="6" t="n">
        <v>1</v>
      </c>
      <c r="J36" s="15" t="n">
        <f aca="false">IFERROR(H36/G36,0)</f>
      </c>
      <c r="K36" s="16" t="s">
        <v>114</v>
      </c>
      <c r="L36" s="5" t="s">
        <v>103</v>
      </c>
    </row>
    <row r="37" customFormat="false" ht="13.5" hidden="false" customHeight="true" outlineLevel="0" collapsed="false">
      <c r="A37" s="5" t="s">
        <v>115</v>
      </c>
      <c r="B37" s="5" t="s">
        <v>53</v>
      </c>
      <c r="C37" s="5" t="s">
        <v>66</v>
      </c>
      <c r="D37" s="5" t="s">
        <v>58</v>
      </c>
      <c r="E37" s="5" t="s">
        <v>100</v>
      </c>
      <c r="F37" s="5" t="s">
        <v>101</v>
      </c>
      <c r="G37" s="6" t="n">
        <v>25</v>
      </c>
      <c r="H37" s="6" t="n">
        <v>22</v>
      </c>
      <c r="I37" s="6" t="n">
        <v>3</v>
      </c>
      <c r="J37" s="15" t="n">
        <f aca="false">IFERROR(H37/G37,0)</f>
      </c>
      <c r="K37" s="16" t="s">
        <v>116</v>
      </c>
      <c r="L37" s="5" t="s">
        <v>103</v>
      </c>
    </row>
    <row r="38" customFormat="false" ht="13.5" hidden="false" customHeight="true" outlineLevel="0" collapsed="false">
      <c r="A38" s="5" t="s">
        <v>14</v>
      </c>
      <c r="B38" s="5" t="s">
        <v>53</v>
      </c>
      <c r="C38" s="5" t="s">
        <v>67</v>
      </c>
      <c r="D38" s="5" t="s">
        <v>59</v>
      </c>
      <c r="E38" s="5" t="s">
        <v>106</v>
      </c>
      <c r="F38" s="5" t="s">
        <v>107</v>
      </c>
      <c r="G38" s="6" t="n">
        <v>16</v>
      </c>
      <c r="H38" s="6" t="n">
        <v>13</v>
      </c>
      <c r="I38" s="6" t="n">
        <v>3</v>
      </c>
      <c r="J38" s="15" t="n">
        <f aca="false">IFERROR(H38/G38,0)</f>
      </c>
      <c r="K38" s="16" t="s">
        <v>116</v>
      </c>
      <c r="L38" s="5" t="s">
        <v>103</v>
      </c>
    </row>
    <row r="39" customFormat="false" ht="13.5" hidden="false" customHeight="true" outlineLevel="0" collapsed="false">
      <c r="A39" s="5" t="s">
        <v>115</v>
      </c>
      <c r="B39" s="5" t="s">
        <v>53</v>
      </c>
      <c r="C39" s="5" t="s">
        <v>67</v>
      </c>
      <c r="D39" s="5" t="s">
        <v>59</v>
      </c>
      <c r="E39" s="5" t="s">
        <v>106</v>
      </c>
      <c r="F39" s="5" t="s">
        <v>107</v>
      </c>
      <c r="G39" s="6" t="n">
        <v>29</v>
      </c>
      <c r="H39" s="6" t="n">
        <v>28</v>
      </c>
      <c r="I39" s="6" t="n">
        <v>1</v>
      </c>
      <c r="J39" s="15" t="n">
        <f aca="false">IFERROR(H39/G39,0)</f>
      </c>
      <c r="K39" s="16" t="s">
        <v>117</v>
      </c>
      <c r="L39" s="5" t="s">
        <v>103</v>
      </c>
    </row>
    <row r="40" customFormat="false" ht="13.5" hidden="false" customHeight="true" outlineLevel="0" collapsed="false">
      <c r="A40" s="5" t="s">
        <v>118</v>
      </c>
      <c r="B40" s="5" t="s">
        <v>53</v>
      </c>
      <c r="C40" s="5" t="s">
        <v>70</v>
      </c>
      <c r="D40" s="5" t="s">
        <v>58</v>
      </c>
      <c r="E40" s="5" t="s">
        <v>100</v>
      </c>
      <c r="F40" s="5" t="s">
        <v>101</v>
      </c>
      <c r="G40" s="6" t="n">
        <v>62</v>
      </c>
      <c r="H40" s="6" t="n">
        <v>58</v>
      </c>
      <c r="I40" s="6" t="n">
        <v>4</v>
      </c>
      <c r="J40" s="15" t="n">
        <f aca="false">IFERROR(H40/G40,0)</f>
      </c>
      <c r="K40" s="16" t="s">
        <v>119</v>
      </c>
      <c r="L40" s="5" t="s">
        <v>103</v>
      </c>
    </row>
    <row r="41" customFormat="false" ht="13.5" hidden="false" customHeight="true" outlineLevel="0" collapsed="false">
      <c r="A41" s="5" t="s">
        <v>120</v>
      </c>
      <c r="B41" s="5" t="s">
        <v>53</v>
      </c>
      <c r="C41" s="5" t="s">
        <v>70</v>
      </c>
      <c r="D41" s="5" t="s">
        <v>58</v>
      </c>
      <c r="E41" s="5" t="s">
        <v>100</v>
      </c>
      <c r="F41" s="5" t="s">
        <v>101</v>
      </c>
      <c r="G41" s="6" t="n">
        <v>31</v>
      </c>
      <c r="H41" s="6" t="n">
        <v>29</v>
      </c>
      <c r="I41" s="6" t="n">
        <v>2</v>
      </c>
      <c r="J41" s="15" t="n">
        <f aca="false">IFERROR(H41/G41,0)</f>
      </c>
      <c r="K41" s="16" t="s">
        <v>121</v>
      </c>
      <c r="L41" s="5" t="s">
        <v>103</v>
      </c>
    </row>
    <row r="42" customFormat="false" ht="27" hidden="false" customHeight="true" outlineLevel="0" collapsed="false">
      <c r="A42" s="5" t="s">
        <v>118</v>
      </c>
      <c r="B42" s="5" t="s">
        <v>53</v>
      </c>
      <c r="C42" s="5" t="s">
        <v>71</v>
      </c>
      <c r="D42" s="5" t="s">
        <v>59</v>
      </c>
      <c r="E42" s="5" t="s">
        <v>106</v>
      </c>
      <c r="F42" s="5" t="s">
        <v>107</v>
      </c>
      <c r="G42" s="6" t="n">
        <v>43</v>
      </c>
      <c r="H42" s="6" t="n">
        <v>42</v>
      </c>
      <c r="I42" s="6" t="n">
        <v>1</v>
      </c>
      <c r="J42" s="15" t="n">
        <f aca="false">IFERROR(H42/G42,0)</f>
      </c>
      <c r="K42" s="16" t="s">
        <v>122</v>
      </c>
      <c r="L42" s="5" t="s">
        <v>103</v>
      </c>
    </row>
    <row r="43" customFormat="false" ht="13.5" hidden="false" customHeight="true" outlineLevel="0" collapsed="false">
      <c r="A43" s="5" t="s">
        <v>120</v>
      </c>
      <c r="B43" s="5" t="s">
        <v>53</v>
      </c>
      <c r="C43" s="5" t="s">
        <v>71</v>
      </c>
      <c r="D43" s="5" t="s">
        <v>59</v>
      </c>
      <c r="E43" s="5" t="s">
        <v>106</v>
      </c>
      <c r="F43" s="5" t="s">
        <v>107</v>
      </c>
      <c r="G43" s="6" t="n">
        <v>30</v>
      </c>
      <c r="H43" s="6" t="n">
        <v>29</v>
      </c>
      <c r="I43" s="6" t="n">
        <v>1</v>
      </c>
      <c r="J43" s="15" t="n">
        <f aca="false">IFERROR(H43/G43,0)</f>
      </c>
      <c r="K43" s="16" t="s">
        <v>123</v>
      </c>
      <c r="L43" s="5" t="s">
        <v>103</v>
      </c>
    </row>
    <row r="44" customFormat="false" ht="27" hidden="false" customHeight="true" outlineLevel="0" collapsed="false">
      <c r="A44" s="5" t="s">
        <v>73</v>
      </c>
      <c r="B44" s="5" t="s">
        <v>53</v>
      </c>
      <c r="C44" s="5" t="s">
        <v>70</v>
      </c>
      <c r="D44" s="5" t="s">
        <v>58</v>
      </c>
      <c r="E44" s="5" t="s">
        <v>100</v>
      </c>
      <c r="F44" s="5" t="s">
        <v>101</v>
      </c>
      <c r="G44" s="6" t="n">
        <v>39</v>
      </c>
      <c r="H44" s="6" t="n">
        <v>36</v>
      </c>
      <c r="I44" s="6" t="n">
        <v>3</v>
      </c>
      <c r="J44" s="15" t="n">
        <f aca="false">IFERROR(H44/G44,0)</f>
      </c>
      <c r="K44" s="16" t="s">
        <v>124</v>
      </c>
      <c r="L44" s="5" t="s">
        <v>103</v>
      </c>
    </row>
    <row r="45" customFormat="false" ht="27" hidden="false" customHeight="true" outlineLevel="0" collapsed="false">
      <c r="A45" s="5" t="s">
        <v>16</v>
      </c>
      <c r="B45" s="5" t="s">
        <v>77</v>
      </c>
      <c r="C45" s="5" t="s">
        <v>80</v>
      </c>
      <c r="D45" s="5" t="s">
        <v>81</v>
      </c>
      <c r="E45" s="5" t="s">
        <v>100</v>
      </c>
      <c r="F45" s="5" t="s">
        <v>125</v>
      </c>
      <c r="G45" s="6" t="n">
        <v>16</v>
      </c>
      <c r="H45" s="6" t="n">
        <v>11</v>
      </c>
      <c r="I45" s="6" t="n">
        <v>5</v>
      </c>
      <c r="J45" s="15" t="n">
        <f aca="false">IFERROR(H45/G45,0)</f>
      </c>
      <c r="K45" s="16" t="s">
        <v>126</v>
      </c>
      <c r="L45" s="5" t="s">
        <v>127</v>
      </c>
    </row>
    <row r="46" customFormat="false" ht="13.5" hidden="false" customHeight="true" outlineLevel="0" collapsed="false">
      <c r="A46" s="5" t="s">
        <v>128</v>
      </c>
      <c r="B46" s="5" t="s">
        <v>53</v>
      </c>
      <c r="C46" s="5" t="s">
        <v>84</v>
      </c>
      <c r="D46" s="5" t="s">
        <v>58</v>
      </c>
      <c r="E46" s="5" t="s">
        <v>100</v>
      </c>
      <c r="F46" s="5" t="s">
        <v>101</v>
      </c>
      <c r="G46" s="6" t="n">
        <v>9</v>
      </c>
      <c r="H46" s="6" t="n">
        <v>9</v>
      </c>
      <c r="I46" s="6" t="n">
        <v>0</v>
      </c>
      <c r="J46" s="15" t="n">
        <f aca="false">IFERROR(H46/G46,0)</f>
      </c>
      <c r="K46" s="16"/>
      <c r="L46" s="5" t="s">
        <v>103</v>
      </c>
    </row>
    <row r="47" customFormat="false" ht="13.5" hidden="false" customHeight="true" outlineLevel="0" collapsed="false">
      <c r="A47" s="5" t="s">
        <v>129</v>
      </c>
      <c r="B47" s="5" t="s">
        <v>53</v>
      </c>
      <c r="C47" s="5" t="s">
        <v>84</v>
      </c>
      <c r="D47" s="5" t="s">
        <v>58</v>
      </c>
      <c r="E47" s="5" t="s">
        <v>100</v>
      </c>
      <c r="F47" s="5" t="s">
        <v>101</v>
      </c>
      <c r="G47" s="6" t="n">
        <v>45</v>
      </c>
      <c r="H47" s="6" t="n">
        <v>43</v>
      </c>
      <c r="I47" s="6" t="n">
        <v>2</v>
      </c>
      <c r="J47" s="15" t="n">
        <f aca="false">IFERROR(H47/G47,0)</f>
      </c>
      <c r="K47" s="16" t="s">
        <v>130</v>
      </c>
      <c r="L47" s="5" t="s">
        <v>103</v>
      </c>
    </row>
    <row r="48" customFormat="false" ht="13.5" hidden="false" customHeight="true" outlineLevel="0" collapsed="false">
      <c r="A48" s="5" t="s">
        <v>128</v>
      </c>
      <c r="B48" s="5" t="s">
        <v>53</v>
      </c>
      <c r="C48" s="5" t="s">
        <v>85</v>
      </c>
      <c r="D48" s="5" t="s">
        <v>59</v>
      </c>
      <c r="E48" s="5" t="s">
        <v>106</v>
      </c>
      <c r="F48" s="5" t="s">
        <v>107</v>
      </c>
      <c r="G48" s="6" t="n">
        <v>7</v>
      </c>
      <c r="H48" s="6" t="n">
        <v>7</v>
      </c>
      <c r="I48" s="6" t="n">
        <v>0</v>
      </c>
      <c r="J48" s="15" t="n">
        <f aca="false">IFERROR(H48/G48,0)</f>
      </c>
      <c r="K48" s="16"/>
      <c r="L48" s="5" t="s">
        <v>103</v>
      </c>
    </row>
    <row r="49" customFormat="false" ht="13.5" hidden="false" customHeight="true" outlineLevel="0" collapsed="false">
      <c r="A49" s="5" t="s">
        <v>129</v>
      </c>
      <c r="B49" s="5" t="s">
        <v>53</v>
      </c>
      <c r="C49" s="5" t="s">
        <v>85</v>
      </c>
      <c r="D49" s="5" t="s">
        <v>59</v>
      </c>
      <c r="E49" s="5" t="s">
        <v>106</v>
      </c>
      <c r="F49" s="5" t="s">
        <v>107</v>
      </c>
      <c r="G49" s="6" t="n">
        <v>29</v>
      </c>
      <c r="H49" s="6" t="n">
        <v>29</v>
      </c>
      <c r="I49" s="6" t="n">
        <v>0</v>
      </c>
      <c r="J49" s="15" t="n">
        <f aca="false">IFERROR(H49/G49,0)</f>
      </c>
      <c r="K49" s="16"/>
      <c r="L49" s="5" t="s">
        <v>103</v>
      </c>
    </row>
    <row r="50" customFormat="false" ht="13.5" hidden="false" customHeight="true" outlineLevel="0" collapsed="false">
      <c r="A50" s="5" t="s">
        <v>87</v>
      </c>
      <c r="B50" s="5" t="s">
        <v>77</v>
      </c>
      <c r="C50" s="5" t="s">
        <v>80</v>
      </c>
      <c r="D50" s="5" t="s">
        <v>81</v>
      </c>
      <c r="E50" s="5" t="s">
        <v>100</v>
      </c>
      <c r="F50" s="5" t="s">
        <v>125</v>
      </c>
      <c r="G50" s="6" t="n">
        <v>7</v>
      </c>
      <c r="H50" s="6" t="n">
        <v>7</v>
      </c>
      <c r="I50" s="6" t="n">
        <v>0</v>
      </c>
      <c r="J50" s="15" t="n">
        <f aca="false">IFERROR(H50/G50,0)</f>
      </c>
      <c r="K50" s="16"/>
      <c r="L50" s="5" t="s">
        <v>127</v>
      </c>
    </row>
    <row r="51" customFormat="false" hidden="false" outlineLevel="0" collapsed="false" ht="13.5" customHeight="true">
      <c r="A51" s="5" t="inlineStr">
        <is>
          <t xml:space="preserve">2026-06-08</t>
        </is>
      </c>
      <c r="B51" s="5" t="inlineStr">
        <is>
          <t xml:space="preserve">Martins</t>
        </is>
      </c>
      <c r="C51" s="5" t="inlineStr">
        <is>
          <t xml:space="preserve">5502428786</t>
        </is>
      </c>
      <c r="D51" s="5" t="inlineStr">
        <is>
          <t xml:space="preserve">666541</t>
        </is>
      </c>
      <c r="E51" s="5" t="inlineStr">
        <is>
          <t xml:space="preserve">Intact</t>
        </is>
      </c>
      <c r="F51" s="5" t="inlineStr">
        <is>
          <t xml:space="preserve">Tiss, porcine, fem, Pelvic block, intact</t>
        </is>
      </c>
      <c r="G51" s="6" t="n">
        <v>17</v>
      </c>
      <c r="H51" s="6" t="n">
        <v>16</v>
      </c>
      <c r="I51" s="6" t="n">
        <v>1</v>
      </c>
      <c r="J51" s="15" t="n">
        <f aca="false">IFERROR(H51/G51,0)</f>
      </c>
      <c r="K51" s="16" t="inlineStr">
        <is>
          <t xml:space="preserve">1 cut urethra</t>
        </is>
      </c>
      <c r="L51" s="5" t="inlineStr">
        <is>
          <t xml:space="preserve">Toni Cruz / Jesus</t>
        </is>
      </c>
    </row>
    <row r="52" customFormat="false" hidden="false" outlineLevel="0" collapsed="false" ht="13.5" customHeight="true">
      <c r="A52" s="5" t="inlineStr">
        <is>
          <t xml:space="preserve">2026-06-08</t>
        </is>
      </c>
      <c r="B52" s="5" t="inlineStr">
        <is>
          <t xml:space="preserve">Martins</t>
        </is>
      </c>
      <c r="C52" s="5" t="inlineStr">
        <is>
          <t xml:space="preserve">5502428782</t>
        </is>
      </c>
      <c r="D52" s="5" t="inlineStr">
        <is>
          <t xml:space="preserve">666506</t>
        </is>
      </c>
      <c r="E52" s="5" t="inlineStr">
        <is>
          <t xml:space="preserve">Non-intact</t>
        </is>
      </c>
      <c r="F52" s="5" t="inlineStr">
        <is>
          <t xml:space="preserve">Tiss, porcine, fem, Pelvic block, non-intact</t>
        </is>
      </c>
      <c r="G52" s="6" t="n">
        <v>13</v>
      </c>
      <c r="H52" s="6" t="n">
        <v>12</v>
      </c>
      <c r="I52" s="6" t="n">
        <v>1</v>
      </c>
      <c r="J52" s="15" t="n">
        <f aca="false">IFERROR(H52/G52,0)</f>
      </c>
      <c r="K52" s="16" t="inlineStr">
        <is>
          <t xml:space="preserve">1 short block</t>
        </is>
      </c>
      <c r="L52" s="5" t="inlineStr">
        <is>
          <t xml:space="preserve">Toni Cruz / Jesus</t>
        </is>
      </c>
    </row>
    <row r="53" customFormat="false" hidden="false" outlineLevel="0" collapsed="false" ht="27.0" customHeight="true">
      <c r="A53" s="5" t="inlineStr">
        <is>
          <t xml:space="preserve">2026-06-15</t>
        </is>
      </c>
      <c r="B53" s="5" t="inlineStr">
        <is>
          <t xml:space="preserve">Martins</t>
        </is>
      </c>
      <c r="C53" s="5" t="inlineStr">
        <is>
          <t xml:space="preserve">5502462845</t>
        </is>
      </c>
      <c r="D53" s="5" t="inlineStr">
        <is>
          <t xml:space="preserve">666541</t>
        </is>
      </c>
      <c r="E53" s="5" t="inlineStr">
        <is>
          <t xml:space="preserve">Intact</t>
        </is>
      </c>
      <c r="F53" s="5" t="inlineStr">
        <is>
          <t xml:space="preserve">Tiss, porcine, fem, Pelvic block, intact</t>
        </is>
      </c>
      <c r="G53" s="6" t="n">
        <v>31</v>
      </c>
      <c r="H53" s="6" t="n">
        <v>30</v>
      </c>
      <c r="I53" s="6" t="n">
        <v>1</v>
      </c>
      <c r="J53" s="15" t="n">
        <f aca="false">IFERROR(H53/G53,0)</f>
      </c>
      <c r="K53" s="16" t="inlineStr">
        <is>
          <t xml:space="preserve">1 damaged bowel (source had two intact tally lines: 13/12/1 + 18/18/0, combined here)</t>
        </is>
      </c>
      <c r="L53" s="5" t="inlineStr">
        <is>
          <t xml:space="preserve">Toni Cruz / Jesus</t>
        </is>
      </c>
    </row>
    <row r="54" customFormat="false" hidden="false" outlineLevel="0" collapsed="false" ht="40.5" customHeight="true">
      <c r="A54" s="5" t="inlineStr">
        <is>
          <t xml:space="preserve">2026-06-16</t>
        </is>
      </c>
      <c r="B54" s="5" t="inlineStr">
        <is>
          <t xml:space="preserve">Parks Family Meats</t>
        </is>
      </c>
      <c r="C54" s="5" t="inlineStr">
        <is>
          <t xml:space="preserve">(no batch data)</t>
        </is>
      </c>
      <c r="D54" s="5" t="inlineStr">
        <is>
          <t xml:space="preserve">666518</t>
        </is>
      </c>
      <c r="E54" s="5" t="inlineStr">
        <is>
          <t xml:space="preserve">Intact</t>
        </is>
      </c>
      <c r="F54" s="5" t="inlineStr">
        <is>
          <t xml:space="preserve">Tiss, porcine, fem, Pelvic block, intact, SM</t>
        </is>
      </c>
      <c r="G54" s="6" t="n">
        <v>16</v>
      </c>
      <c r="H54" s="6" t="n">
        <v>14</v>
      </c>
      <c r="I54" s="6" t="n">
        <v>2</v>
      </c>
      <c r="J54" s="15" t="n">
        <f aca="false">IFERROR(H54/G54,0)</f>
      </c>
      <c r="K54" s="16" t="inlineStr">
        <is>
          <t xml:space="preserve">1 bladder hole; 1 ureter damage (many blocks failed upstream from miscuts during removal — see notes)</t>
        </is>
      </c>
      <c r="L54" s="5" t="inlineStr">
        <is>
          <t xml:space="preserve">Rasmin Mujanovic / Natalie</t>
        </is>
      </c>
    </row>
    <row r="55" customFormat="false" hidden="false" outlineLevel="0" collapsed="false" ht="13.5" customHeight="true">
      <c r="A55" s="5" t="inlineStr">
        <is>
          <t xml:space="preserve">2026-06-24</t>
        </is>
      </c>
      <c r="B55" s="5" t="inlineStr">
        <is>
          <t xml:space="preserve">Martins</t>
        </is>
      </c>
      <c r="C55" s="5" t="inlineStr">
        <is>
          <t xml:space="preserve">5502462845</t>
        </is>
      </c>
      <c r="D55" s="5" t="inlineStr">
        <is>
          <t xml:space="preserve">666541</t>
        </is>
      </c>
      <c r="E55" s="5" t="inlineStr">
        <is>
          <t xml:space="preserve">Intact</t>
        </is>
      </c>
      <c r="F55" s="5" t="inlineStr">
        <is>
          <t xml:space="preserve">Tiss, porcine, fem, Pelvic block, intact</t>
        </is>
      </c>
      <c r="G55" s="6" t="n">
        <v>34</v>
      </c>
      <c r="H55" s="6" t="n">
        <v>30</v>
      </c>
      <c r="I55" s="6" t="n">
        <v>4</v>
      </c>
      <c r="J55" s="15" t="n">
        <f aca="false">IFERROR(H55/G55,0)</f>
      </c>
      <c r="K55" s="16" t="inlineStr">
        <is>
          <t xml:space="preserve">1 damaged bladder; 3 damaged membrane</t>
        </is>
      </c>
      <c r="L55" s="5" t="inlineStr">
        <is>
          <t xml:space="preserve">Toni Cruz / Jesus</t>
        </is>
      </c>
    </row>
    <row r="56" customFormat="false" hidden="false" outlineLevel="0" collapsed="false" ht="27.0" customHeight="true">
      <c r="A56" s="5" t="inlineStr">
        <is>
          <t xml:space="preserve">2026-06-22</t>
        </is>
      </c>
      <c r="B56" s="5" t="inlineStr">
        <is>
          <t xml:space="preserve">Parks Family Meats</t>
        </is>
      </c>
      <c r="C56" s="5" t="inlineStr">
        <is>
          <t xml:space="preserve">(no batch data)</t>
        </is>
      </c>
      <c r="D56" s="5" t="inlineStr">
        <is>
          <t xml:space="preserve">666518</t>
        </is>
      </c>
      <c r="E56" s="5" t="inlineStr">
        <is>
          <t xml:space="preserve">Intact</t>
        </is>
      </c>
      <c r="F56" s="5" t="inlineStr">
        <is>
          <t xml:space="preserve">Tiss, porcine, fem, Pelvic block, intact, SM</t>
        </is>
      </c>
      <c r="G56" s="6" t="n">
        <v>36</v>
      </c>
      <c r="H56" s="6" t="n">
        <v>31</v>
      </c>
      <c r="I56" s="6" t="n">
        <v>5</v>
      </c>
      <c r="J56" s="15" t="n">
        <f aca="false">IFERROR(H56/G56,0)</f>
      </c>
      <c r="K56" s="16" t="inlineStr">
        <is>
          <t xml:space="preserve">1 bladder hole; 2 critical-area lacerations; 2 short blocks</t>
        </is>
      </c>
      <c r="L56" s="5" t="inlineStr">
        <is>
          <t xml:space="preserve">Rasmin Mujanovic / Natalie</t>
        </is>
      </c>
    </row>
    <row r="57" customFormat="false" hidden="false" outlineLevel="0" collapsed="false" ht="27.0" customHeight="true">
      <c r="A57" s="5" t="inlineStr">
        <is>
          <t xml:space="preserve">2026-06-25</t>
        </is>
      </c>
      <c r="B57" s="5" t="inlineStr">
        <is>
          <t xml:space="preserve">Parks Family Meats</t>
        </is>
      </c>
      <c r="C57" s="5" t="inlineStr">
        <is>
          <t xml:space="preserve">(no batch data)</t>
        </is>
      </c>
      <c r="D57" s="5" t="inlineStr">
        <is>
          <t xml:space="preserve">666518</t>
        </is>
      </c>
      <c r="E57" s="5" t="inlineStr">
        <is>
          <t xml:space="preserve">Intact</t>
        </is>
      </c>
      <c r="F57" s="5" t="inlineStr">
        <is>
          <t xml:space="preserve">Tiss, porcine, fem, Pelvic block, intact, SM</t>
        </is>
      </c>
      <c r="G57" s="6" t="n">
        <v>19</v>
      </c>
      <c r="H57" s="6" t="n">
        <v>16</v>
      </c>
      <c r="I57" s="6" t="n">
        <v>3</v>
      </c>
      <c r="J57" s="15" t="n">
        <f aca="false">IFERROR(H57/G57,0)</f>
      </c>
      <c r="K57" s="16" t="inlineStr">
        <is>
          <t xml:space="preserve">1 bladder hole; 1 ureter laceration; 1 short block</t>
        </is>
      </c>
      <c r="L57" s="5" t="inlineStr">
        <is>
          <t xml:space="preserve">Rasmin Mujanovic / Natalie</t>
        </is>
      </c>
    </row>
    <row r="58" customFormat="false" hidden="false" outlineLevel="0" collapsed="false" ht="13.5" customHeight="true">
      <c r="A58" s="5" t="inlineStr">
        <is>
          <t xml:space="preserve">2026-06-29</t>
        </is>
      </c>
      <c r="B58" s="5" t="inlineStr">
        <is>
          <t xml:space="preserve">Martins</t>
        </is>
      </c>
      <c r="C58" s="5" t="inlineStr">
        <is>
          <t xml:space="preserve">5502471460</t>
        </is>
      </c>
      <c r="D58" s="5" t="inlineStr">
        <is>
          <t xml:space="preserve">666541</t>
        </is>
      </c>
      <c r="E58" s="5" t="inlineStr">
        <is>
          <t xml:space="preserve">Intact</t>
        </is>
      </c>
      <c r="F58" s="5" t="inlineStr">
        <is>
          <t xml:space="preserve">Tiss, porcine, fem, Pelvic block, intact</t>
        </is>
      </c>
      <c r="G58" s="6" t="n">
        <v>16</v>
      </c>
      <c r="H58" s="6" t="n">
        <v>16</v>
      </c>
      <c r="I58" s="6" t="n">
        <v>0</v>
      </c>
      <c r="J58" s="15" t="n">
        <f aca="false">IFERROR(H58/G58,0)</f>
      </c>
      <c r="K58" s="16" t="inlineStr">
        <is>
          <t xml:space="preserve"/>
        </is>
      </c>
      <c r="L58" s="5" t="inlineStr">
        <is>
          <t xml:space="preserve">Toni Cruz / Jesus</t>
        </is>
      </c>
    </row>
    <row r="59" customFormat="false" hidden="false" outlineLevel="0" collapsed="false" ht="13.5" customHeight="true">
      <c r="A59" s="5" t="inlineStr">
        <is>
          <t xml:space="preserve">2026-06-29</t>
        </is>
      </c>
      <c r="B59" s="5" t="inlineStr">
        <is>
          <t xml:space="preserve">Martins</t>
        </is>
      </c>
      <c r="C59" s="5" t="inlineStr">
        <is>
          <t xml:space="preserve">5502471457</t>
        </is>
      </c>
      <c r="D59" s="5" t="inlineStr">
        <is>
          <t xml:space="preserve">666506</t>
        </is>
      </c>
      <c r="E59" s="5" t="inlineStr">
        <is>
          <t xml:space="preserve">Non-intact</t>
        </is>
      </c>
      <c r="F59" s="5" t="inlineStr">
        <is>
          <t xml:space="preserve">Tiss, porcine, fem, Pelvic block, non-intact</t>
        </is>
      </c>
      <c r="G59" s="6" t="n">
        <v>4</v>
      </c>
      <c r="H59" s="6" t="n">
        <v>4</v>
      </c>
      <c r="I59" s="6" t="n">
        <v>0</v>
      </c>
      <c r="J59" s="15" t="n">
        <f aca="false">IFERROR(H59/G59,0)</f>
      </c>
      <c r="K59" s="16" t="inlineStr">
        <is>
          <t xml:space="preserve"/>
        </is>
      </c>
      <c r="L59" s="5" t="inlineStr">
        <is>
          <t xml:space="preserve">Toni Cruz / Jesus</t>
        </is>
      </c>
    </row>
    <row r="60" customFormat="false" hidden="false" outlineLevel="0" collapsed="false" ht="54.0" customHeight="true">
      <c r="A60" s="5" t="inlineStr">
        <is>
          <t xml:space="preserve">2026-06-29</t>
        </is>
      </c>
      <c r="B60" s="5" t="inlineStr">
        <is>
          <t xml:space="preserve">Parks Family Meats</t>
        </is>
      </c>
      <c r="C60" s="5" t="inlineStr">
        <is>
          <t xml:space="preserve">(no batch data)</t>
        </is>
      </c>
      <c r="D60" s="5" t="inlineStr">
        <is>
          <t xml:space="preserve">666518</t>
        </is>
      </c>
      <c r="E60" s="5" t="inlineStr">
        <is>
          <t xml:space="preserve">Intact</t>
        </is>
      </c>
      <c r="F60" s="5" t="inlineStr">
        <is>
          <t xml:space="preserve">Tiss, porcine, fem, Pelvic block, intact, SM</t>
        </is>
      </c>
      <c r="G60" s="6" t="n">
        <v>50</v>
      </c>
      <c r="H60" s="6" t="n">
        <v>38</v>
      </c>
      <c r="I60" s="6" t="n">
        <v>12</v>
      </c>
      <c r="J60" s="15" t="n">
        <f aca="false">IFERROR(H60/G60,0)</f>
      </c>
      <c r="K60" s="16" t="inlineStr">
        <is>
          <t xml:space="preserve">2 damaged during bowel cleaning (bowel blockage burst); 2 short blocks; 1 critical-area laceration; 7 urethra/bladder lacerations (cuts near template edge)</t>
        </is>
      </c>
      <c r="L60" s="5" t="inlineStr">
        <is>
          <t xml:space="preserve">Rasmin Mujanovic / Natalie</t>
        </is>
      </c>
    </row>
    <row r="61" customFormat="false" hidden="false" outlineLevel="0" collapsed="false" ht="13.5" customHeight="true">
      <c r="A61" s="5" t="inlineStr">
        <is>
          <t xml:space="preserve">2026-07-06</t>
        </is>
      </c>
      <c r="B61" s="5" t="inlineStr">
        <is>
          <t xml:space="preserve">Martins</t>
        </is>
      </c>
      <c r="C61" s="5" t="inlineStr">
        <is>
          <t xml:space="preserve">5502471460</t>
        </is>
      </c>
      <c r="D61" s="5" t="inlineStr">
        <is>
          <t xml:space="preserve">666541</t>
        </is>
      </c>
      <c r="E61" s="5" t="inlineStr">
        <is>
          <t xml:space="preserve">Intact</t>
        </is>
      </c>
      <c r="F61" s="5" t="inlineStr">
        <is>
          <t xml:space="preserve">Tiss, porcine, fem, Pelvic block, intact</t>
        </is>
      </c>
      <c r="G61" s="6" t="n">
        <v>12</v>
      </c>
      <c r="H61" s="6" t="n">
        <v>11</v>
      </c>
      <c r="I61" s="6" t="n">
        <v>1</v>
      </c>
      <c r="J61" s="15" t="n">
        <f aca="false">IFERROR(H61/G61,0)</f>
      </c>
      <c r="K61" s="16" t="inlineStr">
        <is>
          <t xml:space="preserve">1 damaged urethra</t>
        </is>
      </c>
      <c r="L61" s="5" t="inlineStr">
        <is>
          <t xml:space="preserve">Toni Cruz / Jesus</t>
        </is>
      </c>
    </row>
    <row r="62" customFormat="false" hidden="false" outlineLevel="0" collapsed="false" ht="13.5" customHeight="true">
      <c r="A62" s="5" t="inlineStr">
        <is>
          <t xml:space="preserve">2026-07-06</t>
        </is>
      </c>
      <c r="B62" s="5" t="inlineStr">
        <is>
          <t xml:space="preserve">Martins</t>
        </is>
      </c>
      <c r="C62" s="5" t="inlineStr">
        <is>
          <t xml:space="preserve">5502471457</t>
        </is>
      </c>
      <c r="D62" s="5" t="inlineStr">
        <is>
          <t xml:space="preserve">666506</t>
        </is>
      </c>
      <c r="E62" s="5" t="inlineStr">
        <is>
          <t xml:space="preserve">Non-intact</t>
        </is>
      </c>
      <c r="F62" s="5" t="inlineStr">
        <is>
          <t xml:space="preserve">Tiss, porcine, fem, Pelvic block, non-intact</t>
        </is>
      </c>
      <c r="G62" s="6" t="n">
        <v>10</v>
      </c>
      <c r="H62" s="6" t="n">
        <v>9</v>
      </c>
      <c r="I62" s="6" t="n">
        <v>1</v>
      </c>
      <c r="J62" s="15" t="n">
        <f aca="false">IFERROR(H62/G62,0)</f>
      </c>
      <c r="K62" s="16" t="inlineStr">
        <is>
          <t xml:space="preserve">1 membrane damage larger than 1.5"</t>
        </is>
      </c>
      <c r="L62" s="5" t="inlineStr">
        <is>
          <t xml:space="preserve">Toni Cruz / Jesus</t>
        </is>
      </c>
    </row>
    <row r="63" customFormat="false" hidden="false" outlineLevel="0" collapsed="false" ht="13.5" customHeight="true">
      <c r="A63" s="5" t="inlineStr">
        <is>
          <t xml:space="preserve">2026-07-13</t>
        </is>
      </c>
      <c r="B63" s="5" t="inlineStr">
        <is>
          <t xml:space="preserve">Martins</t>
        </is>
      </c>
      <c r="C63" s="5" t="inlineStr">
        <is>
          <t xml:space="preserve">5502495107</t>
        </is>
      </c>
      <c r="D63" s="5" t="inlineStr">
        <is>
          <t xml:space="preserve">666541</t>
        </is>
      </c>
      <c r="E63" s="5" t="inlineStr">
        <is>
          <t xml:space="preserve">Intact</t>
        </is>
      </c>
      <c r="F63" s="5" t="inlineStr">
        <is>
          <t xml:space="preserve">Tiss, porcine, fem, Pelvic block, intact</t>
        </is>
      </c>
      <c r="G63" s="6" t="n">
        <v>38</v>
      </c>
      <c r="H63" s="6" t="n">
        <v>36</v>
      </c>
      <c r="I63" s="6" t="n">
        <v>2</v>
      </c>
      <c r="J63" s="15" t="n">
        <f aca="false">IFERROR(H63/G63,0)</f>
      </c>
      <c r="K63" s="16" t="inlineStr">
        <is>
          <t xml:space="preserve">1 damaged membrane; 1 damaged bladder</t>
        </is>
      </c>
      <c r="L63" s="5" t="inlineStr">
        <is>
          <t xml:space="preserve">Toni Cruz / Jesus</t>
        </is>
      </c>
    </row>
    <row r="64" customFormat="false" hidden="false" outlineLevel="0" collapsed="false" ht="13.5" customHeight="true">
      <c r="A64" s="5" t="inlineStr">
        <is>
          <t xml:space="preserve">2026-07-13</t>
        </is>
      </c>
      <c r="B64" s="5" t="inlineStr">
        <is>
          <t xml:space="preserve">Martins</t>
        </is>
      </c>
      <c r="C64" s="5" t="inlineStr">
        <is>
          <t xml:space="preserve">5502495104</t>
        </is>
      </c>
      <c r="D64" s="5" t="inlineStr">
        <is>
          <t xml:space="preserve">666506</t>
        </is>
      </c>
      <c r="E64" s="5" t="inlineStr">
        <is>
          <t xml:space="preserve">Non-intact</t>
        </is>
      </c>
      <c r="F64" s="5" t="inlineStr">
        <is>
          <t xml:space="preserve">Tiss, porcine, fem, Pelvic block, non-intact</t>
        </is>
      </c>
      <c r="G64" s="6" t="n">
        <v>14</v>
      </c>
      <c r="H64" s="6" t="n">
        <v>14</v>
      </c>
      <c r="I64" s="6" t="n">
        <v>0</v>
      </c>
      <c r="J64" s="15" t="n">
        <f aca="false">IFERROR(H64/G64,0)</f>
      </c>
      <c r="K64" s="16" t="inlineStr">
        <is>
          <t xml:space="preserve"/>
        </is>
      </c>
      <c r="L64" s="5" t="inlineStr">
        <is>
          <t xml:space="preserve">Toni Cruz / Jesus</t>
        </is>
      </c>
    </row>
    <row r="65" customFormat="false" hidden="false" outlineLevel="0" collapsed="false" ht="27.0" customHeight="true">
      <c r="A65" s="5" t="inlineStr">
        <is>
          <t xml:space="preserve">2026-07-13</t>
        </is>
      </c>
      <c r="B65" s="5" t="inlineStr">
        <is>
          <t xml:space="preserve">Parks Family Meats</t>
        </is>
      </c>
      <c r="C65" s="5" t="inlineStr">
        <is>
          <t xml:space="preserve">(no batch data)</t>
        </is>
      </c>
      <c r="D65" s="5" t="inlineStr">
        <is>
          <t xml:space="preserve">666518</t>
        </is>
      </c>
      <c r="E65" s="5" t="inlineStr">
        <is>
          <t xml:space="preserve">Intact</t>
        </is>
      </c>
      <c r="F65" s="5" t="inlineStr">
        <is>
          <t xml:space="preserve">Tiss, porcine, fem, Pelvic block, intact, SM</t>
        </is>
      </c>
      <c r="G65" s="6" t="n">
        <v>34</v>
      </c>
      <c r="H65" s="6" t="n">
        <v>29</v>
      </c>
      <c r="I65" s="6" t="n">
        <v>5</v>
      </c>
      <c r="J65" s="15" t="n">
        <f aca="false">IFERROR(H65/G65,0)</f>
      </c>
      <c r="K65" s="16" t="inlineStr">
        <is>
          <t xml:space="preserve">2 damaged during bowel cleaning (bowel blockage burst); 3 short blocks (smaller pigs)</t>
        </is>
      </c>
      <c r="L65" s="5" t="inlineStr">
        <is>
          <t xml:space="preserve">Rasmin Mujanovic / Natalie</t>
        </is>
      </c>
    </row>
    <row r="67" customFormat="false" ht="21.75" hidden="false" customHeight="true" outlineLevel="0" collapsed="false">
      <c r="A67" s="3" t="s">
        <v>131</v>
      </c>
      <c r="B67" s="3"/>
      <c r="C67" s="3"/>
      <c r="D67" s="3"/>
      <c r="E67" s="3"/>
      <c r="F67" s="3"/>
      <c r="G67" s="3"/>
      <c r="H67" s="3"/>
      <c r="I67" s="3"/>
      <c r="J67" s="3"/>
      <c r="K67" s="3"/>
      <c r="L67" s="3"/>
    </row>
    <row r="68" customFormat="false" ht="28.5" hidden="false" customHeight="true" outlineLevel="0" collapsed="false">
      <c r="A68" s="11" t="s">
        <v>90</v>
      </c>
      <c r="B68" s="11" t="s">
        <v>91</v>
      </c>
      <c r="C68" s="11" t="s">
        <v>92</v>
      </c>
      <c r="D68" s="11" t="s">
        <v>44</v>
      </c>
      <c r="E68" s="11" t="s">
        <v>132</v>
      </c>
      <c r="F68" s="11" t="s">
        <v>94</v>
      </c>
      <c r="G68" s="11" t="s">
        <v>95</v>
      </c>
      <c r="H68" s="11" t="s">
        <v>96</v>
      </c>
      <c r="I68" s="11" t="s">
        <v>97</v>
      </c>
    </row>
    <row r="69" customFormat="false" ht="13.5" hidden="false" customHeight="true" outlineLevel="0" collapsed="false">
      <c r="A69" s="12" t="s">
        <v>57</v>
      </c>
      <c r="B69" s="12" t="s">
        <v>59</v>
      </c>
      <c r="C69" s="12" t="s">
        <v>106</v>
      </c>
      <c r="D69" s="12" t="s">
        <v>53</v>
      </c>
      <c r="E69" s="12" t="s">
        <v>52</v>
      </c>
      <c r="F69" s="6" t="n">
        <v>7</v>
      </c>
      <c r="G69" s="6" t="n">
        <v>7</v>
      </c>
      <c r="H69" s="6" t="n">
        <v>0</v>
      </c>
      <c r="I69" s="15" t="n">
        <f aca="false">IFERROR(G69/F69,0)</f>
      </c>
    </row>
    <row r="70" customFormat="false" ht="13.5" hidden="false" customHeight="true" outlineLevel="0" collapsed="false">
      <c r="A70" s="12" t="s">
        <v>56</v>
      </c>
      <c r="B70" s="12" t="s">
        <v>58</v>
      </c>
      <c r="C70" s="12" t="s">
        <v>100</v>
      </c>
      <c r="D70" s="12" t="s">
        <v>53</v>
      </c>
      <c r="E70" s="12" t="s">
        <v>52</v>
      </c>
      <c r="F70" s="6" t="n">
        <v>65</v>
      </c>
      <c r="G70" s="6" t="n">
        <v>60</v>
      </c>
      <c r="H70" s="6" t="n">
        <v>5</v>
      </c>
      <c r="I70" s="15" t="n">
        <f aca="false">IFERROR(G70/F70,0)</f>
      </c>
    </row>
    <row r="71" customFormat="false" ht="13.5" hidden="false" customHeight="true" outlineLevel="0" collapsed="false">
      <c r="A71" s="12" t="s">
        <v>63</v>
      </c>
      <c r="B71" s="12" t="s">
        <v>59</v>
      </c>
      <c r="C71" s="12" t="s">
        <v>106</v>
      </c>
      <c r="D71" s="12" t="s">
        <v>53</v>
      </c>
      <c r="E71" s="12" t="s">
        <v>61</v>
      </c>
      <c r="F71" s="6" t="n">
        <v>52</v>
      </c>
      <c r="G71" s="6" t="n">
        <v>48</v>
      </c>
      <c r="H71" s="6" t="n">
        <v>4</v>
      </c>
      <c r="I71" s="15" t="n">
        <f aca="false">IFERROR(G71/F71,0)</f>
      </c>
    </row>
    <row r="72" customFormat="false" ht="13.5" hidden="false" customHeight="true" outlineLevel="0" collapsed="false">
      <c r="A72" s="12" t="s">
        <v>62</v>
      </c>
      <c r="B72" s="12" t="s">
        <v>58</v>
      </c>
      <c r="C72" s="12" t="s">
        <v>100</v>
      </c>
      <c r="D72" s="12" t="s">
        <v>53</v>
      </c>
      <c r="E72" s="12" t="s">
        <v>61</v>
      </c>
      <c r="F72" s="6" t="n">
        <v>57</v>
      </c>
      <c r="G72" s="6" t="n">
        <v>56</v>
      </c>
      <c r="H72" s="6" t="n">
        <v>1</v>
      </c>
      <c r="I72" s="15" t="n">
        <f aca="false">IFERROR(G72/F72,0)</f>
      </c>
    </row>
    <row r="73" customFormat="false" ht="13.5" hidden="false" customHeight="true" outlineLevel="0" collapsed="false">
      <c r="A73" s="12" t="s">
        <v>67</v>
      </c>
      <c r="B73" s="12" t="s">
        <v>59</v>
      </c>
      <c r="C73" s="12" t="s">
        <v>106</v>
      </c>
      <c r="D73" s="12" t="s">
        <v>53</v>
      </c>
      <c r="E73" s="12" t="s">
        <v>65</v>
      </c>
      <c r="F73" s="6" t="n">
        <v>45</v>
      </c>
      <c r="G73" s="6" t="n">
        <v>41</v>
      </c>
      <c r="H73" s="6" t="n">
        <v>4</v>
      </c>
      <c r="I73" s="15" t="n">
        <f aca="false">IFERROR(G73/F73,0)</f>
      </c>
    </row>
    <row r="74" customFormat="false" ht="13.5" hidden="false" customHeight="true" outlineLevel="0" collapsed="false">
      <c r="A74" s="12" t="s">
        <v>66</v>
      </c>
      <c r="B74" s="12" t="s">
        <v>58</v>
      </c>
      <c r="C74" s="12" t="s">
        <v>100</v>
      </c>
      <c r="D74" s="12" t="s">
        <v>53</v>
      </c>
      <c r="E74" s="12" t="s">
        <v>65</v>
      </c>
      <c r="F74" s="6" t="n">
        <v>62</v>
      </c>
      <c r="G74" s="6" t="n">
        <v>58</v>
      </c>
      <c r="H74" s="6" t="n">
        <v>4</v>
      </c>
      <c r="I74" s="15" t="n">
        <f aca="false">IFERROR(G74/F74,0)</f>
      </c>
    </row>
    <row r="75" customFormat="false" ht="13.5" hidden="false" customHeight="true" outlineLevel="0" collapsed="false">
      <c r="A75" s="12" t="s">
        <v>71</v>
      </c>
      <c r="B75" s="12" t="s">
        <v>59</v>
      </c>
      <c r="C75" s="12" t="s">
        <v>106</v>
      </c>
      <c r="D75" s="12" t="s">
        <v>53</v>
      </c>
      <c r="E75" s="12" t="s">
        <v>69</v>
      </c>
      <c r="F75" s="6" t="n">
        <v>73</v>
      </c>
      <c r="G75" s="6" t="n">
        <v>71</v>
      </c>
      <c r="H75" s="6" t="n">
        <v>2</v>
      </c>
      <c r="I75" s="15" t="n">
        <f aca="false">IFERROR(G75/F75,0)</f>
      </c>
    </row>
    <row r="76" customFormat="false" ht="13.5" hidden="false" customHeight="true" outlineLevel="0" collapsed="false">
      <c r="A76" s="12" t="s">
        <v>70</v>
      </c>
      <c r="B76" s="12" t="s">
        <v>58</v>
      </c>
      <c r="C76" s="12" t="s">
        <v>100</v>
      </c>
      <c r="D76" s="12" t="s">
        <v>53</v>
      </c>
      <c r="E76" s="12" t="s">
        <v>69</v>
      </c>
      <c r="F76" s="6" t="n">
        <v>93</v>
      </c>
      <c r="G76" s="6" t="n">
        <v>87</v>
      </c>
      <c r="H76" s="6" t="n">
        <v>6</v>
      </c>
      <c r="I76" s="15" t="n">
        <f aca="false">IFERROR(G76/F76,0)</f>
      </c>
    </row>
    <row r="77" customFormat="false" ht="13.5" hidden="false" customHeight="true" outlineLevel="0" collapsed="false">
      <c r="A77" s="12" t="s">
        <v>70</v>
      </c>
      <c r="B77" s="12" t="s">
        <v>58</v>
      </c>
      <c r="C77" s="12" t="s">
        <v>100</v>
      </c>
      <c r="D77" s="12" t="s">
        <v>53</v>
      </c>
      <c r="E77" s="12" t="s">
        <v>73</v>
      </c>
      <c r="F77" s="6" t="n">
        <v>39</v>
      </c>
      <c r="G77" s="6" t="n">
        <v>36</v>
      </c>
      <c r="H77" s="6" t="n">
        <v>3</v>
      </c>
      <c r="I77" s="15" t="n">
        <f aca="false">IFERROR(G77/F77,0)</f>
      </c>
    </row>
    <row r="78" customFormat="false" ht="13.5" hidden="false" customHeight="true" outlineLevel="0" collapsed="false">
      <c r="A78" s="12" t="s">
        <v>80</v>
      </c>
      <c r="B78" s="12" t="s">
        <v>81</v>
      </c>
      <c r="C78" s="12" t="s">
        <v>100</v>
      </c>
      <c r="D78" s="12" t="s">
        <v>77</v>
      </c>
      <c r="E78" s="12" t="s">
        <v>16</v>
      </c>
      <c r="F78" s="6" t="n">
        <v>16</v>
      </c>
      <c r="G78" s="6" t="n">
        <v>11</v>
      </c>
      <c r="H78" s="6" t="n">
        <v>5</v>
      </c>
      <c r="I78" s="15" t="n">
        <f aca="false">IFERROR(G78/F78,0)</f>
      </c>
    </row>
    <row r="79" customFormat="false" ht="13.5" hidden="false" customHeight="true" outlineLevel="0" collapsed="false">
      <c r="A79" s="12" t="s">
        <v>84</v>
      </c>
      <c r="B79" s="12" t="s">
        <v>58</v>
      </c>
      <c r="C79" s="12" t="s">
        <v>100</v>
      </c>
      <c r="D79" s="12" t="s">
        <v>53</v>
      </c>
      <c r="E79" s="12" t="s">
        <v>83</v>
      </c>
      <c r="F79" s="6" t="n">
        <v>54</v>
      </c>
      <c r="G79" s="6" t="n">
        <v>52</v>
      </c>
      <c r="H79" s="6" t="n">
        <v>2</v>
      </c>
      <c r="I79" s="15" t="n">
        <f aca="false">IFERROR(G79/F79,0)</f>
      </c>
    </row>
    <row r="80" customFormat="false" ht="13.5" hidden="false" customHeight="true" outlineLevel="0" collapsed="false">
      <c r="A80" s="12" t="s">
        <v>85</v>
      </c>
      <c r="B80" s="12" t="s">
        <v>59</v>
      </c>
      <c r="C80" s="12" t="s">
        <v>106</v>
      </c>
      <c r="D80" s="12" t="s">
        <v>53</v>
      </c>
      <c r="E80" s="12" t="s">
        <v>83</v>
      </c>
      <c r="F80" s="6" t="n">
        <v>36</v>
      </c>
      <c r="G80" s="6" t="n">
        <v>36</v>
      </c>
      <c r="H80" s="6" t="n">
        <v>0</v>
      </c>
      <c r="I80" s="15" t="n">
        <f aca="false">IFERROR(G80/F80,0)</f>
      </c>
    </row>
    <row r="81" customFormat="false" ht="13.5" hidden="false" customHeight="true" outlineLevel="0" collapsed="false">
      <c r="A81" s="12" t="s">
        <v>80</v>
      </c>
      <c r="B81" s="12" t="s">
        <v>81</v>
      </c>
      <c r="C81" s="12" t="s">
        <v>100</v>
      </c>
      <c r="D81" s="12" t="s">
        <v>77</v>
      </c>
      <c r="E81" s="12" t="s">
        <v>87</v>
      </c>
      <c r="F81" s="6" t="n">
        <v>7</v>
      </c>
      <c r="G81" s="6" t="n">
        <v>7</v>
      </c>
      <c r="H81" s="6" t="n">
        <v>0</v>
      </c>
      <c r="I81" s="15" t="n">
        <f aca="false">IFERROR(G81/F81,0)</f>
      </c>
    </row>
    <row r="82" customFormat="false" hidden="false" outlineLevel="0" collapsed="false" ht="13.5" customHeight="true">
      <c r="A82" s="12" t="inlineStr">
        <is>
          <t xml:space="preserve">5502428786</t>
        </is>
      </c>
      <c r="B82" s="12" t="inlineStr">
        <is>
          <t xml:space="preserve">666541</t>
        </is>
      </c>
      <c r="C82" s="12" t="inlineStr">
        <is>
          <t xml:space="preserve">Intact</t>
        </is>
      </c>
      <c r="D82" s="12" t="inlineStr">
        <is>
          <t xml:space="preserve">Martins</t>
        </is>
      </c>
      <c r="E82" s="12" t="inlineStr">
        <is>
          <t xml:space="preserve">2026-06-08</t>
        </is>
      </c>
      <c r="F82" s="6" t="n">
        <v>17</v>
      </c>
      <c r="G82" s="6" t="n">
        <v>16</v>
      </c>
      <c r="H82" s="6" t="n">
        <v>1</v>
      </c>
      <c r="I82" s="15" t="n">
        <f aca="false">IFERROR(G82/F82,0)</f>
      </c>
    </row>
    <row r="83" customFormat="false" hidden="false" outlineLevel="0" collapsed="false" ht="13.5" customHeight="true">
      <c r="A83" s="12" t="inlineStr">
        <is>
          <t xml:space="preserve">5502428782</t>
        </is>
      </c>
      <c r="B83" s="12" t="inlineStr">
        <is>
          <t xml:space="preserve">666506</t>
        </is>
      </c>
      <c r="C83" s="12" t="inlineStr">
        <is>
          <t xml:space="preserve">Non-intact</t>
        </is>
      </c>
      <c r="D83" s="12" t="inlineStr">
        <is>
          <t xml:space="preserve">Martins</t>
        </is>
      </c>
      <c r="E83" s="12" t="inlineStr">
        <is>
          <t xml:space="preserve">2026-06-08</t>
        </is>
      </c>
      <c r="F83" s="6" t="n">
        <v>13</v>
      </c>
      <c r="G83" s="6" t="n">
        <v>12</v>
      </c>
      <c r="H83" s="6" t="n">
        <v>1</v>
      </c>
      <c r="I83" s="15" t="n">
        <f aca="false">IFERROR(G83/F83,0)</f>
      </c>
    </row>
    <row r="84" customFormat="false" hidden="false" outlineLevel="0" collapsed="false" ht="13.5" customHeight="true">
      <c r="A84" s="12" t="inlineStr">
        <is>
          <t xml:space="preserve">5502462845</t>
        </is>
      </c>
      <c r="B84" s="12" t="inlineStr">
        <is>
          <t xml:space="preserve">666541</t>
        </is>
      </c>
      <c r="C84" s="12" t="inlineStr">
        <is>
          <t xml:space="preserve">Intact</t>
        </is>
      </c>
      <c r="D84" s="12" t="inlineStr">
        <is>
          <t xml:space="preserve">Martins</t>
        </is>
      </c>
      <c r="E84" s="12" t="inlineStr">
        <is>
          <t xml:space="preserve">2026-06-15</t>
        </is>
      </c>
      <c r="F84" s="6" t="n">
        <v>31</v>
      </c>
      <c r="G84" s="6" t="n">
        <v>30</v>
      </c>
      <c r="H84" s="6" t="n">
        <v>1</v>
      </c>
      <c r="I84" s="15" t="n">
        <f aca="false">IFERROR(G84/F84,0)</f>
      </c>
    </row>
    <row r="85" customFormat="false" hidden="false" outlineLevel="0" collapsed="false" ht="13.5" customHeight="true">
      <c r="A85" s="12" t="inlineStr">
        <is>
          <t xml:space="preserve">5502462845</t>
        </is>
      </c>
      <c r="B85" s="12" t="inlineStr">
        <is>
          <t xml:space="preserve">666541</t>
        </is>
      </c>
      <c r="C85" s="12" t="inlineStr">
        <is>
          <t xml:space="preserve">Intact</t>
        </is>
      </c>
      <c r="D85" s="12" t="inlineStr">
        <is>
          <t xml:space="preserve">Martins</t>
        </is>
      </c>
      <c r="E85" s="12" t="inlineStr">
        <is>
          <t xml:space="preserve">2026-06-24</t>
        </is>
      </c>
      <c r="F85" s="6" t="n">
        <v>34</v>
      </c>
      <c r="G85" s="6" t="n">
        <v>30</v>
      </c>
      <c r="H85" s="6" t="n">
        <v>4</v>
      </c>
      <c r="I85" s="15" t="n">
        <f aca="false">IFERROR(G85/F85,0)</f>
      </c>
    </row>
    <row r="86" customFormat="false" hidden="false" outlineLevel="0" collapsed="false" ht="13.5" customHeight="true">
      <c r="A86" s="12" t="inlineStr">
        <is>
          <t xml:space="preserve">(no batch data)</t>
        </is>
      </c>
      <c r="B86" s="12" t="inlineStr">
        <is>
          <t xml:space="preserve">666518</t>
        </is>
      </c>
      <c r="C86" s="12" t="inlineStr">
        <is>
          <t xml:space="preserve">Intact</t>
        </is>
      </c>
      <c r="D86" s="12" t="inlineStr">
        <is>
          <t xml:space="preserve">Parks Family Meats</t>
        </is>
      </c>
      <c r="E86" s="12" t="inlineStr">
        <is>
          <t xml:space="preserve">2026-06-16</t>
        </is>
      </c>
      <c r="F86" s="6" t="n">
        <v>16</v>
      </c>
      <c r="G86" s="6" t="n">
        <v>14</v>
      </c>
      <c r="H86" s="6" t="n">
        <v>2</v>
      </c>
      <c r="I86" s="15" t="n">
        <f aca="false">IFERROR(G86/F86,0)</f>
      </c>
    </row>
    <row r="87" customFormat="false" hidden="false" outlineLevel="0" collapsed="false" ht="13.5" customHeight="true">
      <c r="A87" s="12" t="inlineStr">
        <is>
          <t xml:space="preserve">(no batch data)</t>
        </is>
      </c>
      <c r="B87" s="12" t="inlineStr">
        <is>
          <t xml:space="preserve">666518</t>
        </is>
      </c>
      <c r="C87" s="12" t="inlineStr">
        <is>
          <t xml:space="preserve">Intact</t>
        </is>
      </c>
      <c r="D87" s="12" t="inlineStr">
        <is>
          <t xml:space="preserve">Parks Family Meats</t>
        </is>
      </c>
      <c r="E87" s="12" t="inlineStr">
        <is>
          <t xml:space="preserve">2026-06-22</t>
        </is>
      </c>
      <c r="F87" s="6" t="n">
        <v>36</v>
      </c>
      <c r="G87" s="6" t="n">
        <v>31</v>
      </c>
      <c r="H87" s="6" t="n">
        <v>5</v>
      </c>
      <c r="I87" s="15" t="n">
        <f aca="false">IFERROR(G87/F87,0)</f>
      </c>
    </row>
    <row r="88" customFormat="false" hidden="false" outlineLevel="0" collapsed="false" ht="13.5" customHeight="true">
      <c r="A88" s="12" t="inlineStr">
        <is>
          <t xml:space="preserve">(no batch data)</t>
        </is>
      </c>
      <c r="B88" s="12" t="inlineStr">
        <is>
          <t xml:space="preserve">666518</t>
        </is>
      </c>
      <c r="C88" s="12" t="inlineStr">
        <is>
          <t xml:space="preserve">Intact</t>
        </is>
      </c>
      <c r="D88" s="12" t="inlineStr">
        <is>
          <t xml:space="preserve">Parks Family Meats</t>
        </is>
      </c>
      <c r="E88" s="12" t="inlineStr">
        <is>
          <t xml:space="preserve">2026-06-25</t>
        </is>
      </c>
      <c r="F88" s="6" t="n">
        <v>19</v>
      </c>
      <c r="G88" s="6" t="n">
        <v>16</v>
      </c>
      <c r="H88" s="6" t="n">
        <v>3</v>
      </c>
      <c r="I88" s="15" t="n">
        <f aca="false">IFERROR(G88/F88,0)</f>
      </c>
    </row>
    <row r="89" customFormat="false" hidden="false" outlineLevel="0" collapsed="false" ht="13.5" customHeight="true">
      <c r="A89" s="12" t="inlineStr">
        <is>
          <t xml:space="preserve">5502471460</t>
        </is>
      </c>
      <c r="B89" s="12" t="inlineStr">
        <is>
          <t xml:space="preserve">666541</t>
        </is>
      </c>
      <c r="C89" s="12" t="inlineStr">
        <is>
          <t xml:space="preserve">Intact</t>
        </is>
      </c>
      <c r="D89" s="12" t="inlineStr">
        <is>
          <t xml:space="preserve">Martins</t>
        </is>
      </c>
      <c r="E89" s="12" t="inlineStr">
        <is>
          <t xml:space="preserve">2026-06-29</t>
        </is>
      </c>
      <c r="F89" s="6" t="n">
        <v>16</v>
      </c>
      <c r="G89" s="6" t="n">
        <v>16</v>
      </c>
      <c r="H89" s="6" t="n">
        <v>0</v>
      </c>
      <c r="I89" s="15" t="n">
        <f aca="false">IFERROR(G89/F89,0)</f>
      </c>
    </row>
    <row r="90" customFormat="false" hidden="false" outlineLevel="0" collapsed="false" ht="13.5" customHeight="true">
      <c r="A90" s="12" t="inlineStr">
        <is>
          <t xml:space="preserve">5502471457</t>
        </is>
      </c>
      <c r="B90" s="12" t="inlineStr">
        <is>
          <t xml:space="preserve">666506</t>
        </is>
      </c>
      <c r="C90" s="12" t="inlineStr">
        <is>
          <t xml:space="preserve">Non-intact</t>
        </is>
      </c>
      <c r="D90" s="12" t="inlineStr">
        <is>
          <t xml:space="preserve">Martins</t>
        </is>
      </c>
      <c r="E90" s="12" t="inlineStr">
        <is>
          <t xml:space="preserve">2026-06-29</t>
        </is>
      </c>
      <c r="F90" s="6" t="n">
        <v>4</v>
      </c>
      <c r="G90" s="6" t="n">
        <v>4</v>
      </c>
      <c r="H90" s="6" t="n">
        <v>0</v>
      </c>
      <c r="I90" s="15" t="n">
        <f aca="false">IFERROR(G90/F90,0)</f>
      </c>
    </row>
    <row r="91" customFormat="false" hidden="false" outlineLevel="0" collapsed="false" ht="13.5" customHeight="true">
      <c r="A91" s="12" t="inlineStr">
        <is>
          <t xml:space="preserve">(no batch data)</t>
        </is>
      </c>
      <c r="B91" s="12" t="inlineStr">
        <is>
          <t xml:space="preserve">666518</t>
        </is>
      </c>
      <c r="C91" s="12" t="inlineStr">
        <is>
          <t xml:space="preserve">Intact</t>
        </is>
      </c>
      <c r="D91" s="12" t="inlineStr">
        <is>
          <t xml:space="preserve">Parks Family Meats</t>
        </is>
      </c>
      <c r="E91" s="12" t="inlineStr">
        <is>
          <t xml:space="preserve">2026-06-29</t>
        </is>
      </c>
      <c r="F91" s="6" t="n">
        <v>50</v>
      </c>
      <c r="G91" s="6" t="n">
        <v>38</v>
      </c>
      <c r="H91" s="6" t="n">
        <v>12</v>
      </c>
      <c r="I91" s="15" t="n">
        <f aca="false">IFERROR(G91/F91,0)</f>
      </c>
    </row>
    <row r="92" customFormat="false" hidden="false" outlineLevel="0" collapsed="false" ht="13.5" customHeight="true">
      <c r="A92" s="12" t="inlineStr">
        <is>
          <t xml:space="preserve">5502471460</t>
        </is>
      </c>
      <c r="B92" s="12" t="inlineStr">
        <is>
          <t xml:space="preserve">666541</t>
        </is>
      </c>
      <c r="C92" s="12" t="inlineStr">
        <is>
          <t xml:space="preserve">Intact</t>
        </is>
      </c>
      <c r="D92" s="12" t="inlineStr">
        <is>
          <t xml:space="preserve">Martins</t>
        </is>
      </c>
      <c r="E92" s="12" t="inlineStr">
        <is>
          <t xml:space="preserve">2026-07-06</t>
        </is>
      </c>
      <c r="F92" s="6" t="n">
        <v>12</v>
      </c>
      <c r="G92" s="6" t="n">
        <v>11</v>
      </c>
      <c r="H92" s="6" t="n">
        <v>1</v>
      </c>
      <c r="I92" s="15" t="n">
        <f aca="false">IFERROR(G92/F92,0)</f>
      </c>
    </row>
    <row r="93" customFormat="false" hidden="false" outlineLevel="0" collapsed="false" ht="13.5" customHeight="true">
      <c r="A93" s="12" t="inlineStr">
        <is>
          <t xml:space="preserve">5502471457</t>
        </is>
      </c>
      <c r="B93" s="12" t="inlineStr">
        <is>
          <t xml:space="preserve">666506</t>
        </is>
      </c>
      <c r="C93" s="12" t="inlineStr">
        <is>
          <t xml:space="preserve">Non-intact</t>
        </is>
      </c>
      <c r="D93" s="12" t="inlineStr">
        <is>
          <t xml:space="preserve">Martins</t>
        </is>
      </c>
      <c r="E93" s="12" t="inlineStr">
        <is>
          <t xml:space="preserve">2026-07-06</t>
        </is>
      </c>
      <c r="F93" s="6" t="n">
        <v>10</v>
      </c>
      <c r="G93" s="6" t="n">
        <v>9</v>
      </c>
      <c r="H93" s="6" t="n">
        <v>1</v>
      </c>
      <c r="I93" s="15" t="n">
        <f aca="false">IFERROR(G93/F93,0)</f>
      </c>
    </row>
    <row r="94" customFormat="false" hidden="false" outlineLevel="0" collapsed="false" ht="13.5" customHeight="true">
      <c r="A94" s="12" t="inlineStr">
        <is>
          <t xml:space="preserve">5502495107</t>
        </is>
      </c>
      <c r="B94" s="12" t="inlineStr">
        <is>
          <t xml:space="preserve">666541</t>
        </is>
      </c>
      <c r="C94" s="12" t="inlineStr">
        <is>
          <t xml:space="preserve">Intact</t>
        </is>
      </c>
      <c r="D94" s="12" t="inlineStr">
        <is>
          <t xml:space="preserve">Martins</t>
        </is>
      </c>
      <c r="E94" s="12" t="inlineStr">
        <is>
          <t xml:space="preserve">2026-07-13</t>
        </is>
      </c>
      <c r="F94" s="6" t="n">
        <v>38</v>
      </c>
      <c r="G94" s="6" t="n">
        <v>36</v>
      </c>
      <c r="H94" s="6" t="n">
        <v>2</v>
      </c>
      <c r="I94" s="15" t="n">
        <f aca="false">IFERROR(G94/F94,0)</f>
      </c>
    </row>
    <row r="95" customFormat="false" hidden="false" outlineLevel="0" collapsed="false" ht="13.5" customHeight="true">
      <c r="A95" s="12" t="inlineStr">
        <is>
          <t xml:space="preserve">5502495104</t>
        </is>
      </c>
      <c r="B95" s="12" t="inlineStr">
        <is>
          <t xml:space="preserve">666506</t>
        </is>
      </c>
      <c r="C95" s="12" t="inlineStr">
        <is>
          <t xml:space="preserve">Non-intact</t>
        </is>
      </c>
      <c r="D95" s="12" t="inlineStr">
        <is>
          <t xml:space="preserve">Martins</t>
        </is>
      </c>
      <c r="E95" s="12" t="inlineStr">
        <is>
          <t xml:space="preserve">2026-07-13</t>
        </is>
      </c>
      <c r="F95" s="6" t="n">
        <v>14</v>
      </c>
      <c r="G95" s="6" t="n">
        <v>14</v>
      </c>
      <c r="H95" s="6" t="n">
        <v>0</v>
      </c>
      <c r="I95" s="15" t="n">
        <f aca="false">IFERROR(G95/F95,0)</f>
      </c>
    </row>
    <row r="96" customFormat="false" hidden="false" outlineLevel="0" collapsed="false" ht="13.5" customHeight="true">
      <c r="A96" s="12" t="inlineStr">
        <is>
          <t xml:space="preserve">(no batch data)</t>
        </is>
      </c>
      <c r="B96" s="12" t="inlineStr">
        <is>
          <t xml:space="preserve">666518</t>
        </is>
      </c>
      <c r="C96" s="12" t="inlineStr">
        <is>
          <t xml:space="preserve">Intact</t>
        </is>
      </c>
      <c r="D96" s="12" t="inlineStr">
        <is>
          <t xml:space="preserve">Parks Family Meats</t>
        </is>
      </c>
      <c r="E96" s="12" t="inlineStr">
        <is>
          <t xml:space="preserve">2026-07-13</t>
        </is>
      </c>
      <c r="F96" s="6" t="n">
        <v>34</v>
      </c>
      <c r="G96" s="6" t="n">
        <v>29</v>
      </c>
      <c r="H96" s="6" t="n">
        <v>5</v>
      </c>
      <c r="I96" s="15" t="n">
        <f aca="false">IFERROR(G96/F96,0)</f>
      </c>
    </row>
    <row r="97" customFormat="false" ht="13.5" hidden="false" customHeight="true" outlineLevel="0" collapsed="false">
      <c r="A97" s="17" t="s">
        <v>133</v>
      </c>
      <c r="B97" s="17"/>
      <c r="C97" s="17"/>
      <c r="D97" s="17"/>
      <c r="E97" s="17"/>
      <c r="F97" s="8" t="n">
        <f aca="false">SUM(F69:F96)</f>
      </c>
      <c r="G97" s="8" t="n">
        <f aca="false">SUM(G69:G96)</f>
      </c>
      <c r="H97" s="8" t="n">
        <f aca="false">SUM(H69:H96)</f>
      </c>
      <c r="I97" s="9" t="n">
        <f aca="false">IFERROR(G97/F97,0)</f>
      </c>
    </row>
    <row r="99" customFormat="false" ht="21.75" hidden="false" customHeight="true" outlineLevel="0" collapsed="false">
      <c r="A99" s="10" t="s">
        <v>134</v>
      </c>
      <c r="B99" s="10"/>
      <c r="C99" s="10"/>
      <c r="D99" s="10"/>
      <c r="E99" s="10"/>
      <c r="F99" s="10"/>
      <c r="G99" s="10"/>
      <c r="H99" s="10"/>
      <c r="I99" s="10"/>
      <c r="J99" s="10"/>
      <c r="K99" s="10"/>
      <c r="L99" s="10"/>
    </row>
    <row r="100" customFormat="false" ht="28.5" hidden="false" customHeight="true" outlineLevel="0" collapsed="false">
      <c r="A100" s="11" t="s">
        <v>90</v>
      </c>
      <c r="B100" s="11" t="s">
        <v>91</v>
      </c>
      <c r="C100" s="11" t="s">
        <v>135</v>
      </c>
      <c r="D100" s="11" t="s">
        <v>136</v>
      </c>
      <c r="E100" s="11" t="s">
        <v>137</v>
      </c>
      <c r="F100" s="11" t="s">
        <v>138</v>
      </c>
      <c r="G100" s="11" t="s">
        <v>139</v>
      </c>
      <c r="H100" s="11" t="s">
        <v>140</v>
      </c>
      <c r="I100" s="11" t="s">
        <v>141</v>
      </c>
      <c r="J100" s="11" t="s">
        <v>142</v>
      </c>
    </row>
    <row r="101" customFormat="false" ht="72" hidden="false" customHeight="true" outlineLevel="0" collapsed="false">
      <c r="A101" s="18" t="s">
        <v>56</v>
      </c>
      <c r="B101" s="18" t="s">
        <v>58</v>
      </c>
      <c r="C101" s="6" t="n">
        <v>65</v>
      </c>
      <c r="D101" s="6" t="n">
        <v>60</v>
      </c>
      <c r="E101" s="15" t="n">
        <f aca="false">IFERROR(D101/C101,0)</f>
      </c>
      <c r="F101" s="6" t="n">
        <f aca="false">SUMIFS('Receipt Summary'!F:F,'Receipt Summary'!E:E,A101)</f>
      </c>
      <c r="G101" s="6" t="n">
        <f aca="false">SUMIFS('Receipt Summary'!G:G,'Receipt Summary'!E:E,A101)</f>
      </c>
      <c r="H101" s="15" t="n">
        <f aca="false">IFERROR(G101/F101,0)</f>
      </c>
      <c r="I101" s="6" t="n">
        <f aca="false">D101-F101</f>
      </c>
      <c r="J101" s="16" t="s">
        <v>143</v>
      </c>
    </row>
    <row r="102" customFormat="false" ht="72" hidden="false" customHeight="true" outlineLevel="0" collapsed="false">
      <c r="A102" s="18" t="s">
        <v>57</v>
      </c>
      <c r="B102" s="18" t="s">
        <v>59</v>
      </c>
      <c r="C102" s="6" t="n">
        <v>7</v>
      </c>
      <c r="D102" s="6" t="n">
        <v>7</v>
      </c>
      <c r="E102" s="15" t="n">
        <f aca="false">IFERROR(D102/C102,0)</f>
      </c>
      <c r="F102" s="6" t="n">
        <f aca="false">SUMIFS('Receipt Summary'!F:F,'Receipt Summary'!E:E,A102)</f>
      </c>
      <c r="G102" s="6" t="n">
        <f aca="false">SUMIFS('Receipt Summary'!G:G,'Receipt Summary'!E:E,A102)</f>
      </c>
      <c r="H102" s="15" t="n">
        <f aca="false">IFERROR(G102/F102,0)</f>
      </c>
      <c r="I102" s="6" t="n">
        <f aca="false">D102-F102</f>
      </c>
      <c r="J102" s="16" t="s">
        <v>144</v>
      </c>
    </row>
    <row r="103" customFormat="false" ht="72" hidden="false" customHeight="true" outlineLevel="0" collapsed="false">
      <c r="A103" s="18" t="s">
        <v>62</v>
      </c>
      <c r="B103" s="18" t="s">
        <v>58</v>
      </c>
      <c r="C103" s="6" t="n">
        <v>57</v>
      </c>
      <c r="D103" s="6" t="n">
        <v>56</v>
      </c>
      <c r="E103" s="15" t="n">
        <f aca="false">IFERROR(D103/C103,0)</f>
      </c>
      <c r="F103" s="6" t="n">
        <f aca="false">SUMIFS('Receipt Summary'!F:F,'Receipt Summary'!E:E,A103)</f>
      </c>
      <c r="G103" s="6" t="n">
        <f aca="false">SUMIFS('Receipt Summary'!G:G,'Receipt Summary'!E:E,A103)</f>
      </c>
      <c r="H103" s="15" t="n">
        <f aca="false">IFERROR(G103/F103,0)</f>
      </c>
      <c r="I103" s="6" t="n">
        <f aca="false">D103-F103</f>
      </c>
      <c r="J103" s="16" t="s">
        <v>145</v>
      </c>
    </row>
    <row r="104" customFormat="false" ht="72" hidden="false" customHeight="true" outlineLevel="0" collapsed="false">
      <c r="A104" s="18" t="s">
        <v>63</v>
      </c>
      <c r="B104" s="18" t="s">
        <v>59</v>
      </c>
      <c r="C104" s="6" t="n">
        <v>52</v>
      </c>
      <c r="D104" s="6" t="n">
        <v>48</v>
      </c>
      <c r="E104" s="15" t="n">
        <f aca="false">IFERROR(D104/C104,0)</f>
      </c>
      <c r="F104" s="6" t="n">
        <f aca="false">SUMIFS('Receipt Summary'!F:F,'Receipt Summary'!E:E,A104)</f>
      </c>
      <c r="G104" s="6" t="n">
        <f aca="false">SUMIFS('Receipt Summary'!G:G,'Receipt Summary'!E:E,A104)</f>
      </c>
      <c r="H104" s="15" t="n">
        <f aca="false">IFERROR(G104/F104,0)</f>
      </c>
      <c r="I104" s="6" t="n">
        <f aca="false">D104-F104</f>
      </c>
      <c r="J104" s="16" t="s">
        <v>146</v>
      </c>
    </row>
    <row r="105" customFormat="false" ht="72" hidden="false" customHeight="true" outlineLevel="0" collapsed="false">
      <c r="A105" s="18" t="s">
        <v>66</v>
      </c>
      <c r="B105" s="18" t="s">
        <v>58</v>
      </c>
      <c r="C105" s="6" t="n">
        <v>62</v>
      </c>
      <c r="D105" s="6" t="n">
        <v>58</v>
      </c>
      <c r="E105" s="15" t="n">
        <f aca="false">IFERROR(D105/C105,0)</f>
      </c>
      <c r="F105" s="6" t="n">
        <f aca="false">SUMIFS('Receipt Summary'!F:F,'Receipt Summary'!E:E,A105)</f>
      </c>
      <c r="G105" s="6" t="n">
        <f aca="false">SUMIFS('Receipt Summary'!G:G,'Receipt Summary'!E:E,A105)</f>
      </c>
      <c r="H105" s="15" t="n">
        <f aca="false">IFERROR(G105/F105,0)</f>
      </c>
      <c r="I105" s="6" t="n">
        <f aca="false">D105-F105</f>
      </c>
      <c r="J105" s="16" t="s">
        <v>147</v>
      </c>
    </row>
    <row r="106" customFormat="false" ht="72" hidden="false" customHeight="true" outlineLevel="0" collapsed="false">
      <c r="A106" s="18" t="s">
        <v>67</v>
      </c>
      <c r="B106" s="18" t="s">
        <v>59</v>
      </c>
      <c r="C106" s="6" t="n">
        <v>45</v>
      </c>
      <c r="D106" s="6" t="n">
        <v>41</v>
      </c>
      <c r="E106" s="15" t="n">
        <f aca="false">IFERROR(D106/C106,0)</f>
      </c>
      <c r="F106" s="6" t="n">
        <f aca="false">SUMIFS('Receipt Summary'!F:F,'Receipt Summary'!E:E,A106)</f>
      </c>
      <c r="G106" s="6" t="n">
        <f aca="false">SUMIFS('Receipt Summary'!G:G,'Receipt Summary'!E:E,A106)</f>
      </c>
      <c r="H106" s="15" t="n">
        <f aca="false">IFERROR(G106/F106,0)</f>
      </c>
      <c r="I106" s="6" t="n">
        <f aca="false">D106-F106</f>
      </c>
      <c r="J106" s="16" t="s">
        <v>146</v>
      </c>
    </row>
    <row r="107" customFormat="false" ht="72" hidden="false" customHeight="true" outlineLevel="0" collapsed="false">
      <c r="A107" s="18" t="s">
        <v>70</v>
      </c>
      <c r="B107" s="18" t="s">
        <v>58</v>
      </c>
      <c r="C107" s="6" t="n">
        <v>93</v>
      </c>
      <c r="D107" s="6" t="n">
        <v>87</v>
      </c>
      <c r="E107" s="15" t="n">
        <f aca="false">IFERROR(D107/C107,0)</f>
      </c>
      <c r="F107" s="6" t="n">
        <f aca="false">SUMIFS('Receipt Summary'!F:F,'Receipt Summary'!E:E,A107)</f>
      </c>
      <c r="G107" s="6" t="n">
        <f aca="false">SUMIFS('Receipt Summary'!G:G,'Receipt Summary'!E:E,A107)</f>
      </c>
      <c r="H107" s="15" t="n">
        <f aca="false">IFERROR(G107/F107,0)</f>
      </c>
      <c r="I107" s="6" t="n">
        <f aca="false">D107-F107</f>
      </c>
      <c r="J107" s="16" t="s">
        <v>148</v>
      </c>
    </row>
    <row r="108" customFormat="false" ht="72" hidden="false" customHeight="true" outlineLevel="0" collapsed="false">
      <c r="A108" s="18" t="s">
        <v>71</v>
      </c>
      <c r="B108" s="18" t="s">
        <v>59</v>
      </c>
      <c r="C108" s="6" t="n">
        <v>73</v>
      </c>
      <c r="D108" s="6" t="n">
        <v>71</v>
      </c>
      <c r="E108" s="15" t="n">
        <f aca="false">IFERROR(D108/C108,0)</f>
      </c>
      <c r="F108" s="6" t="n">
        <f aca="false">SUMIFS('Receipt Summary'!F:F,'Receipt Summary'!E:E,A108)</f>
      </c>
      <c r="G108" s="6" t="n">
        <f aca="false">SUMIFS('Receipt Summary'!G:G,'Receipt Summary'!E:E,A108)</f>
      </c>
      <c r="H108" s="15" t="n">
        <f aca="false">IFERROR(G108/F108,0)</f>
      </c>
      <c r="I108" s="6" t="n">
        <f aca="false">D108-F108</f>
      </c>
      <c r="J108" s="16" t="s">
        <v>146</v>
      </c>
    </row>
    <row r="109" customFormat="false" ht="72" hidden="false" customHeight="true" outlineLevel="0" collapsed="false">
      <c r="A109" s="18" t="s">
        <v>84</v>
      </c>
      <c r="B109" s="18" t="s">
        <v>58</v>
      </c>
      <c r="C109" s="6" t="n">
        <v>54</v>
      </c>
      <c r="D109" s="6" t="n">
        <v>52</v>
      </c>
      <c r="E109" s="15" t="n">
        <f aca="false">IFERROR(D109/C109,0)</f>
      </c>
      <c r="F109" s="6" t="n">
        <f aca="false">SUMIFS('Receipt Summary'!F:F,'Receipt Summary'!E:E,A109)</f>
      </c>
      <c r="G109" s="6" t="n">
        <f aca="false">SUMIFS('Receipt Summary'!G:G,'Receipt Summary'!E:E,A109)</f>
      </c>
      <c r="H109" s="15" t="n">
        <f aca="false">IFERROR(G109/F109,0)</f>
      </c>
      <c r="I109" s="6" t="n">
        <f aca="false">D109-F109</f>
      </c>
      <c r="J109" s="16" t="s">
        <v>149</v>
      </c>
    </row>
    <row r="110" customFormat="false" ht="72" hidden="false" customHeight="true" outlineLevel="0" collapsed="false">
      <c r="A110" s="18" t="s">
        <v>85</v>
      </c>
      <c r="B110" s="18" t="s">
        <v>59</v>
      </c>
      <c r="C110" s="6" t="n">
        <v>36</v>
      </c>
      <c r="D110" s="6" t="n">
        <v>36</v>
      </c>
      <c r="E110" s="15" t="n">
        <f aca="false">IFERROR(D110/C110,0)</f>
      </c>
      <c r="F110" s="6" t="n">
        <f aca="false">SUMIFS('Receipt Summary'!F:F,'Receipt Summary'!E:E,A110)</f>
      </c>
      <c r="G110" s="6" t="n">
        <f aca="false">SUMIFS('Receipt Summary'!G:G,'Receipt Summary'!E:E,A110)</f>
      </c>
      <c r="H110" s="15" t="n">
        <f aca="false">IFERROR(G110/F110,0)</f>
      </c>
      <c r="I110" s="6" t="n">
        <f aca="false">D110-F110</f>
      </c>
      <c r="J110" s="16" t="s">
        <v>150</v>
      </c>
    </row>
    <row r="111" customFormat="false" hidden="false" outlineLevel="0" collapsed="false" ht="72.0" customHeight="true">
      <c r="A111" s="18" t="inlineStr">
        <is>
          <t xml:space="preserve">5502462845</t>
        </is>
      </c>
      <c r="B111" s="18" t="inlineStr">
        <is>
          <t xml:space="preserve">666541</t>
        </is>
      </c>
      <c r="C111" s="6" t="n">
        <v>31</v>
      </c>
      <c r="D111" s="6" t="n">
        <v>30</v>
      </c>
      <c r="E111" s="15" t="n">
        <f aca="false">IFERROR(D111/C111,0)</f>
      </c>
      <c r="F111" s="6" t="n">
        <f aca="false">SUMIFS('Receipt Summary'!F:F,'Receipt Summary'!E:E,A111)</f>
      </c>
      <c r="G111" s="6" t="n">
        <f aca="false">SUMIFS('Receipt Summary'!G:G,'Receipt Summary'!E:E,A111)</f>
      </c>
      <c r="H111" s="15" t="n">
        <f aca="false">IFERROR(G111/F111,0)</f>
      </c>
      <c r="I111" s="6" t="n">
        <f aca="false">D111-F111</f>
      </c>
      <c r="J111" s="16" t="inlineStr">
        <is>
          <t xml:space="preserve">Newly harvested 06/15. SH sampled 31 intact, passed 30 (96.8%). Lot # reappears on the 06/24 tally (34 inspected / 30 passed) — recorded as a separate Visit 12, likely a tally-sheet lot carry-over (see notes). Not yet at ATM; expected in coming weeks.</t>
        </is>
      </c>
    </row>
    <row r="112" customFormat="false" hidden="false" outlineLevel="0" collapsed="false" ht="72.0" customHeight="true">
      <c r="A112" s="18" t="inlineStr">
        <is>
          <t xml:space="preserve">5502471460</t>
        </is>
      </c>
      <c r="B112" s="18" t="inlineStr">
        <is>
          <t xml:space="preserve">666541</t>
        </is>
      </c>
      <c r="C112" s="6" t="n">
        <v>16</v>
      </c>
      <c r="D112" s="6" t="n">
        <v>16</v>
      </c>
      <c r="E112" s="15" t="n">
        <f aca="false">IFERROR(D112/C112,0)</f>
      </c>
      <c r="F112" s="6" t="n">
        <f aca="false">SUMIFS('Receipt Summary'!F:F,'Receipt Summary'!E:E,A112)</f>
      </c>
      <c r="G112" s="6" t="n">
        <f aca="false">SUMIFS('Receipt Summary'!G:G,'Receipt Summary'!E:E,A112)</f>
      </c>
      <c r="H112" s="15" t="n">
        <f aca="false">IFERROR(G112/F112,0)</f>
      </c>
      <c r="I112" s="6" t="n">
        <f aca="false">D112-F112</f>
      </c>
      <c r="J112" s="16" t="inlineStr">
        <is>
          <t xml:space="preserve">Newly harvested 06/29. SH sampled 16 intact, all passed (100%). Lot # reused on the 07/06 tally (12 inspected / 11 passed) — recorded as a separate Visit 17, likely a tally-sheet lot carry-over. Not yet at ATM; expected in coming weeks.</t>
        </is>
      </c>
    </row>
    <row r="113" customFormat="false" hidden="false" outlineLevel="0" collapsed="false" ht="72.0" customHeight="true">
      <c r="A113" s="18" t="inlineStr">
        <is>
          <t xml:space="preserve">5502495107</t>
        </is>
      </c>
      <c r="B113" s="18" t="inlineStr">
        <is>
          <t xml:space="preserve">666541</t>
        </is>
      </c>
      <c r="C113" s="6" t="n">
        <v>38</v>
      </c>
      <c r="D113" s="6" t="n">
        <v>36</v>
      </c>
      <c r="E113" s="15" t="n">
        <f aca="false">IFERROR(D113/C113,0)</f>
      </c>
      <c r="F113" s="6" t="n">
        <f aca="false">SUMIFS('Receipt Summary'!F:F,'Receipt Summary'!E:E,A113)</f>
      </c>
      <c r="G113" s="6" t="n">
        <f aca="false">SUMIFS('Receipt Summary'!G:G,'Receipt Summary'!E:E,A113)</f>
      </c>
      <c r="H113" s="15" t="n">
        <f aca="false">IFERROR(G113/F113,0)</f>
      </c>
      <c r="I113" s="6" t="n">
        <f aca="false">D113-F113</f>
      </c>
      <c r="J113" s="16" t="inlineStr">
        <is>
          <t xml:space="preserve">Newly harvested 07/13. SH sampled 38 intact, passed 36 (94.7%). Not yet at ATM; expected in coming weeks.</t>
        </is>
      </c>
    </row>
    <row r="115" customFormat="false" ht="21.75" hidden="false" customHeight="true" outlineLevel="0" collapsed="false">
      <c r="A115" s="3" t="s">
        <v>151</v>
      </c>
      <c r="B115" s="3"/>
      <c r="C115" s="3"/>
      <c r="D115" s="3"/>
      <c r="E115" s="3"/>
      <c r="F115" s="3"/>
      <c r="G115" s="3"/>
      <c r="H115" s="3"/>
      <c r="I115" s="3"/>
      <c r="J115" s="3"/>
      <c r="K115" s="3"/>
      <c r="L115" s="3"/>
    </row>
    <row r="116" customFormat="false" ht="48" hidden="false" customHeight="true" outlineLevel="0" collapsed="false">
      <c r="A116" s="19" t="s">
        <v>152</v>
      </c>
      <c r="B116" s="20" t="s">
        <v>153</v>
      </c>
      <c r="C116" s="20"/>
      <c r="D116" s="20"/>
      <c r="E116" s="20"/>
      <c r="F116" s="20"/>
      <c r="G116" s="20"/>
      <c r="H116" s="20"/>
      <c r="I116" s="20"/>
      <c r="J116" s="20"/>
      <c r="K116" s="20"/>
      <c r="L116" s="20"/>
    </row>
    <row r="117" customFormat="false" ht="48" hidden="false" customHeight="true" outlineLevel="0" collapsed="false">
      <c r="A117" s="19" t="s">
        <v>154</v>
      </c>
      <c r="B117" s="20" t="s">
        <v>155</v>
      </c>
      <c r="C117" s="20"/>
      <c r="D117" s="20"/>
      <c r="E117" s="20"/>
      <c r="F117" s="20"/>
      <c r="G117" s="20"/>
      <c r="H117" s="20"/>
      <c r="I117" s="20"/>
      <c r="J117" s="20"/>
      <c r="K117" s="20"/>
      <c r="L117" s="20"/>
    </row>
    <row r="118" customFormat="false" ht="48" hidden="false" customHeight="true" outlineLevel="0" collapsed="false">
      <c r="A118" s="19" t="s">
        <v>156</v>
      </c>
      <c r="B118" s="20" t="s">
        <v>157</v>
      </c>
      <c r="C118" s="20"/>
      <c r="D118" s="20"/>
      <c r="E118" s="20"/>
      <c r="F118" s="20"/>
      <c r="G118" s="20"/>
      <c r="H118" s="20"/>
      <c r="I118" s="20"/>
      <c r="J118" s="20"/>
      <c r="K118" s="20"/>
      <c r="L118" s="20"/>
    </row>
    <row r="119" customFormat="false" ht="48" hidden="false" customHeight="true" outlineLevel="0" collapsed="false">
      <c r="A119" s="19" t="s">
        <v>158</v>
      </c>
      <c r="B119" s="20" t="s">
        <v>159</v>
      </c>
      <c r="C119" s="20"/>
      <c r="D119" s="20"/>
      <c r="E119" s="20"/>
      <c r="F119" s="20"/>
      <c r="G119" s="20"/>
      <c r="H119" s="20"/>
      <c r="I119" s="20"/>
      <c r="J119" s="20"/>
      <c r="K119" s="20"/>
      <c r="L119" s="20"/>
    </row>
    <row r="120" customFormat="false" ht="48" hidden="false" customHeight="true" outlineLevel="0" collapsed="false">
      <c r="A120" s="19" t="s">
        <v>160</v>
      </c>
      <c r="B120" s="20" t="s">
        <v>161</v>
      </c>
      <c r="C120" s="20"/>
      <c r="D120" s="20"/>
      <c r="E120" s="20"/>
      <c r="F120" s="20"/>
      <c r="G120" s="20"/>
      <c r="H120" s="20"/>
      <c r="I120" s="20"/>
      <c r="J120" s="20"/>
      <c r="K120" s="20"/>
      <c r="L120" s="20"/>
    </row>
    <row r="121" customFormat="false" ht="48" hidden="false" customHeight="true" outlineLevel="0" collapsed="false">
      <c r="A121" s="19" t="s">
        <v>162</v>
      </c>
      <c r="B121" s="20" t="s">
        <v>163</v>
      </c>
      <c r="C121" s="20"/>
      <c r="D121" s="20"/>
      <c r="E121" s="20"/>
      <c r="F121" s="20"/>
      <c r="G121" s="20"/>
      <c r="H121" s="20"/>
      <c r="I121" s="20"/>
      <c r="J121" s="20"/>
      <c r="K121" s="20"/>
      <c r="L121" s="20"/>
    </row>
    <row r="122" customFormat="false" ht="48" hidden="false" customHeight="true" outlineLevel="0" collapsed="false">
      <c r="A122" s="19" t="s">
        <v>164</v>
      </c>
      <c r="B122" s="20" t="s">
        <v>165</v>
      </c>
      <c r="C122" s="20"/>
      <c r="D122" s="20"/>
      <c r="E122" s="20"/>
      <c r="F122" s="20"/>
      <c r="G122" s="20"/>
      <c r="H122" s="20"/>
      <c r="I122" s="20"/>
      <c r="J122" s="20"/>
      <c r="K122" s="20"/>
      <c r="L122" s="20"/>
    </row>
    <row r="123" customFormat="false" ht="48" hidden="false" customHeight="true" outlineLevel="0" collapsed="false">
      <c r="A123" s="19" t="inlineStr">
        <is>
          <t xml:space="preserve">8. Nineteen inspection visits so far</t>
        </is>
      </c>
      <c r="B123" s="20" t="inlineStr">
        <is>
          <t xml:space="preserve">Nineteen inspection visits so far. Twelve at Martins (Visits 1–5, 7, 9, 10, 12, 15, 17, 18) and seven at Parks (Visits 6, 8, 11, 13, 14, 16, 19). To extend, append new visit metadata, raw-data rows, and rollup rows; the TOTAL and SH→ATM sections then need refreshing.</t>
        </is>
      </c>
      <c r="C123" s="20"/>
      <c r="D123" s="20"/>
      <c r="E123" s="20"/>
      <c r="F123" s="20"/>
      <c r="G123" s="20"/>
      <c r="H123" s="20"/>
      <c r="I123" s="20"/>
      <c r="J123" s="20"/>
      <c r="K123" s="20"/>
      <c r="L123" s="20"/>
    </row>
    <row r="124" customFormat="false" ht="48" hidden="false" customHeight="true" outlineLevel="0" collapsed="false">
      <c r="A124" s="19" t="s">
        <v>168</v>
      </c>
      <c r="B124" s="20" t="s">
        <v>169</v>
      </c>
      <c r="C124" s="20"/>
      <c r="D124" s="20"/>
      <c r="E124" s="20"/>
      <c r="F124" s="20"/>
      <c r="G124" s="20"/>
      <c r="H124" s="20"/>
      <c r="I124" s="20"/>
      <c r="J124" s="20"/>
      <c r="K124" s="20"/>
      <c r="L124" s="20"/>
    </row>
    <row r="125" customFormat="false" ht="48" hidden="false" customHeight="true" outlineLevel="0" collapsed="false">
      <c r="A125" s="19" t="s">
        <v>170</v>
      </c>
      <c r="B125" s="20" t="s">
        <v>171</v>
      </c>
      <c r="C125" s="20"/>
      <c r="D125" s="20"/>
      <c r="E125" s="20"/>
      <c r="F125" s="20"/>
      <c r="G125" s="20"/>
      <c r="H125" s="20"/>
      <c r="I125" s="20"/>
      <c r="J125" s="20"/>
      <c r="K125" s="20"/>
      <c r="L125" s="20"/>
    </row>
    <row r="126" customFormat="false" ht="48" hidden="false" customHeight="true" outlineLevel="0" collapsed="false">
      <c r="A126" s="19" t="s">
        <v>172</v>
      </c>
      <c r="B126" s="20" t="s">
        <v>173</v>
      </c>
      <c r="C126" s="20"/>
      <c r="D126" s="20"/>
      <c r="E126" s="20"/>
      <c r="F126" s="20"/>
      <c r="G126" s="20"/>
      <c r="H126" s="20"/>
      <c r="I126" s="20"/>
      <c r="J126" s="20"/>
      <c r="K126" s="20"/>
      <c r="L126" s="20"/>
    </row>
    <row r="127" customFormat="false" ht="48" hidden="false" customHeight="true" outlineLevel="0" collapsed="false">
      <c r="A127" s="19" t="s">
        <v>174</v>
      </c>
      <c r="B127" s="20" t="s">
        <v>175</v>
      </c>
      <c r="C127" s="20"/>
      <c r="D127" s="20"/>
      <c r="E127" s="20"/>
      <c r="F127" s="20"/>
      <c r="G127" s="20"/>
      <c r="H127" s="20"/>
      <c r="I127" s="20"/>
      <c r="J127" s="20"/>
      <c r="K127" s="20"/>
      <c r="L127" s="20"/>
    </row>
    <row r="128" customFormat="false" hidden="false" outlineLevel="0" collapsed="false" ht="48.0" customHeight="true">
      <c r="A128" s="19" t="inlineStr">
        <is>
          <t xml:space="preserve">13. New visits 9–12 (06/08–06/24)</t>
        </is>
      </c>
      <c r="B128" s="20" t="inlineStr">
        <is>
          <t xml:space="preserve">Visit 9 = 06/08 Martins; Visit 10 = 06/15 Martins; Visit 11 = 06/16 Parks (intact-only); Visit 12 = 06/24 Martins (intact-only). Source date/kill fields on several incoming sheets are volatile =NOW() captures (e.g. the Parks sheet sent 06/17 reads 06/16); the hand-entered harvest-date fields were used as the authoritative visit dates.</t>
        </is>
      </c>
      <c r="C128" s="20"/>
      <c r="D128" s="20"/>
      <c r="E128" s="20"/>
      <c r="F128" s="20"/>
      <c r="G128" s="20"/>
      <c r="H128" s="20"/>
      <c r="I128" s="20"/>
      <c r="J128" s="20"/>
      <c r="K128" s="20"/>
      <c r="L128" s="20"/>
    </row>
    <row r="129" customFormat="false" hidden="false" outlineLevel="0" collapsed="false" ht="48.0" customHeight="true">
      <c r="A129" s="19" t="inlineStr">
        <is>
          <t xml:space="preserve">14. Lot-number carry-over recurs (Visits 9 &amp; 12)</t>
        </is>
      </c>
      <c r="B129" s="20" t="inlineStr">
        <is>
          <t xml:space="preserve">Visit 9 (06/08) reuses Visit 7’s lots 5502428786/5502428782, and Visit 12 (06/24) reuses Visit 10’s intact lot 5502462845 — the same template carry-over pattern documented in note 9 for lot 5502421192. Each is recorded as its own visit with its own raw and rollup rows, but per the note-9 precedent only the FIRST occurrence of each lot is reconciled in the SH→ATM section, so the reused-lot inspections do not generate duplicate SH→ATM rows.</t>
        </is>
      </c>
      <c r="C129" s="20"/>
      <c r="D129" s="20"/>
      <c r="E129" s="20"/>
      <c r="F129" s="20"/>
      <c r="G129" s="20"/>
      <c r="H129" s="20"/>
      <c r="I129" s="20"/>
      <c r="J129" s="20"/>
      <c r="K129" s="20"/>
      <c r="L129" s="20"/>
    </row>
    <row r="130" customFormat="false" hidden="false" outlineLevel="0" collapsed="false" ht="48.0" customHeight="true">
      <c r="A130" s="19" t="inlineStr">
        <is>
          <t xml:space="preserve">15. Visit 10 (06/15) — two intact tally lines combined; no non-intact</t>
        </is>
      </c>
      <c r="B130" s="20" t="inlineStr">
        <is>
          <t xml:space="preserve">The source recorded two intact 666541 lines on 06/15 (13/12/1 and 18/18/0); they share date, lot and condition, so they are combined into a single raw row (31/30/1). No non-intact units were collected (the SH had met its non-intact quota and run low on labels), so lot 5502462842 appears in the metadata but has no raw/rollup row.</t>
        </is>
      </c>
      <c r="C130" s="20"/>
      <c r="D130" s="20"/>
      <c r="E130" s="20"/>
      <c r="F130" s="20"/>
      <c r="G130" s="20"/>
      <c r="H130" s="20"/>
      <c r="I130" s="20"/>
      <c r="J130" s="20"/>
      <c r="K130" s="20"/>
      <c r="L130" s="20"/>
    </row>
    <row r="131" customFormat="false" hidden="false" outlineLevel="0" collapsed="false" ht="48.0" customHeight="true">
      <c r="A131" s="19" t="inlineStr">
        <is>
          <t xml:space="preserve">16. Visit 11 (06/16 Parks) — heavy upstream miscut losses</t>
        </is>
      </c>
      <c r="B131" s="20" t="inlineStr">
        <is>
          <t xml:space="preserve">The inspector noted ~100 pigs slaughtered, with the majority of blocks failing BEFORE reaching IQC due to miscuts during block removal. Of the 16 that reached inspection, 14 passed (1 bladder hole, 1 ureter damage). That upstream loss is a Parks harvest-technique signal not captured in the pass/fail counts here. PN normalized 668518 → 666518 per note 10. Separately, the “PARKS0603” sheet (internal date 06/02, 7/7 intact, no batch) is the SAME inspection already recorded as Visit 8 and was not re-added.</t>
        </is>
      </c>
      <c r="C131" s="20"/>
      <c r="D131" s="20"/>
      <c r="E131" s="20"/>
      <c r="F131" s="20"/>
      <c r="G131" s="20"/>
      <c r="H131" s="20"/>
      <c r="I131" s="20"/>
      <c r="J131" s="20"/>
      <c r="K131" s="20"/>
      <c r="L131" s="20"/>
    </row>
    <row r="132" customFormat="false" hidden="false" outlineLevel="0" collapsed="false" ht="48.0" customHeight="true">
      <c r="A132" s="19" t="inlineStr">
        <is>
          <t xml:space="preserve">17. New Parks visits 13 (06/22) &amp; 14 (06/25)</t>
        </is>
      </c>
      <c r="B132" s="20" t="inlineStr">
        <is>
          <t xml:space="preserve">Two more intact-only Parks inspections (no batch data; PN normalized 668518 → 666518). Visit 13 (06/22) = 36 inspected / 31 pass / 5 fail (1 bladder hole, 2 critical-area lacerations, 2 short blocks); Visit 14 (06/25) = 19 inspected / 16 pass / 3 fail (1 bladder hole, 1 ureter laceration, 1 short block). Both were received after Visit 12, so Visit 13’s harvest date (06/22) precedes Visit 12’s (06/24 Martins) — visit numbers reflect processing order, as with the existing Visit 7/8 overlap. No batch on either, so neither has an SH→ATM link (consistent with Visits 6, 8 and 11). Short blocks and critical-zone mesentery damage continue to dominate Parks scrap.</t>
        </is>
      </c>
      <c r="C132" s="20"/>
      <c r="D132" s="20"/>
      <c r="E132" s="20"/>
      <c r="F132" s="20"/>
      <c r="G132" s="20"/>
      <c r="H132" s="20"/>
      <c r="I132" s="20"/>
      <c r="J132" s="20"/>
      <c r="K132" s="20"/>
      <c r="L132" s="20"/>
      <c r="C132" s="20"/>
      <c r="D132" s="20"/>
      <c r="E132" s="20"/>
      <c r="F132" s="20"/>
      <c r="G132" s="20"/>
      <c r="H132" s="20"/>
      <c r="I132" s="20"/>
      <c r="J132" s="20"/>
      <c r="K132" s="20"/>
      <c r="L132" s="20"/>
    </row>
    <row r="133" customFormat="false" hidden="false" outlineLevel="0" collapsed="false" ht="48.0" customHeight="true">
      <c r="A133" s="19" t="inlineStr">
        <is>
          <t xml:space="preserve">18. New visits 15–19 (06/29–07/13); two Parks fail-count corrections</t>
        </is>
      </c>
      <c r="B133" s="20" t="inlineStr">
        <is>
          <t xml:space="preserve">Visit 15 = 06/29 Martins; Visit 16 = 06/29 Parks; Visit 17 = 07/06 Martins; Visit 18 = 07/13 Martins; Visit 19 = 07/13 Parks. DATA-ACCURACY FIX: on both Parks sheets the source “# Fail” cell undercounted because blocks damaged during bowel-cleaning were written in the notes but not added to the fail tally. Corrected to inspected − pass, which matches the scrap breakdown — Visit 16 (06/29) = 50/38/12 (source cell read 10; 2 cleaning-damage + 2 short + 1 critical + 7 urethra/bladder = 12); Visit 19 (07/13) = 34/29/5 (source cell read 3; 2 cleaning-damage + 3 short = 5). Visit 17 (07/06) reuses Visit 15’s lots 5502471460/5502471457 — a tally-sheet carry-over recorded as a separate visit (see note 9). Visit 18’s inspector field was blank on the source; recorded as Toni Cruz, the standing Martins inspector.</t>
        </is>
      </c>
      <c r="C133" s="20"/>
      <c r="D133" s="20"/>
      <c r="E133" s="20"/>
      <c r="F133" s="20"/>
      <c r="G133" s="20"/>
      <c r="H133" s="20"/>
      <c r="I133" s="20"/>
      <c r="J133" s="20"/>
      <c r="K133" s="20"/>
      <c r="L133" s="20"/>
    </row>
    <row r="134" customFormat="false" hidden="false" outlineLevel="0" collapsed="false" ht="48.0" customHeight="true">
      <c r="A134" s="19" t="inlineStr">
        <is>
          <t xml:space="preserve">19. Visit 19 (Parks) harvest-date ambiguity</t>
        </is>
      </c>
      <c r="B134" s="20" t="inlineStr">
        <is>
          <t xml:space="preserve">The source file is named “PARKS_0713” (→ 07/13), was sent as a most-recent inspection, and a Martins 07/13 sheet arrived in the same batch — so Visit 19 is recorded as harvest 07/13/2026. However, all three internal date fields on that sheet (Date, Kill, Harvest) read 06/13/2026, likely a month typo. If 06/13 was intended, flip Visit 19’s date; the counts (34/29/5) are unaffected either way.</t>
        </is>
      </c>
      <c r="C134" s="20"/>
      <c r="D134" s="20"/>
      <c r="E134" s="20"/>
      <c r="F134" s="20"/>
      <c r="G134" s="20"/>
      <c r="H134" s="20"/>
      <c r="I134" s="20"/>
      <c r="J134" s="20"/>
      <c r="K134" s="20"/>
      <c r="L134" s="20"/>
    </row>
  </sheetData>
  <mergeCells count="26">
    <mergeCell ref="A1:L1"/>
    <mergeCell ref="A2:L2"/>
    <mergeCell ref="A4:L4"/>
    <mergeCell ref="A26:L26"/>
    <mergeCell ref="A67:L67"/>
    <mergeCell ref="A99:L99"/>
    <mergeCell ref="A115:L115"/>
    <mergeCell ref="B116:L116"/>
    <mergeCell ref="B117:L117"/>
    <mergeCell ref="B118:L118"/>
    <mergeCell ref="B119:L119"/>
    <mergeCell ref="B120:L120"/>
    <mergeCell ref="B121:L121"/>
    <mergeCell ref="B122:L122"/>
    <mergeCell ref="B123:L123"/>
    <mergeCell ref="B124:L124"/>
    <mergeCell ref="B125:L125"/>
    <mergeCell ref="B126:L126"/>
    <mergeCell ref="B127:L127"/>
    <mergeCell ref="B128:L128"/>
    <mergeCell ref="B129:L129"/>
    <mergeCell ref="B130:L130"/>
    <mergeCell ref="B131:L131"/>
    <mergeCell ref="B132:L132"/>
    <mergeCell ref="B133:L133"/>
    <mergeCell ref="B134:L134"/>
  </mergeCells>
  <conditionalFormatting sqref="J28:J65">
    <cfRule type="colorScale" priority="2">
      <colorScale>
        <cfvo type="num" val="0.7"/>
        <cfvo type="num" val="0.9"/>
        <cfvo type="num" val="1"/>
        <color rgb="FFF8696B"/>
        <color rgb="FFFFEB84"/>
        <color rgb="FF63BE7B"/>
      </colorScale>
    </cfRule>
  </conditionalFormatting>
  <conditionalFormatting sqref="I69:I96">
    <cfRule type="colorScale" priority="3">
      <colorScale>
        <cfvo type="num" val="0.7"/>
        <cfvo type="num" val="0.9"/>
        <cfvo type="num" val="1"/>
        <color rgb="FFF8696B"/>
        <color rgb="FFFFEB84"/>
        <color rgb="FF63BE7B"/>
      </colorScale>
    </cfRule>
  </conditionalFormatting>
  <conditionalFormatting sqref="E101:E113">
    <cfRule type="colorScale" priority="4">
      <colorScale>
        <cfvo type="num" val="0.7"/>
        <cfvo type="num" val="0.9"/>
        <cfvo type="num" val="1"/>
        <color rgb="FFF8696B"/>
        <color rgb="FFFFEB84"/>
        <color rgb="FF63BE7B"/>
      </colorScale>
    </cfRule>
  </conditionalFormatting>
  <conditionalFormatting sqref="H101:H113">
    <cfRule type="colorScale" priority="5">
      <colorScale>
        <cfvo type="num" val="0.7"/>
        <cfvo type="num" val="0.9"/>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J47" activeCellId="0" sqref="J47"/>
    </sheetView>
  </sheetViews>
  <sheetFormatPr defaultColWidth="8.55859375" defaultRowHeight="14.25" zeroHeight="false" outlineLevelRow="0" outlineLevelCol="0"/>
  <cols>
    <col collapsed="false" customWidth="true" hidden="false" outlineLevel="0" max="2" min="1" style="0" width="12"/>
    <col collapsed="false" customWidth="true" hidden="false" outlineLevel="0" max="3" min="3" style="0" width="26"/>
    <col collapsed="false" customWidth="true" hidden="false" outlineLevel="0" max="4" min="4" style="0" width="14"/>
    <col collapsed="false" customWidth="true" hidden="false" outlineLevel="0" max="5" min="5" style="0" width="16"/>
    <col collapsed="false" customWidth="true" hidden="false" outlineLevel="0" max="7" min="6" style="0" width="11"/>
    <col collapsed="false" customWidth="true" hidden="false" outlineLevel="0" max="8" min="8" style="0" width="10"/>
    <col collapsed="false" customWidth="true" hidden="false" outlineLevel="0" max="9" min="9" style="0" width="13"/>
  </cols>
  <sheetData>
    <row r="1" customFormat="false" ht="28.5" hidden="false" customHeight="true" outlineLevel="0" collapsed="false">
      <c r="A1" s="4" t="s">
        <v>176</v>
      </c>
      <c r="B1" s="4" t="s">
        <v>177</v>
      </c>
      <c r="C1" s="4" t="s">
        <v>178</v>
      </c>
      <c r="D1" s="4" t="s">
        <v>44</v>
      </c>
      <c r="E1" s="4" t="s">
        <v>179</v>
      </c>
      <c r="F1" s="4" t="s">
        <v>180</v>
      </c>
      <c r="G1" s="4" t="s">
        <v>181</v>
      </c>
      <c r="H1" s="4" t="s">
        <v>182</v>
      </c>
      <c r="I1" s="4" t="s">
        <v>30</v>
      </c>
    </row>
    <row r="2" customFormat="false" ht="14.25" hidden="false" customHeight="true" outlineLevel="0" collapsed="false">
      <c r="A2" s="12" t="s">
        <v>4</v>
      </c>
      <c r="B2" s="12" t="s">
        <v>58</v>
      </c>
      <c r="C2" s="12" t="s">
        <v>183</v>
      </c>
      <c r="D2" s="12" t="s">
        <v>53</v>
      </c>
      <c r="E2" s="12" t="s">
        <v>184</v>
      </c>
      <c r="F2" s="6" t="n">
        <v>150</v>
      </c>
      <c r="G2" s="6" t="n">
        <v>131</v>
      </c>
      <c r="H2" s="6" t="n">
        <v>19</v>
      </c>
      <c r="I2" s="15" t="n">
        <f aca="false">IFERROR(H2/F2,0)</f>
        <v>0.126666666666667</v>
      </c>
    </row>
    <row r="3" customFormat="false" ht="14.25" hidden="false" customHeight="true" outlineLevel="0" collapsed="false">
      <c r="A3" s="12" t="s">
        <v>5</v>
      </c>
      <c r="B3" s="12" t="s">
        <v>58</v>
      </c>
      <c r="C3" s="12" t="s">
        <v>183</v>
      </c>
      <c r="D3" s="12" t="s">
        <v>53</v>
      </c>
      <c r="E3" s="12" t="s">
        <v>184</v>
      </c>
      <c r="F3" s="6" t="n">
        <v>181</v>
      </c>
      <c r="G3" s="6" t="n">
        <v>138</v>
      </c>
      <c r="H3" s="6" t="n">
        <v>43</v>
      </c>
      <c r="I3" s="15" t="n">
        <f aca="false">IFERROR(H3/F3,0)</f>
        <v>0.237569060773481</v>
      </c>
    </row>
    <row r="4" customFormat="false" ht="14.25" hidden="false" customHeight="true" outlineLevel="0" collapsed="false">
      <c r="A4" s="12" t="s">
        <v>6</v>
      </c>
      <c r="B4" s="12" t="s">
        <v>185</v>
      </c>
      <c r="C4" s="12" t="s">
        <v>186</v>
      </c>
      <c r="D4" s="12" t="s">
        <v>53</v>
      </c>
      <c r="E4" s="12" t="s">
        <v>187</v>
      </c>
      <c r="F4" s="6" t="n">
        <v>15</v>
      </c>
      <c r="G4" s="6" t="n">
        <v>10</v>
      </c>
      <c r="H4" s="6" t="n">
        <v>5</v>
      </c>
      <c r="I4" s="15" t="n">
        <f aca="false">IFERROR(H4/F4,0)</f>
        <v>0.333333333333333</v>
      </c>
    </row>
    <row r="5" customFormat="false" ht="14.25" hidden="false" customHeight="true" outlineLevel="0" collapsed="false">
      <c r="A5" s="12" t="s">
        <v>6</v>
      </c>
      <c r="B5" s="12" t="s">
        <v>185</v>
      </c>
      <c r="C5" s="12" t="s">
        <v>186</v>
      </c>
      <c r="D5" s="12" t="s">
        <v>53</v>
      </c>
      <c r="E5" s="12" t="s">
        <v>188</v>
      </c>
      <c r="F5" s="6" t="n">
        <v>35</v>
      </c>
      <c r="G5" s="6" t="n">
        <v>28</v>
      </c>
      <c r="H5" s="6" t="n">
        <v>7</v>
      </c>
      <c r="I5" s="15" t="n">
        <f aca="false">IFERROR(H5/F5,0)</f>
        <v>0.2</v>
      </c>
    </row>
    <row r="6" customFormat="false" ht="14.25" hidden="false" customHeight="true" outlineLevel="0" collapsed="false">
      <c r="A6" s="12" t="s">
        <v>6</v>
      </c>
      <c r="B6" s="12" t="s">
        <v>185</v>
      </c>
      <c r="C6" s="12" t="s">
        <v>186</v>
      </c>
      <c r="D6" s="12" t="s">
        <v>53</v>
      </c>
      <c r="E6" s="12" t="s">
        <v>189</v>
      </c>
      <c r="F6" s="6" t="n">
        <v>36</v>
      </c>
      <c r="G6" s="6" t="n">
        <v>24</v>
      </c>
      <c r="H6" s="6" t="n">
        <v>12</v>
      </c>
      <c r="I6" s="15" t="n">
        <f aca="false">IFERROR(H6/F6,0)</f>
        <v>0.333333333333333</v>
      </c>
    </row>
    <row r="7" customFormat="false" ht="14.25" hidden="false" customHeight="true" outlineLevel="0" collapsed="false">
      <c r="A7" s="12" t="s">
        <v>6</v>
      </c>
      <c r="B7" s="12" t="s">
        <v>185</v>
      </c>
      <c r="C7" s="12" t="s">
        <v>186</v>
      </c>
      <c r="D7" s="12" t="s">
        <v>53</v>
      </c>
      <c r="E7" s="12" t="s">
        <v>190</v>
      </c>
      <c r="F7" s="6" t="n">
        <v>57</v>
      </c>
      <c r="G7" s="6" t="n">
        <v>38</v>
      </c>
      <c r="H7" s="6" t="n">
        <v>19</v>
      </c>
      <c r="I7" s="15" t="n">
        <f aca="false">IFERROR(H7/F7,0)</f>
        <v>0.333333333333333</v>
      </c>
    </row>
    <row r="8" customFormat="false" ht="14.25" hidden="false" customHeight="true" outlineLevel="0" collapsed="false">
      <c r="A8" s="12" t="s">
        <v>6</v>
      </c>
      <c r="B8" s="12" t="s">
        <v>58</v>
      </c>
      <c r="C8" s="12" t="s">
        <v>183</v>
      </c>
      <c r="D8" s="12" t="s">
        <v>53</v>
      </c>
      <c r="E8" s="12" t="s">
        <v>191</v>
      </c>
      <c r="F8" s="6" t="n">
        <v>160</v>
      </c>
      <c r="G8" s="6" t="n">
        <v>126</v>
      </c>
      <c r="H8" s="6" t="n">
        <v>34</v>
      </c>
      <c r="I8" s="15" t="n">
        <f aca="false">IFERROR(H8/F8,0)</f>
        <v>0.2125</v>
      </c>
    </row>
    <row r="9" customFormat="false" ht="14.25" hidden="false" customHeight="true" outlineLevel="0" collapsed="false">
      <c r="A9" s="12" t="s">
        <v>6</v>
      </c>
      <c r="B9" s="12" t="s">
        <v>58</v>
      </c>
      <c r="C9" s="12" t="s">
        <v>183</v>
      </c>
      <c r="D9" s="12" t="s">
        <v>53</v>
      </c>
      <c r="E9" s="12" t="s">
        <v>192</v>
      </c>
      <c r="F9" s="6" t="n">
        <v>50</v>
      </c>
      <c r="G9" s="6" t="n">
        <v>27</v>
      </c>
      <c r="H9" s="6" t="n">
        <v>23</v>
      </c>
      <c r="I9" s="15" t="n">
        <f aca="false">IFERROR(H9/F9,0)</f>
        <v>0.46</v>
      </c>
    </row>
    <row r="10" customFormat="false" ht="14.25" hidden="false" customHeight="true" outlineLevel="0" collapsed="false">
      <c r="A10" s="12" t="s">
        <v>7</v>
      </c>
      <c r="B10" s="12" t="s">
        <v>81</v>
      </c>
      <c r="C10" s="12" t="s">
        <v>183</v>
      </c>
      <c r="D10" s="12" t="s">
        <v>193</v>
      </c>
      <c r="E10" s="12" t="s">
        <v>194</v>
      </c>
      <c r="F10" s="6" t="n">
        <v>15</v>
      </c>
      <c r="G10" s="6" t="n">
        <v>13</v>
      </c>
      <c r="H10" s="6" t="n">
        <v>2</v>
      </c>
      <c r="I10" s="15" t="n">
        <f aca="false">IFERROR(H10/F10,0)</f>
        <v>0.133333333333333</v>
      </c>
    </row>
    <row r="11" customFormat="false" ht="14.25" hidden="false" customHeight="true" outlineLevel="0" collapsed="false">
      <c r="A11" s="12" t="s">
        <v>7</v>
      </c>
      <c r="B11" s="12" t="s">
        <v>58</v>
      </c>
      <c r="C11" s="12" t="s">
        <v>183</v>
      </c>
      <c r="D11" s="12" t="s">
        <v>53</v>
      </c>
      <c r="E11" s="12" t="s">
        <v>192</v>
      </c>
      <c r="F11" s="6" t="n">
        <v>127</v>
      </c>
      <c r="G11" s="6" t="n">
        <v>106</v>
      </c>
      <c r="H11" s="6" t="n">
        <v>21</v>
      </c>
      <c r="I11" s="15" t="n">
        <f aca="false">IFERROR(H11/F11,0)</f>
        <v>0.165354330708661</v>
      </c>
    </row>
    <row r="12" customFormat="false" ht="14.25" hidden="false" customHeight="true" outlineLevel="0" collapsed="false">
      <c r="A12" s="12" t="s">
        <v>7</v>
      </c>
      <c r="B12" s="12" t="s">
        <v>58</v>
      </c>
      <c r="C12" s="12" t="s">
        <v>183</v>
      </c>
      <c r="D12" s="12" t="s">
        <v>53</v>
      </c>
      <c r="E12" s="12" t="s">
        <v>195</v>
      </c>
      <c r="F12" s="6" t="n">
        <v>94</v>
      </c>
      <c r="G12" s="6" t="n">
        <v>78</v>
      </c>
      <c r="H12" s="6" t="n">
        <v>16</v>
      </c>
      <c r="I12" s="15" t="n">
        <f aca="false">IFERROR(H12/F12,0)</f>
        <v>0.170212765957447</v>
      </c>
    </row>
    <row r="13" customFormat="false" ht="14.25" hidden="false" customHeight="true" outlineLevel="0" collapsed="false">
      <c r="A13" s="12" t="s">
        <v>8</v>
      </c>
      <c r="B13" s="12" t="s">
        <v>185</v>
      </c>
      <c r="C13" s="12" t="s">
        <v>186</v>
      </c>
      <c r="D13" s="12" t="s">
        <v>53</v>
      </c>
      <c r="E13" s="12" t="s">
        <v>189</v>
      </c>
      <c r="F13" s="6" t="n">
        <v>20</v>
      </c>
      <c r="G13" s="6" t="n">
        <v>13</v>
      </c>
      <c r="H13" s="6" t="n">
        <v>7</v>
      </c>
      <c r="I13" s="15" t="n">
        <f aca="false">IFERROR(H13/F13,0)</f>
        <v>0.35</v>
      </c>
    </row>
    <row r="14" customFormat="false" ht="14.25" hidden="false" customHeight="true" outlineLevel="0" collapsed="false">
      <c r="A14" s="12" t="s">
        <v>8</v>
      </c>
      <c r="B14" s="12" t="s">
        <v>58</v>
      </c>
      <c r="C14" s="12" t="s">
        <v>183</v>
      </c>
      <c r="D14" s="12" t="s">
        <v>53</v>
      </c>
      <c r="E14" s="12" t="s">
        <v>195</v>
      </c>
      <c r="F14" s="6" t="n">
        <v>200</v>
      </c>
      <c r="G14" s="6" t="n">
        <v>174</v>
      </c>
      <c r="H14" s="6" t="n">
        <v>26</v>
      </c>
      <c r="I14" s="15" t="n">
        <f aca="false">IFERROR(H14/F14,0)</f>
        <v>0.13</v>
      </c>
    </row>
    <row r="15" customFormat="false" ht="14.25" hidden="false" customHeight="true" outlineLevel="0" collapsed="false">
      <c r="A15" s="12" t="s">
        <v>9</v>
      </c>
      <c r="B15" s="12" t="s">
        <v>81</v>
      </c>
      <c r="C15" s="12" t="s">
        <v>183</v>
      </c>
      <c r="D15" s="12" t="s">
        <v>193</v>
      </c>
      <c r="E15" s="12" t="s">
        <v>196</v>
      </c>
      <c r="F15" s="6" t="n">
        <v>5</v>
      </c>
      <c r="G15" s="6" t="n">
        <v>3</v>
      </c>
      <c r="H15" s="6" t="n">
        <v>2</v>
      </c>
      <c r="I15" s="15" t="n">
        <f aca="false">IFERROR(H15/F15,0)</f>
        <v>0.4</v>
      </c>
    </row>
    <row r="16" customFormat="false" ht="14.25" hidden="false" customHeight="true" outlineLevel="0" collapsed="false">
      <c r="A16" s="12" t="s">
        <v>9</v>
      </c>
      <c r="B16" s="12" t="s">
        <v>81</v>
      </c>
      <c r="C16" s="12" t="s">
        <v>183</v>
      </c>
      <c r="D16" s="12" t="s">
        <v>193</v>
      </c>
      <c r="E16" s="12" t="s">
        <v>197</v>
      </c>
      <c r="F16" s="6" t="n">
        <v>17</v>
      </c>
      <c r="G16" s="6" t="n">
        <v>13</v>
      </c>
      <c r="H16" s="6" t="n">
        <v>4</v>
      </c>
      <c r="I16" s="15" t="n">
        <f aca="false">IFERROR(H16/F16,0)</f>
        <v>0.235294117647059</v>
      </c>
    </row>
    <row r="17" customFormat="false" ht="14.25" hidden="false" customHeight="true" outlineLevel="0" collapsed="false">
      <c r="A17" s="12" t="s">
        <v>9</v>
      </c>
      <c r="B17" s="12" t="s">
        <v>185</v>
      </c>
      <c r="C17" s="12" t="s">
        <v>186</v>
      </c>
      <c r="D17" s="12" t="s">
        <v>53</v>
      </c>
      <c r="E17" s="12" t="s">
        <v>189</v>
      </c>
      <c r="F17" s="6" t="n">
        <v>9</v>
      </c>
      <c r="G17" s="6" t="n">
        <v>4</v>
      </c>
      <c r="H17" s="6" t="n">
        <v>5</v>
      </c>
      <c r="I17" s="15" t="n">
        <f aca="false">IFERROR(H17/F17,0)</f>
        <v>0.555555555555556</v>
      </c>
    </row>
    <row r="18" customFormat="false" ht="14.25" hidden="false" customHeight="true" outlineLevel="0" collapsed="false">
      <c r="A18" s="12" t="s">
        <v>9</v>
      </c>
      <c r="B18" s="12" t="s">
        <v>58</v>
      </c>
      <c r="C18" s="12" t="s">
        <v>183</v>
      </c>
      <c r="D18" s="12" t="s">
        <v>53</v>
      </c>
      <c r="E18" s="12" t="s">
        <v>195</v>
      </c>
      <c r="F18" s="6" t="n">
        <v>124</v>
      </c>
      <c r="G18" s="6" t="n">
        <v>106</v>
      </c>
      <c r="H18" s="6" t="n">
        <v>18</v>
      </c>
      <c r="I18" s="15" t="n">
        <f aca="false">IFERROR(H18/F18,0)</f>
        <v>0.145161290322581</v>
      </c>
    </row>
    <row r="19" customFormat="false" ht="14.25" hidden="false" customHeight="true" outlineLevel="0" collapsed="false">
      <c r="A19" s="12" t="s">
        <v>9</v>
      </c>
      <c r="B19" s="12" t="s">
        <v>58</v>
      </c>
      <c r="C19" s="12" t="s">
        <v>183</v>
      </c>
      <c r="D19" s="12" t="s">
        <v>53</v>
      </c>
      <c r="E19" s="12" t="s">
        <v>198</v>
      </c>
      <c r="F19" s="6" t="n">
        <v>76</v>
      </c>
      <c r="G19" s="6" t="n">
        <v>61</v>
      </c>
      <c r="H19" s="6" t="n">
        <v>15</v>
      </c>
      <c r="I19" s="15" t="n">
        <f aca="false">IFERROR(H19/F19,0)</f>
        <v>0.197368421052632</v>
      </c>
    </row>
    <row r="20" customFormat="false" ht="14.25" hidden="false" customHeight="true" outlineLevel="0" collapsed="false">
      <c r="A20" s="12" t="s">
        <v>10</v>
      </c>
      <c r="B20" s="12" t="s">
        <v>81</v>
      </c>
      <c r="C20" s="12" t="s">
        <v>183</v>
      </c>
      <c r="D20" s="12" t="s">
        <v>193</v>
      </c>
      <c r="E20" s="12" t="s">
        <v>184</v>
      </c>
      <c r="F20" s="6" t="n">
        <v>15</v>
      </c>
      <c r="G20" s="6" t="n">
        <v>8</v>
      </c>
      <c r="H20" s="6" t="n">
        <v>7</v>
      </c>
      <c r="I20" s="15" t="n">
        <f aca="false">IFERROR(H20/F20,0)</f>
        <v>0.466666666666667</v>
      </c>
    </row>
    <row r="21" customFormat="false" ht="14.25" hidden="false" customHeight="true" outlineLevel="0" collapsed="false">
      <c r="A21" s="12" t="s">
        <v>10</v>
      </c>
      <c r="B21" s="12" t="s">
        <v>58</v>
      </c>
      <c r="C21" s="12" t="s">
        <v>183</v>
      </c>
      <c r="D21" s="12" t="s">
        <v>53</v>
      </c>
      <c r="E21" s="12" t="s">
        <v>184</v>
      </c>
      <c r="F21" s="6" t="n">
        <v>227</v>
      </c>
      <c r="G21" s="6" t="n">
        <v>206</v>
      </c>
      <c r="H21" s="6" t="n">
        <v>21</v>
      </c>
      <c r="I21" s="15" t="n">
        <f aca="false">IFERROR(H21/F21,0)</f>
        <v>0.092511013215859</v>
      </c>
    </row>
    <row r="22" customFormat="false" ht="14.25" hidden="false" customHeight="true" outlineLevel="0" collapsed="false">
      <c r="A22" s="12" t="s">
        <v>11</v>
      </c>
      <c r="B22" s="12" t="s">
        <v>58</v>
      </c>
      <c r="C22" s="12" t="s">
        <v>183</v>
      </c>
      <c r="D22" s="12" t="s">
        <v>53</v>
      </c>
      <c r="E22" s="12" t="s">
        <v>195</v>
      </c>
      <c r="F22" s="6" t="n">
        <v>110</v>
      </c>
      <c r="G22" s="6" t="n">
        <v>103</v>
      </c>
      <c r="H22" s="6" t="n">
        <v>7</v>
      </c>
      <c r="I22" s="15" t="n">
        <f aca="false">IFERROR(H22/F22,0)</f>
        <v>0.0636363636363636</v>
      </c>
    </row>
    <row r="23" customFormat="false" ht="14.25" hidden="false" customHeight="true" outlineLevel="0" collapsed="false">
      <c r="A23" s="12" t="s">
        <v>11</v>
      </c>
      <c r="B23" s="12" t="s">
        <v>58</v>
      </c>
      <c r="C23" s="12" t="s">
        <v>183</v>
      </c>
      <c r="D23" s="12" t="s">
        <v>53</v>
      </c>
      <c r="E23" s="12" t="s">
        <v>198</v>
      </c>
      <c r="F23" s="6" t="n">
        <v>55</v>
      </c>
      <c r="G23" s="6" t="n">
        <v>50</v>
      </c>
      <c r="H23" s="6" t="n">
        <v>5</v>
      </c>
      <c r="I23" s="15" t="n">
        <f aca="false">IFERROR(H23/F23,0)</f>
        <v>0.0909090909090909</v>
      </c>
    </row>
    <row r="24" customFormat="false" ht="14.25" hidden="false" customHeight="true" outlineLevel="0" collapsed="false">
      <c r="A24" s="12" t="s">
        <v>11</v>
      </c>
      <c r="B24" s="12" t="s">
        <v>58</v>
      </c>
      <c r="C24" s="12" t="s">
        <v>183</v>
      </c>
      <c r="D24" s="12" t="s">
        <v>53</v>
      </c>
      <c r="E24" s="12" t="s">
        <v>199</v>
      </c>
      <c r="F24" s="6" t="n">
        <v>15</v>
      </c>
      <c r="G24" s="6" t="n">
        <v>7</v>
      </c>
      <c r="H24" s="6" t="n">
        <v>8</v>
      </c>
      <c r="I24" s="15" t="n">
        <f aca="false">IFERROR(H24/F24,0)</f>
        <v>0.533333333333333</v>
      </c>
    </row>
    <row r="25" customFormat="false" ht="14.25" hidden="false" customHeight="true" outlineLevel="0" collapsed="false">
      <c r="A25" s="12" t="s">
        <v>12</v>
      </c>
      <c r="B25" s="12" t="s">
        <v>58</v>
      </c>
      <c r="C25" s="12" t="s">
        <v>183</v>
      </c>
      <c r="D25" s="12" t="s">
        <v>53</v>
      </c>
      <c r="E25" s="12" t="s">
        <v>199</v>
      </c>
      <c r="F25" s="6" t="n">
        <v>103</v>
      </c>
      <c r="G25" s="6" t="n">
        <v>101</v>
      </c>
      <c r="H25" s="6" t="n">
        <v>2</v>
      </c>
      <c r="I25" s="15" t="n">
        <f aca="false">IFERROR(H25/F25,0)</f>
        <v>0.0194174757281553</v>
      </c>
    </row>
    <row r="26" customFormat="false" ht="14.25" hidden="false" customHeight="true" outlineLevel="0" collapsed="false">
      <c r="A26" s="12" t="s">
        <v>12</v>
      </c>
      <c r="B26" s="12" t="s">
        <v>58</v>
      </c>
      <c r="C26" s="12" t="s">
        <v>183</v>
      </c>
      <c r="D26" s="12" t="s">
        <v>53</v>
      </c>
      <c r="E26" s="12" t="s">
        <v>198</v>
      </c>
      <c r="F26" s="6" t="n">
        <v>97</v>
      </c>
      <c r="G26" s="6" t="n">
        <v>89</v>
      </c>
      <c r="H26" s="6" t="n">
        <v>8</v>
      </c>
      <c r="I26" s="15" t="n">
        <f aca="false">IFERROR(H26/F26,0)</f>
        <v>0.0824742268041237</v>
      </c>
    </row>
    <row r="27" customFormat="false" ht="14.25" hidden="false" customHeight="true" outlineLevel="0" collapsed="false">
      <c r="A27" s="12" t="s">
        <v>13</v>
      </c>
      <c r="B27" s="12" t="s">
        <v>81</v>
      </c>
      <c r="C27" s="12" t="s">
        <v>183</v>
      </c>
      <c r="D27" s="12" t="s">
        <v>193</v>
      </c>
      <c r="E27" s="12" t="s">
        <v>200</v>
      </c>
      <c r="F27" s="6" t="n">
        <v>55</v>
      </c>
      <c r="G27" s="6" t="n">
        <v>36</v>
      </c>
      <c r="H27" s="6" t="n">
        <v>19</v>
      </c>
      <c r="I27" s="15" t="n">
        <f aca="false">IFERROR(H27/F27,0)</f>
        <v>0.345454545454545</v>
      </c>
    </row>
    <row r="28" customFormat="false" ht="14.25" hidden="false" customHeight="true" outlineLevel="0" collapsed="false">
      <c r="A28" s="12" t="s">
        <v>13</v>
      </c>
      <c r="B28" s="12" t="s">
        <v>81</v>
      </c>
      <c r="C28" s="12" t="s">
        <v>183</v>
      </c>
      <c r="D28" s="12" t="s">
        <v>193</v>
      </c>
      <c r="E28" s="12" t="s">
        <v>201</v>
      </c>
      <c r="F28" s="6" t="n">
        <v>48</v>
      </c>
      <c r="G28" s="6" t="n">
        <v>33</v>
      </c>
      <c r="H28" s="6" t="n">
        <v>15</v>
      </c>
      <c r="I28" s="15" t="n">
        <f aca="false">IFERROR(H28/F28,0)</f>
        <v>0.3125</v>
      </c>
    </row>
    <row r="29" customFormat="false" ht="14.25" hidden="false" customHeight="true" outlineLevel="0" collapsed="false">
      <c r="A29" s="12" t="s">
        <v>13</v>
      </c>
      <c r="B29" s="12" t="s">
        <v>81</v>
      </c>
      <c r="C29" s="12" t="s">
        <v>183</v>
      </c>
      <c r="D29" s="12" t="s">
        <v>193</v>
      </c>
      <c r="E29" s="12" t="s">
        <v>202</v>
      </c>
      <c r="F29" s="6" t="n">
        <v>15</v>
      </c>
      <c r="G29" s="6" t="n">
        <v>10</v>
      </c>
      <c r="H29" s="6" t="n">
        <v>5</v>
      </c>
      <c r="I29" s="15" t="n">
        <f aca="false">IFERROR(H29/F29,0)</f>
        <v>0.333333333333333</v>
      </c>
    </row>
    <row r="30" customFormat="false" ht="14.25" hidden="false" customHeight="true" outlineLevel="0" collapsed="false">
      <c r="A30" s="12" t="s">
        <v>13</v>
      </c>
      <c r="B30" s="12" t="s">
        <v>58</v>
      </c>
      <c r="C30" s="12" t="s">
        <v>183</v>
      </c>
      <c r="D30" s="12" t="s">
        <v>53</v>
      </c>
      <c r="E30" s="12" t="s">
        <v>199</v>
      </c>
      <c r="F30" s="6" t="n">
        <v>150</v>
      </c>
      <c r="G30" s="6" t="n">
        <v>126</v>
      </c>
      <c r="H30" s="6" t="n">
        <v>24</v>
      </c>
      <c r="I30" s="15" t="n">
        <f aca="false">IFERROR(H30/F30,0)</f>
        <v>0.16</v>
      </c>
    </row>
    <row r="31" customFormat="false" ht="14.25" hidden="false" customHeight="true" outlineLevel="0" collapsed="false">
      <c r="A31" s="12" t="s">
        <v>13</v>
      </c>
      <c r="B31" s="12" t="s">
        <v>58</v>
      </c>
      <c r="C31" s="12" t="s">
        <v>183</v>
      </c>
      <c r="D31" s="12" t="s">
        <v>53</v>
      </c>
      <c r="E31" s="12" t="s">
        <v>56</v>
      </c>
      <c r="F31" s="6" t="n">
        <v>20</v>
      </c>
      <c r="G31" s="6" t="n">
        <v>20</v>
      </c>
      <c r="H31" s="6" t="n">
        <v>0</v>
      </c>
      <c r="I31" s="15" t="n">
        <f aca="false">IFERROR(H31/F31,0)</f>
        <v>0</v>
      </c>
    </row>
    <row r="32" customFormat="false" ht="14.25" hidden="false" customHeight="true" outlineLevel="0" collapsed="false">
      <c r="A32" s="12" t="s">
        <v>14</v>
      </c>
      <c r="B32" s="12" t="s">
        <v>81</v>
      </c>
      <c r="C32" s="12" t="s">
        <v>183</v>
      </c>
      <c r="D32" s="12" t="s">
        <v>193</v>
      </c>
      <c r="E32" s="12" t="s">
        <v>201</v>
      </c>
      <c r="F32" s="6" t="n">
        <v>30</v>
      </c>
      <c r="G32" s="6" t="n">
        <v>26</v>
      </c>
      <c r="H32" s="6" t="n">
        <v>4</v>
      </c>
      <c r="I32" s="15" t="n">
        <f aca="false">IFERROR(H32/F32,0)</f>
        <v>0.133333333333333</v>
      </c>
    </row>
    <row r="33" customFormat="false" ht="14.25" hidden="false" customHeight="true" outlineLevel="0" collapsed="false">
      <c r="A33" s="12" t="s">
        <v>14</v>
      </c>
      <c r="B33" s="12" t="s">
        <v>58</v>
      </c>
      <c r="C33" s="12" t="s">
        <v>183</v>
      </c>
      <c r="D33" s="12" t="s">
        <v>53</v>
      </c>
      <c r="E33" s="12" t="s">
        <v>56</v>
      </c>
      <c r="F33" s="6" t="n">
        <v>270</v>
      </c>
      <c r="G33" s="6" t="n">
        <v>256</v>
      </c>
      <c r="H33" s="6" t="n">
        <v>14</v>
      </c>
      <c r="I33" s="15" t="n">
        <f aca="false">IFERROR(H33/F33,0)</f>
        <v>0.0518518518518519</v>
      </c>
    </row>
    <row r="34" customFormat="false" ht="14.25" hidden="false" customHeight="true" outlineLevel="0" collapsed="false">
      <c r="A34" s="12" t="s">
        <v>15</v>
      </c>
      <c r="B34" s="12" t="s">
        <v>81</v>
      </c>
      <c r="C34" s="12" t="s">
        <v>183</v>
      </c>
      <c r="D34" s="12" t="s">
        <v>193</v>
      </c>
      <c r="E34" s="12" t="s">
        <v>203</v>
      </c>
      <c r="F34" s="6" t="n">
        <v>60</v>
      </c>
      <c r="G34" s="6" t="n">
        <v>5</v>
      </c>
      <c r="H34" s="6" t="n">
        <v>55</v>
      </c>
      <c r="I34" s="15" t="n">
        <f aca="false">IFERROR(H34/F34,0)</f>
        <v>0.916666666666667</v>
      </c>
    </row>
    <row r="35" customFormat="false" ht="14.25" hidden="false" customHeight="true" outlineLevel="0" collapsed="false">
      <c r="A35" s="12" t="s">
        <v>15</v>
      </c>
      <c r="B35" s="12" t="s">
        <v>81</v>
      </c>
      <c r="C35" s="12" t="s">
        <v>183</v>
      </c>
      <c r="D35" s="12" t="s">
        <v>193</v>
      </c>
      <c r="E35" s="12" t="s">
        <v>204</v>
      </c>
      <c r="F35" s="6" t="n">
        <v>82</v>
      </c>
      <c r="G35" s="6" t="n">
        <v>0</v>
      </c>
      <c r="H35" s="6" t="n">
        <v>82</v>
      </c>
      <c r="I35" s="15" t="n">
        <f aca="false">IFERROR(H35/F35,0)</f>
        <v>1</v>
      </c>
    </row>
    <row r="36" customFormat="false" ht="14.25" hidden="false" customHeight="true" outlineLevel="0" collapsed="false">
      <c r="A36" s="12" t="s">
        <v>15</v>
      </c>
      <c r="B36" s="12" t="s">
        <v>81</v>
      </c>
      <c r="C36" s="12" t="s">
        <v>183</v>
      </c>
      <c r="D36" s="12" t="s">
        <v>193</v>
      </c>
      <c r="E36" s="12" t="s">
        <v>205</v>
      </c>
      <c r="F36" s="6" t="n">
        <v>78</v>
      </c>
      <c r="G36" s="6" t="n">
        <v>20</v>
      </c>
      <c r="H36" s="6" t="n">
        <v>58</v>
      </c>
      <c r="I36" s="15" t="n">
        <f aca="false">IFERROR(H36/F36,0)</f>
        <v>0.743589743589744</v>
      </c>
    </row>
    <row r="37" customFormat="false" ht="14.25" hidden="false" customHeight="true" outlineLevel="0" collapsed="false">
      <c r="A37" s="12" t="s">
        <v>15</v>
      </c>
      <c r="B37" s="12" t="s">
        <v>58</v>
      </c>
      <c r="C37" s="12" t="s">
        <v>183</v>
      </c>
      <c r="D37" s="12" t="s">
        <v>53</v>
      </c>
      <c r="E37" s="12" t="s">
        <v>56</v>
      </c>
      <c r="F37" s="6" t="n">
        <v>65</v>
      </c>
      <c r="G37" s="6" t="n">
        <v>62</v>
      </c>
      <c r="H37" s="6" t="n">
        <v>3</v>
      </c>
      <c r="I37" s="15" t="n">
        <f aca="false">IFERROR(H37/F37,0)</f>
        <v>0.0461538461538462</v>
      </c>
    </row>
    <row r="38" customFormat="false" ht="14.25" hidden="false" customHeight="true" outlineLevel="0" collapsed="false">
      <c r="A38" s="12" t="s">
        <v>15</v>
      </c>
      <c r="B38" s="12" t="s">
        <v>58</v>
      </c>
      <c r="C38" s="12" t="s">
        <v>183</v>
      </c>
      <c r="D38" s="12" t="s">
        <v>53</v>
      </c>
      <c r="E38" s="12" t="s">
        <v>62</v>
      </c>
      <c r="F38" s="6" t="n">
        <v>35</v>
      </c>
      <c r="G38" s="6" t="n">
        <v>35</v>
      </c>
      <c r="H38" s="6" t="n">
        <v>0</v>
      </c>
      <c r="I38" s="15" t="n">
        <f aca="false">IFERROR(H38/F38,0)</f>
        <v>0</v>
      </c>
    </row>
    <row r="39" customFormat="false" ht="14.25" hidden="false" customHeight="true" outlineLevel="0" collapsed="false">
      <c r="A39" s="12" t="s">
        <v>16</v>
      </c>
      <c r="B39" s="12" t="s">
        <v>58</v>
      </c>
      <c r="C39" s="12" t="s">
        <v>183</v>
      </c>
      <c r="D39" s="12" t="s">
        <v>53</v>
      </c>
      <c r="E39" s="12" t="s">
        <v>66</v>
      </c>
      <c r="F39" s="6" t="n">
        <v>172</v>
      </c>
      <c r="G39" s="6" t="n">
        <v>167</v>
      </c>
      <c r="H39" s="6" t="n">
        <v>5</v>
      </c>
      <c r="I39" s="15" t="n">
        <f aca="false">IFERROR(H39/F39,0)</f>
        <v>0.0290697674418605</v>
      </c>
    </row>
    <row r="40" customFormat="false" ht="14.25" hidden="false" customHeight="false" outlineLevel="0" collapsed="false">
      <c r="A40" s="12" t="s">
        <v>16</v>
      </c>
      <c r="B40" s="12" t="s">
        <v>58</v>
      </c>
      <c r="C40" s="12" t="s">
        <v>183</v>
      </c>
      <c r="D40" s="12" t="s">
        <v>53</v>
      </c>
      <c r="E40" s="12" t="s">
        <v>62</v>
      </c>
      <c r="F40" s="6" t="n">
        <v>98</v>
      </c>
      <c r="G40" s="6" t="n">
        <v>98</v>
      </c>
      <c r="H40" s="6" t="n">
        <v>0</v>
      </c>
      <c r="I40" s="15" t="n">
        <f aca="false">IFERROR(H40/F40,0)</f>
        <v>0</v>
      </c>
    </row>
    <row r="41" customFormat="false" ht="14.25" hidden="false" customHeight="false" outlineLevel="0" collapsed="false">
      <c r="A41" s="12" t="s">
        <v>16</v>
      </c>
      <c r="B41" s="12" t="s">
        <v>81</v>
      </c>
      <c r="C41" s="12" t="s">
        <v>183</v>
      </c>
      <c r="D41" s="12" t="s">
        <v>193</v>
      </c>
      <c r="E41" s="12" t="s">
        <v>206</v>
      </c>
      <c r="F41" s="6" t="n">
        <v>7</v>
      </c>
      <c r="G41" s="6" t="n">
        <v>7</v>
      </c>
      <c r="H41" s="6" t="n">
        <v>0</v>
      </c>
      <c r="I41" s="15" t="n">
        <f aca="false">IFERROR(H41/F41,0)</f>
        <v>0</v>
      </c>
    </row>
    <row r="42" customFormat="false" ht="14.25" hidden="false" customHeight="false" outlineLevel="0" collapsed="false">
      <c r="A42" s="17" t="s">
        <v>207</v>
      </c>
      <c r="B42" s="17"/>
      <c r="C42" s="17"/>
      <c r="D42" s="17"/>
      <c r="E42" s="17"/>
      <c r="F42" s="17" t="n">
        <f aca="false">SUM(F2:F41)</f>
        <v>3178</v>
      </c>
      <c r="G42" s="17" t="n">
        <f aca="false">SUM(G2:G41)</f>
        <v>2558</v>
      </c>
      <c r="H42" s="17" t="n">
        <f aca="false">SUM(H2:H41)</f>
        <v>620</v>
      </c>
      <c r="I42" s="21" t="n">
        <f aca="false">IFERROR(H42/F42,0)</f>
        <v>0.195091252359975</v>
      </c>
    </row>
  </sheetData>
  <autoFilter ref="A1:I38"/>
  <conditionalFormatting sqref="I2:I41">
    <cfRule type="colorScale" priority="2">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93" activePane="bottomLeft" state="frozen"/>
      <selection pane="topLeft" activeCell="A1" activeCellId="0" sqref="A1"/>
      <selection pane="bottomLeft" activeCell="H122" activeCellId="0" sqref="H122"/>
    </sheetView>
  </sheetViews>
  <sheetFormatPr defaultColWidth="8.55859375" defaultRowHeight="14.25" zeroHeight="false" outlineLevelRow="0" outlineLevelCol="0"/>
  <cols>
    <col collapsed="false" customWidth="true" hidden="false" outlineLevel="0" max="2" min="1" style="0" width="12"/>
    <col collapsed="false" customWidth="true" hidden="false" outlineLevel="0" max="3" min="3" style="0" width="26"/>
    <col collapsed="false" customWidth="true" hidden="false" outlineLevel="0" max="4" min="4" style="0" width="8"/>
    <col collapsed="false" customWidth="true" hidden="false" outlineLevel="0" max="5" min="5" style="0" width="14"/>
    <col collapsed="false" customWidth="true" hidden="false" outlineLevel="0" max="6" min="6" style="0" width="16"/>
    <col collapsed="false" customWidth="true" hidden="false" outlineLevel="0" max="7" min="7" style="0" width="50"/>
    <col collapsed="false" customWidth="true" hidden="false" outlineLevel="0" max="8" min="8" style="0" width="42"/>
    <col collapsed="false" customWidth="true" hidden="false" outlineLevel="0" max="9" min="9" style="0" width="8"/>
    <col collapsed="false" customWidth="true" hidden="false" outlineLevel="0" max="11" min="10" style="0" width="11"/>
    <col collapsed="false" customWidth="true" hidden="false" outlineLevel="0" max="12" min="12" style="0" width="10"/>
  </cols>
  <sheetData>
    <row r="1" customFormat="false" ht="28.5" hidden="false" customHeight="true" outlineLevel="0" collapsed="false">
      <c r="A1" s="4" t="s">
        <v>176</v>
      </c>
      <c r="B1" s="4" t="s">
        <v>177</v>
      </c>
      <c r="C1" s="4" t="s">
        <v>93</v>
      </c>
      <c r="D1" s="4" t="s">
        <v>208</v>
      </c>
      <c r="E1" s="4" t="s">
        <v>44</v>
      </c>
      <c r="F1" s="4" t="s">
        <v>179</v>
      </c>
      <c r="G1" s="4" t="s">
        <v>209</v>
      </c>
      <c r="H1" s="4" t="s">
        <v>3</v>
      </c>
      <c r="I1" s="4" t="s">
        <v>210</v>
      </c>
      <c r="J1" s="4" t="s">
        <v>211</v>
      </c>
      <c r="K1" s="4" t="s">
        <v>212</v>
      </c>
      <c r="L1" s="4" t="s">
        <v>213</v>
      </c>
    </row>
    <row r="2" customFormat="false" ht="14.25" hidden="false" customHeight="true" outlineLevel="0" collapsed="false">
      <c r="A2" s="5" t="s">
        <v>4</v>
      </c>
      <c r="B2" s="5" t="s">
        <v>58</v>
      </c>
      <c r="C2" s="5" t="s">
        <v>183</v>
      </c>
      <c r="D2" s="5" t="s">
        <v>214</v>
      </c>
      <c r="E2" s="5" t="s">
        <v>53</v>
      </c>
      <c r="F2" s="5" t="s">
        <v>184</v>
      </c>
      <c r="G2" s="5" t="s">
        <v>215</v>
      </c>
      <c r="H2" s="5" t="s">
        <v>18</v>
      </c>
      <c r="I2" s="6" t="n">
        <v>1</v>
      </c>
      <c r="J2" s="6" t="n">
        <v>150</v>
      </c>
      <c r="K2" s="6" t="n">
        <v>131</v>
      </c>
      <c r="L2" s="6" t="n">
        <v>19</v>
      </c>
    </row>
    <row r="3" customFormat="false" ht="14.25" hidden="false" customHeight="true" outlineLevel="0" collapsed="false">
      <c r="A3" s="5" t="s">
        <v>4</v>
      </c>
      <c r="B3" s="5" t="s">
        <v>58</v>
      </c>
      <c r="C3" s="5" t="s">
        <v>183</v>
      </c>
      <c r="D3" s="5" t="s">
        <v>214</v>
      </c>
      <c r="E3" s="5" t="s">
        <v>53</v>
      </c>
      <c r="F3" s="5" t="s">
        <v>184</v>
      </c>
      <c r="G3" s="5" t="s">
        <v>216</v>
      </c>
      <c r="H3" s="5" t="s">
        <v>20</v>
      </c>
      <c r="I3" s="6" t="n">
        <v>1</v>
      </c>
      <c r="J3" s="6" t="n">
        <v>150</v>
      </c>
      <c r="K3" s="6" t="n">
        <v>131</v>
      </c>
      <c r="L3" s="6" t="n">
        <v>19</v>
      </c>
    </row>
    <row r="4" customFormat="false" ht="14.25" hidden="false" customHeight="true" outlineLevel="0" collapsed="false">
      <c r="A4" s="5" t="s">
        <v>4</v>
      </c>
      <c r="B4" s="5" t="s">
        <v>58</v>
      </c>
      <c r="C4" s="5" t="s">
        <v>183</v>
      </c>
      <c r="D4" s="5" t="s">
        <v>214</v>
      </c>
      <c r="E4" s="5" t="s">
        <v>53</v>
      </c>
      <c r="F4" s="5" t="s">
        <v>184</v>
      </c>
      <c r="G4" s="5" t="s">
        <v>217</v>
      </c>
      <c r="H4" s="5" t="s">
        <v>22</v>
      </c>
      <c r="I4" s="6" t="n">
        <v>8</v>
      </c>
      <c r="J4" s="6" t="n">
        <v>150</v>
      </c>
      <c r="K4" s="6" t="n">
        <v>131</v>
      </c>
      <c r="L4" s="6" t="n">
        <v>19</v>
      </c>
    </row>
    <row r="5" customFormat="false" ht="14.25" hidden="false" customHeight="true" outlineLevel="0" collapsed="false">
      <c r="A5" s="5" t="s">
        <v>4</v>
      </c>
      <c r="B5" s="5" t="s">
        <v>58</v>
      </c>
      <c r="C5" s="5" t="s">
        <v>183</v>
      </c>
      <c r="D5" s="5" t="s">
        <v>214</v>
      </c>
      <c r="E5" s="5" t="s">
        <v>53</v>
      </c>
      <c r="F5" s="5" t="s">
        <v>184</v>
      </c>
      <c r="G5" s="5" t="s">
        <v>218</v>
      </c>
      <c r="H5" s="5" t="s">
        <v>23</v>
      </c>
      <c r="I5" s="6" t="n">
        <v>5</v>
      </c>
      <c r="J5" s="6" t="n">
        <v>150</v>
      </c>
      <c r="K5" s="6" t="n">
        <v>131</v>
      </c>
      <c r="L5" s="6" t="n">
        <v>19</v>
      </c>
    </row>
    <row r="6" customFormat="false" ht="14.25" hidden="false" customHeight="true" outlineLevel="0" collapsed="false">
      <c r="A6" s="5" t="s">
        <v>4</v>
      </c>
      <c r="B6" s="5" t="s">
        <v>58</v>
      </c>
      <c r="C6" s="5" t="s">
        <v>183</v>
      </c>
      <c r="D6" s="5" t="s">
        <v>214</v>
      </c>
      <c r="E6" s="5" t="s">
        <v>53</v>
      </c>
      <c r="F6" s="5" t="s">
        <v>184</v>
      </c>
      <c r="G6" s="5" t="s">
        <v>219</v>
      </c>
      <c r="H6" s="5" t="s">
        <v>24</v>
      </c>
      <c r="I6" s="6" t="n">
        <v>3</v>
      </c>
      <c r="J6" s="6" t="n">
        <v>150</v>
      </c>
      <c r="K6" s="6" t="n">
        <v>131</v>
      </c>
      <c r="L6" s="6" t="n">
        <v>19</v>
      </c>
    </row>
    <row r="7" customFormat="false" ht="14.25" hidden="false" customHeight="true" outlineLevel="0" collapsed="false">
      <c r="A7" s="5" t="s">
        <v>4</v>
      </c>
      <c r="B7" s="5" t="s">
        <v>58</v>
      </c>
      <c r="C7" s="5" t="s">
        <v>183</v>
      </c>
      <c r="D7" s="5" t="s">
        <v>214</v>
      </c>
      <c r="E7" s="5" t="s">
        <v>53</v>
      </c>
      <c r="F7" s="5" t="s">
        <v>184</v>
      </c>
      <c r="G7" s="5" t="s">
        <v>25</v>
      </c>
      <c r="H7" s="5" t="s">
        <v>25</v>
      </c>
      <c r="I7" s="6" t="n">
        <v>1</v>
      </c>
      <c r="J7" s="6" t="n">
        <v>150</v>
      </c>
      <c r="K7" s="6" t="n">
        <v>131</v>
      </c>
      <c r="L7" s="6" t="n">
        <v>19</v>
      </c>
    </row>
    <row r="8" customFormat="false" ht="14.25" hidden="false" customHeight="true" outlineLevel="0" collapsed="false">
      <c r="A8" s="5" t="s">
        <v>5</v>
      </c>
      <c r="B8" s="5" t="s">
        <v>58</v>
      </c>
      <c r="C8" s="5" t="s">
        <v>183</v>
      </c>
      <c r="D8" s="5" t="s">
        <v>214</v>
      </c>
      <c r="E8" s="5" t="s">
        <v>53</v>
      </c>
      <c r="F8" s="5" t="s">
        <v>184</v>
      </c>
      <c r="G8" s="5" t="s">
        <v>215</v>
      </c>
      <c r="H8" s="5" t="s">
        <v>18</v>
      </c>
      <c r="I8" s="6" t="n">
        <v>17</v>
      </c>
      <c r="J8" s="6" t="n">
        <v>181</v>
      </c>
      <c r="K8" s="6" t="n">
        <v>138</v>
      </c>
      <c r="L8" s="6" t="n">
        <v>43</v>
      </c>
    </row>
    <row r="9" customFormat="false" ht="14.25" hidden="false" customHeight="true" outlineLevel="0" collapsed="false">
      <c r="A9" s="5" t="s">
        <v>5</v>
      </c>
      <c r="B9" s="5" t="s">
        <v>58</v>
      </c>
      <c r="C9" s="5" t="s">
        <v>183</v>
      </c>
      <c r="D9" s="5" t="s">
        <v>214</v>
      </c>
      <c r="E9" s="5" t="s">
        <v>53</v>
      </c>
      <c r="F9" s="5" t="s">
        <v>184</v>
      </c>
      <c r="G9" s="5" t="s">
        <v>216</v>
      </c>
      <c r="H9" s="5" t="s">
        <v>20</v>
      </c>
      <c r="I9" s="6" t="n">
        <v>10</v>
      </c>
      <c r="J9" s="6" t="n">
        <v>181</v>
      </c>
      <c r="K9" s="6" t="n">
        <v>138</v>
      </c>
      <c r="L9" s="6" t="n">
        <v>43</v>
      </c>
    </row>
    <row r="10" customFormat="false" ht="14.25" hidden="false" customHeight="true" outlineLevel="0" collapsed="false">
      <c r="A10" s="5" t="s">
        <v>5</v>
      </c>
      <c r="B10" s="5" t="s">
        <v>58</v>
      </c>
      <c r="C10" s="5" t="s">
        <v>183</v>
      </c>
      <c r="D10" s="5" t="s">
        <v>214</v>
      </c>
      <c r="E10" s="5" t="s">
        <v>53</v>
      </c>
      <c r="F10" s="5" t="s">
        <v>184</v>
      </c>
      <c r="G10" s="5" t="s">
        <v>220</v>
      </c>
      <c r="H10" s="5" t="s">
        <v>21</v>
      </c>
      <c r="I10" s="6" t="n">
        <v>1</v>
      </c>
      <c r="J10" s="6" t="n">
        <v>181</v>
      </c>
      <c r="K10" s="6" t="n">
        <v>138</v>
      </c>
      <c r="L10" s="6" t="n">
        <v>43</v>
      </c>
    </row>
    <row r="11" customFormat="false" ht="14.25" hidden="false" customHeight="true" outlineLevel="0" collapsed="false">
      <c r="A11" s="5" t="s">
        <v>5</v>
      </c>
      <c r="B11" s="5" t="s">
        <v>58</v>
      </c>
      <c r="C11" s="5" t="s">
        <v>183</v>
      </c>
      <c r="D11" s="5" t="s">
        <v>214</v>
      </c>
      <c r="E11" s="5" t="s">
        <v>53</v>
      </c>
      <c r="F11" s="5" t="s">
        <v>184</v>
      </c>
      <c r="G11" s="5" t="s">
        <v>217</v>
      </c>
      <c r="H11" s="5" t="s">
        <v>22</v>
      </c>
      <c r="I11" s="6" t="n">
        <v>5</v>
      </c>
      <c r="J11" s="6" t="n">
        <v>181</v>
      </c>
      <c r="K11" s="6" t="n">
        <v>138</v>
      </c>
      <c r="L11" s="6" t="n">
        <v>43</v>
      </c>
    </row>
    <row r="12" customFormat="false" ht="14.25" hidden="false" customHeight="true" outlineLevel="0" collapsed="false">
      <c r="A12" s="5" t="s">
        <v>5</v>
      </c>
      <c r="B12" s="5" t="s">
        <v>58</v>
      </c>
      <c r="C12" s="5" t="s">
        <v>183</v>
      </c>
      <c r="D12" s="5" t="s">
        <v>214</v>
      </c>
      <c r="E12" s="5" t="s">
        <v>53</v>
      </c>
      <c r="F12" s="5" t="s">
        <v>184</v>
      </c>
      <c r="G12" s="5" t="s">
        <v>221</v>
      </c>
      <c r="H12" s="5" t="s">
        <v>23</v>
      </c>
      <c r="I12" s="6" t="n">
        <v>6</v>
      </c>
      <c r="J12" s="6" t="n">
        <v>181</v>
      </c>
      <c r="K12" s="6" t="n">
        <v>138</v>
      </c>
      <c r="L12" s="6" t="n">
        <v>43</v>
      </c>
    </row>
    <row r="13" customFormat="false" ht="14.25" hidden="false" customHeight="true" outlineLevel="0" collapsed="false">
      <c r="A13" s="5" t="s">
        <v>5</v>
      </c>
      <c r="B13" s="5" t="s">
        <v>58</v>
      </c>
      <c r="C13" s="5" t="s">
        <v>183</v>
      </c>
      <c r="D13" s="5" t="s">
        <v>214</v>
      </c>
      <c r="E13" s="5" t="s">
        <v>53</v>
      </c>
      <c r="F13" s="5" t="s">
        <v>184</v>
      </c>
      <c r="G13" s="5" t="s">
        <v>222</v>
      </c>
      <c r="H13" s="5" t="s">
        <v>24</v>
      </c>
      <c r="I13" s="6" t="n">
        <v>2</v>
      </c>
      <c r="J13" s="6" t="n">
        <v>181</v>
      </c>
      <c r="K13" s="6" t="n">
        <v>138</v>
      </c>
      <c r="L13" s="6" t="n">
        <v>43</v>
      </c>
    </row>
    <row r="14" customFormat="false" ht="14.25" hidden="false" customHeight="true" outlineLevel="0" collapsed="false">
      <c r="A14" s="5" t="s">
        <v>5</v>
      </c>
      <c r="B14" s="5" t="s">
        <v>58</v>
      </c>
      <c r="C14" s="5" t="s">
        <v>183</v>
      </c>
      <c r="D14" s="5" t="s">
        <v>214</v>
      </c>
      <c r="E14" s="5" t="s">
        <v>53</v>
      </c>
      <c r="F14" s="5" t="s">
        <v>184</v>
      </c>
      <c r="G14" s="5" t="s">
        <v>25</v>
      </c>
      <c r="H14" s="5" t="s">
        <v>25</v>
      </c>
      <c r="I14" s="6" t="n">
        <v>2</v>
      </c>
      <c r="J14" s="6" t="n">
        <v>181</v>
      </c>
      <c r="K14" s="6" t="n">
        <v>138</v>
      </c>
      <c r="L14" s="6" t="n">
        <v>43</v>
      </c>
    </row>
    <row r="15" customFormat="false" ht="14.25" hidden="false" customHeight="true" outlineLevel="0" collapsed="false">
      <c r="A15" s="5" t="s">
        <v>6</v>
      </c>
      <c r="B15" s="5" t="s">
        <v>58</v>
      </c>
      <c r="C15" s="5" t="s">
        <v>183</v>
      </c>
      <c r="D15" s="5" t="s">
        <v>214</v>
      </c>
      <c r="E15" s="5" t="s">
        <v>53</v>
      </c>
      <c r="F15" s="5" t="s">
        <v>191</v>
      </c>
      <c r="G15" s="5" t="s">
        <v>215</v>
      </c>
      <c r="H15" s="5" t="s">
        <v>18</v>
      </c>
      <c r="I15" s="6" t="n">
        <v>9</v>
      </c>
      <c r="J15" s="6" t="n">
        <v>160</v>
      </c>
      <c r="K15" s="6" t="n">
        <v>126</v>
      </c>
      <c r="L15" s="6" t="n">
        <v>34</v>
      </c>
    </row>
    <row r="16" customFormat="false" ht="14.25" hidden="false" customHeight="true" outlineLevel="0" collapsed="false">
      <c r="A16" s="5" t="s">
        <v>6</v>
      </c>
      <c r="B16" s="5" t="s">
        <v>58</v>
      </c>
      <c r="C16" s="5" t="s">
        <v>183</v>
      </c>
      <c r="D16" s="5" t="s">
        <v>214</v>
      </c>
      <c r="E16" s="5" t="s">
        <v>53</v>
      </c>
      <c r="F16" s="5" t="s">
        <v>191</v>
      </c>
      <c r="G16" s="5" t="s">
        <v>216</v>
      </c>
      <c r="H16" s="5" t="s">
        <v>20</v>
      </c>
      <c r="I16" s="6" t="n">
        <v>5</v>
      </c>
      <c r="J16" s="6" t="n">
        <v>160</v>
      </c>
      <c r="K16" s="6" t="n">
        <v>126</v>
      </c>
      <c r="L16" s="6" t="n">
        <v>34</v>
      </c>
    </row>
    <row r="17" customFormat="false" ht="14.25" hidden="false" customHeight="true" outlineLevel="0" collapsed="false">
      <c r="A17" s="5" t="s">
        <v>6</v>
      </c>
      <c r="B17" s="5" t="s">
        <v>58</v>
      </c>
      <c r="C17" s="5" t="s">
        <v>183</v>
      </c>
      <c r="D17" s="5" t="s">
        <v>214</v>
      </c>
      <c r="E17" s="5" t="s">
        <v>53</v>
      </c>
      <c r="F17" s="5" t="s">
        <v>191</v>
      </c>
      <c r="G17" s="5" t="s">
        <v>217</v>
      </c>
      <c r="H17" s="5" t="s">
        <v>22</v>
      </c>
      <c r="I17" s="6" t="n">
        <v>10</v>
      </c>
      <c r="J17" s="6" t="n">
        <v>160</v>
      </c>
      <c r="K17" s="6" t="n">
        <v>126</v>
      </c>
      <c r="L17" s="6" t="n">
        <v>34</v>
      </c>
    </row>
    <row r="18" customFormat="false" ht="14.25" hidden="false" customHeight="true" outlineLevel="0" collapsed="false">
      <c r="A18" s="5" t="s">
        <v>6</v>
      </c>
      <c r="B18" s="5" t="s">
        <v>58</v>
      </c>
      <c r="C18" s="5" t="s">
        <v>183</v>
      </c>
      <c r="D18" s="5" t="s">
        <v>214</v>
      </c>
      <c r="E18" s="5" t="s">
        <v>53</v>
      </c>
      <c r="F18" s="5" t="s">
        <v>191</v>
      </c>
      <c r="G18" s="5" t="s">
        <v>218</v>
      </c>
      <c r="H18" s="5" t="s">
        <v>23</v>
      </c>
      <c r="I18" s="6" t="n">
        <v>6</v>
      </c>
      <c r="J18" s="6" t="n">
        <v>160</v>
      </c>
      <c r="K18" s="6" t="n">
        <v>126</v>
      </c>
      <c r="L18" s="6" t="n">
        <v>34</v>
      </c>
    </row>
    <row r="19" customFormat="false" ht="14.25" hidden="false" customHeight="true" outlineLevel="0" collapsed="false">
      <c r="A19" s="5" t="s">
        <v>6</v>
      </c>
      <c r="B19" s="5" t="s">
        <v>58</v>
      </c>
      <c r="C19" s="5" t="s">
        <v>183</v>
      </c>
      <c r="D19" s="5" t="s">
        <v>214</v>
      </c>
      <c r="E19" s="5" t="s">
        <v>53</v>
      </c>
      <c r="F19" s="5" t="s">
        <v>191</v>
      </c>
      <c r="G19" s="5" t="s">
        <v>219</v>
      </c>
      <c r="H19" s="5" t="s">
        <v>24</v>
      </c>
      <c r="I19" s="6" t="n">
        <v>1</v>
      </c>
      <c r="J19" s="6" t="n">
        <v>160</v>
      </c>
      <c r="K19" s="6" t="n">
        <v>126</v>
      </c>
      <c r="L19" s="6" t="n">
        <v>34</v>
      </c>
    </row>
    <row r="20" customFormat="false" ht="14.25" hidden="false" customHeight="true" outlineLevel="0" collapsed="false">
      <c r="A20" s="5" t="s">
        <v>6</v>
      </c>
      <c r="B20" s="5" t="s">
        <v>58</v>
      </c>
      <c r="C20" s="5" t="s">
        <v>183</v>
      </c>
      <c r="D20" s="5" t="s">
        <v>214</v>
      </c>
      <c r="E20" s="5" t="s">
        <v>53</v>
      </c>
      <c r="F20" s="5" t="s">
        <v>191</v>
      </c>
      <c r="G20" s="5" t="s">
        <v>26</v>
      </c>
      <c r="H20" s="5" t="s">
        <v>26</v>
      </c>
      <c r="I20" s="6" t="n">
        <v>3</v>
      </c>
      <c r="J20" s="6" t="n">
        <v>160</v>
      </c>
      <c r="K20" s="6" t="n">
        <v>126</v>
      </c>
      <c r="L20" s="6" t="n">
        <v>34</v>
      </c>
    </row>
    <row r="21" customFormat="false" ht="14.25" hidden="false" customHeight="true" outlineLevel="0" collapsed="false">
      <c r="A21" s="5" t="s">
        <v>6</v>
      </c>
      <c r="B21" s="5" t="s">
        <v>58</v>
      </c>
      <c r="C21" s="5" t="s">
        <v>183</v>
      </c>
      <c r="D21" s="5" t="s">
        <v>214</v>
      </c>
      <c r="E21" s="5" t="s">
        <v>53</v>
      </c>
      <c r="F21" s="5" t="s">
        <v>192</v>
      </c>
      <c r="G21" s="5" t="s">
        <v>215</v>
      </c>
      <c r="H21" s="5" t="s">
        <v>18</v>
      </c>
      <c r="I21" s="6" t="n">
        <v>15</v>
      </c>
      <c r="J21" s="6" t="n">
        <v>50</v>
      </c>
      <c r="K21" s="6" t="n">
        <v>27</v>
      </c>
      <c r="L21" s="6" t="n">
        <v>23</v>
      </c>
    </row>
    <row r="22" customFormat="false" ht="14.25" hidden="false" customHeight="true" outlineLevel="0" collapsed="false">
      <c r="A22" s="5" t="s">
        <v>6</v>
      </c>
      <c r="B22" s="5" t="s">
        <v>58</v>
      </c>
      <c r="C22" s="5" t="s">
        <v>183</v>
      </c>
      <c r="D22" s="5" t="s">
        <v>214</v>
      </c>
      <c r="E22" s="5" t="s">
        <v>53</v>
      </c>
      <c r="F22" s="5" t="s">
        <v>192</v>
      </c>
      <c r="G22" s="5" t="s">
        <v>216</v>
      </c>
      <c r="H22" s="5" t="s">
        <v>20</v>
      </c>
      <c r="I22" s="6" t="n">
        <v>2</v>
      </c>
      <c r="J22" s="6" t="n">
        <v>50</v>
      </c>
      <c r="K22" s="6" t="n">
        <v>27</v>
      </c>
      <c r="L22" s="6" t="n">
        <v>23</v>
      </c>
    </row>
    <row r="23" customFormat="false" ht="14.25" hidden="false" customHeight="true" outlineLevel="0" collapsed="false">
      <c r="A23" s="5" t="s">
        <v>6</v>
      </c>
      <c r="B23" s="5" t="s">
        <v>58</v>
      </c>
      <c r="C23" s="5" t="s">
        <v>183</v>
      </c>
      <c r="D23" s="5" t="s">
        <v>214</v>
      </c>
      <c r="E23" s="5" t="s">
        <v>53</v>
      </c>
      <c r="F23" s="5" t="s">
        <v>192</v>
      </c>
      <c r="G23" s="5" t="s">
        <v>217</v>
      </c>
      <c r="H23" s="5" t="s">
        <v>22</v>
      </c>
      <c r="I23" s="6" t="n">
        <v>5</v>
      </c>
      <c r="J23" s="6" t="n">
        <v>50</v>
      </c>
      <c r="K23" s="6" t="n">
        <v>27</v>
      </c>
      <c r="L23" s="6" t="n">
        <v>23</v>
      </c>
    </row>
    <row r="24" customFormat="false" ht="14.25" hidden="false" customHeight="true" outlineLevel="0" collapsed="false">
      <c r="A24" s="5" t="s">
        <v>6</v>
      </c>
      <c r="B24" s="5" t="s">
        <v>58</v>
      </c>
      <c r="C24" s="5" t="s">
        <v>183</v>
      </c>
      <c r="D24" s="5" t="s">
        <v>214</v>
      </c>
      <c r="E24" s="5" t="s">
        <v>53</v>
      </c>
      <c r="F24" s="5" t="s">
        <v>192</v>
      </c>
      <c r="G24" s="5" t="s">
        <v>223</v>
      </c>
      <c r="H24" s="5" t="s">
        <v>23</v>
      </c>
      <c r="I24" s="6" t="n">
        <v>1</v>
      </c>
      <c r="J24" s="6" t="n">
        <v>50</v>
      </c>
      <c r="K24" s="6" t="n">
        <v>27</v>
      </c>
      <c r="L24" s="6" t="n">
        <v>23</v>
      </c>
    </row>
    <row r="25" customFormat="false" ht="14.25" hidden="false" customHeight="true" outlineLevel="0" collapsed="false">
      <c r="A25" s="5" t="s">
        <v>7</v>
      </c>
      <c r="B25" s="5" t="s">
        <v>58</v>
      </c>
      <c r="C25" s="5" t="s">
        <v>183</v>
      </c>
      <c r="D25" s="5" t="s">
        <v>214</v>
      </c>
      <c r="E25" s="5" t="s">
        <v>53</v>
      </c>
      <c r="F25" s="5" t="s">
        <v>192</v>
      </c>
      <c r="G25" s="5" t="s">
        <v>215</v>
      </c>
      <c r="H25" s="5" t="s">
        <v>18</v>
      </c>
      <c r="I25" s="6" t="n">
        <v>3</v>
      </c>
      <c r="J25" s="6" t="n">
        <v>127</v>
      </c>
      <c r="K25" s="6" t="n">
        <v>106</v>
      </c>
      <c r="L25" s="6" t="n">
        <v>21</v>
      </c>
    </row>
    <row r="26" customFormat="false" ht="14.25" hidden="false" customHeight="true" outlineLevel="0" collapsed="false">
      <c r="A26" s="5" t="s">
        <v>7</v>
      </c>
      <c r="B26" s="5" t="s">
        <v>58</v>
      </c>
      <c r="C26" s="5" t="s">
        <v>183</v>
      </c>
      <c r="D26" s="5" t="s">
        <v>214</v>
      </c>
      <c r="E26" s="5" t="s">
        <v>53</v>
      </c>
      <c r="F26" s="5" t="s">
        <v>192</v>
      </c>
      <c r="G26" s="5" t="s">
        <v>216</v>
      </c>
      <c r="H26" s="5" t="s">
        <v>20</v>
      </c>
      <c r="I26" s="6" t="n">
        <v>8</v>
      </c>
      <c r="J26" s="6" t="n">
        <v>127</v>
      </c>
      <c r="K26" s="6" t="n">
        <v>106</v>
      </c>
      <c r="L26" s="6" t="n">
        <v>21</v>
      </c>
    </row>
    <row r="27" customFormat="false" ht="14.25" hidden="false" customHeight="true" outlineLevel="0" collapsed="false">
      <c r="A27" s="5" t="s">
        <v>7</v>
      </c>
      <c r="B27" s="5" t="s">
        <v>58</v>
      </c>
      <c r="C27" s="5" t="s">
        <v>183</v>
      </c>
      <c r="D27" s="5" t="s">
        <v>214</v>
      </c>
      <c r="E27" s="5" t="s">
        <v>53</v>
      </c>
      <c r="F27" s="5" t="s">
        <v>192</v>
      </c>
      <c r="G27" s="5" t="s">
        <v>217</v>
      </c>
      <c r="H27" s="5" t="s">
        <v>22</v>
      </c>
      <c r="I27" s="6" t="n">
        <v>5</v>
      </c>
      <c r="J27" s="6" t="n">
        <v>127</v>
      </c>
      <c r="K27" s="6" t="n">
        <v>106</v>
      </c>
      <c r="L27" s="6" t="n">
        <v>21</v>
      </c>
    </row>
    <row r="28" customFormat="false" ht="14.25" hidden="false" customHeight="true" outlineLevel="0" collapsed="false">
      <c r="A28" s="5" t="s">
        <v>7</v>
      </c>
      <c r="B28" s="5" t="s">
        <v>58</v>
      </c>
      <c r="C28" s="5" t="s">
        <v>183</v>
      </c>
      <c r="D28" s="5" t="s">
        <v>214</v>
      </c>
      <c r="E28" s="5" t="s">
        <v>53</v>
      </c>
      <c r="F28" s="5" t="s">
        <v>192</v>
      </c>
      <c r="G28" s="5" t="s">
        <v>223</v>
      </c>
      <c r="H28" s="5" t="s">
        <v>23</v>
      </c>
      <c r="I28" s="6" t="n">
        <v>4</v>
      </c>
      <c r="J28" s="6" t="n">
        <v>127</v>
      </c>
      <c r="K28" s="6" t="n">
        <v>106</v>
      </c>
      <c r="L28" s="6" t="n">
        <v>21</v>
      </c>
    </row>
    <row r="29" customFormat="false" ht="14.25" hidden="false" customHeight="true" outlineLevel="0" collapsed="false">
      <c r="A29" s="5" t="s">
        <v>7</v>
      </c>
      <c r="B29" s="5" t="s">
        <v>58</v>
      </c>
      <c r="C29" s="5" t="s">
        <v>183</v>
      </c>
      <c r="D29" s="5" t="s">
        <v>214</v>
      </c>
      <c r="E29" s="5" t="s">
        <v>53</v>
      </c>
      <c r="F29" s="5" t="s">
        <v>192</v>
      </c>
      <c r="G29" s="5" t="s">
        <v>224</v>
      </c>
      <c r="H29" s="5" t="s">
        <v>24</v>
      </c>
      <c r="I29" s="6" t="n">
        <v>1</v>
      </c>
      <c r="J29" s="6" t="n">
        <v>127</v>
      </c>
      <c r="K29" s="6" t="n">
        <v>106</v>
      </c>
      <c r="L29" s="6" t="n">
        <v>21</v>
      </c>
    </row>
    <row r="30" customFormat="false" ht="14.25" hidden="false" customHeight="true" outlineLevel="0" collapsed="false">
      <c r="A30" s="5" t="s">
        <v>7</v>
      </c>
      <c r="B30" s="5" t="s">
        <v>58</v>
      </c>
      <c r="C30" s="5" t="s">
        <v>183</v>
      </c>
      <c r="D30" s="5" t="s">
        <v>214</v>
      </c>
      <c r="E30" s="5" t="s">
        <v>53</v>
      </c>
      <c r="F30" s="5" t="s">
        <v>195</v>
      </c>
      <c r="G30" s="5" t="s">
        <v>215</v>
      </c>
      <c r="H30" s="5" t="s">
        <v>18</v>
      </c>
      <c r="I30" s="6" t="n">
        <v>3</v>
      </c>
      <c r="J30" s="6" t="n">
        <v>94</v>
      </c>
      <c r="K30" s="6" t="n">
        <v>78</v>
      </c>
      <c r="L30" s="6" t="n">
        <v>16</v>
      </c>
    </row>
    <row r="31" customFormat="false" ht="14.25" hidden="false" customHeight="true" outlineLevel="0" collapsed="false">
      <c r="A31" s="5" t="s">
        <v>7</v>
      </c>
      <c r="B31" s="5" t="s">
        <v>58</v>
      </c>
      <c r="C31" s="5" t="s">
        <v>183</v>
      </c>
      <c r="D31" s="5" t="s">
        <v>214</v>
      </c>
      <c r="E31" s="5" t="s">
        <v>53</v>
      </c>
      <c r="F31" s="5" t="s">
        <v>195</v>
      </c>
      <c r="G31" s="5" t="s">
        <v>216</v>
      </c>
      <c r="H31" s="5" t="s">
        <v>20</v>
      </c>
      <c r="I31" s="6" t="n">
        <v>1</v>
      </c>
      <c r="J31" s="6" t="n">
        <v>94</v>
      </c>
      <c r="K31" s="6" t="n">
        <v>78</v>
      </c>
      <c r="L31" s="6" t="n">
        <v>16</v>
      </c>
    </row>
    <row r="32" customFormat="false" ht="14.25" hidden="false" customHeight="true" outlineLevel="0" collapsed="false">
      <c r="A32" s="5" t="s">
        <v>7</v>
      </c>
      <c r="B32" s="5" t="s">
        <v>58</v>
      </c>
      <c r="C32" s="5" t="s">
        <v>183</v>
      </c>
      <c r="D32" s="5" t="s">
        <v>214</v>
      </c>
      <c r="E32" s="5" t="s">
        <v>53</v>
      </c>
      <c r="F32" s="5" t="s">
        <v>195</v>
      </c>
      <c r="G32" s="5" t="s">
        <v>217</v>
      </c>
      <c r="H32" s="5" t="s">
        <v>22</v>
      </c>
      <c r="I32" s="6" t="n">
        <v>4</v>
      </c>
      <c r="J32" s="6" t="n">
        <v>94</v>
      </c>
      <c r="K32" s="6" t="n">
        <v>78</v>
      </c>
      <c r="L32" s="6" t="n">
        <v>16</v>
      </c>
    </row>
    <row r="33" customFormat="false" ht="14.25" hidden="false" customHeight="true" outlineLevel="0" collapsed="false">
      <c r="A33" s="5" t="s">
        <v>7</v>
      </c>
      <c r="B33" s="5" t="s">
        <v>58</v>
      </c>
      <c r="C33" s="5" t="s">
        <v>183</v>
      </c>
      <c r="D33" s="5" t="s">
        <v>214</v>
      </c>
      <c r="E33" s="5" t="s">
        <v>53</v>
      </c>
      <c r="F33" s="5" t="s">
        <v>195</v>
      </c>
      <c r="G33" s="5" t="s">
        <v>223</v>
      </c>
      <c r="H33" s="5" t="s">
        <v>23</v>
      </c>
      <c r="I33" s="6" t="n">
        <v>5</v>
      </c>
      <c r="J33" s="6" t="n">
        <v>94</v>
      </c>
      <c r="K33" s="6" t="n">
        <v>78</v>
      </c>
      <c r="L33" s="6" t="n">
        <v>16</v>
      </c>
    </row>
    <row r="34" customFormat="false" ht="14.25" hidden="false" customHeight="true" outlineLevel="0" collapsed="false">
      <c r="A34" s="5" t="s">
        <v>7</v>
      </c>
      <c r="B34" s="5" t="s">
        <v>58</v>
      </c>
      <c r="C34" s="5" t="s">
        <v>183</v>
      </c>
      <c r="D34" s="5" t="s">
        <v>214</v>
      </c>
      <c r="E34" s="5" t="s">
        <v>53</v>
      </c>
      <c r="F34" s="5" t="s">
        <v>195</v>
      </c>
      <c r="G34" s="5" t="s">
        <v>224</v>
      </c>
      <c r="H34" s="5" t="s">
        <v>24</v>
      </c>
      <c r="I34" s="6" t="n">
        <v>3</v>
      </c>
      <c r="J34" s="6" t="n">
        <v>94</v>
      </c>
      <c r="K34" s="6" t="n">
        <v>78</v>
      </c>
      <c r="L34" s="6" t="n">
        <v>16</v>
      </c>
    </row>
    <row r="35" customFormat="false" ht="14.25" hidden="false" customHeight="true" outlineLevel="0" collapsed="false">
      <c r="A35" s="5" t="s">
        <v>8</v>
      </c>
      <c r="B35" s="5" t="s">
        <v>58</v>
      </c>
      <c r="C35" s="5" t="s">
        <v>183</v>
      </c>
      <c r="D35" s="5" t="s">
        <v>214</v>
      </c>
      <c r="E35" s="5" t="s">
        <v>53</v>
      </c>
      <c r="F35" s="5" t="s">
        <v>195</v>
      </c>
      <c r="G35" s="5" t="s">
        <v>215</v>
      </c>
      <c r="H35" s="5" t="s">
        <v>18</v>
      </c>
      <c r="I35" s="6" t="n">
        <v>18</v>
      </c>
      <c r="J35" s="6" t="n">
        <v>200</v>
      </c>
      <c r="K35" s="6" t="n">
        <v>174</v>
      </c>
      <c r="L35" s="6" t="n">
        <v>26</v>
      </c>
    </row>
    <row r="36" customFormat="false" ht="14.25" hidden="false" customHeight="true" outlineLevel="0" collapsed="false">
      <c r="A36" s="5" t="s">
        <v>8</v>
      </c>
      <c r="B36" s="5" t="s">
        <v>58</v>
      </c>
      <c r="C36" s="5" t="s">
        <v>183</v>
      </c>
      <c r="D36" s="5" t="s">
        <v>214</v>
      </c>
      <c r="E36" s="5" t="s">
        <v>53</v>
      </c>
      <c r="F36" s="5" t="s">
        <v>195</v>
      </c>
      <c r="G36" s="5" t="s">
        <v>216</v>
      </c>
      <c r="H36" s="5" t="s">
        <v>20</v>
      </c>
      <c r="I36" s="6" t="n">
        <v>3</v>
      </c>
      <c r="J36" s="6" t="n">
        <v>200</v>
      </c>
      <c r="K36" s="6" t="n">
        <v>174</v>
      </c>
      <c r="L36" s="6" t="n">
        <v>26</v>
      </c>
    </row>
    <row r="37" customFormat="false" ht="14.25" hidden="false" customHeight="true" outlineLevel="0" collapsed="false">
      <c r="A37" s="5" t="s">
        <v>8</v>
      </c>
      <c r="B37" s="5" t="s">
        <v>58</v>
      </c>
      <c r="C37" s="5" t="s">
        <v>183</v>
      </c>
      <c r="D37" s="5" t="s">
        <v>214</v>
      </c>
      <c r="E37" s="5" t="s">
        <v>53</v>
      </c>
      <c r="F37" s="5" t="s">
        <v>195</v>
      </c>
      <c r="G37" s="5" t="s">
        <v>224</v>
      </c>
      <c r="H37" s="5" t="s">
        <v>24</v>
      </c>
      <c r="I37" s="6" t="n">
        <v>5</v>
      </c>
      <c r="J37" s="6" t="n">
        <v>200</v>
      </c>
      <c r="K37" s="6" t="n">
        <v>174</v>
      </c>
      <c r="L37" s="6" t="n">
        <v>26</v>
      </c>
    </row>
    <row r="38" customFormat="false" ht="14.25" hidden="false" customHeight="true" outlineLevel="0" collapsed="false">
      <c r="A38" s="5" t="s">
        <v>9</v>
      </c>
      <c r="B38" s="5" t="s">
        <v>58</v>
      </c>
      <c r="C38" s="5" t="s">
        <v>183</v>
      </c>
      <c r="D38" s="5" t="s">
        <v>214</v>
      </c>
      <c r="E38" s="5" t="s">
        <v>53</v>
      </c>
      <c r="F38" s="5" t="s">
        <v>195</v>
      </c>
      <c r="G38" s="5" t="s">
        <v>225</v>
      </c>
      <c r="H38" s="5" t="s">
        <v>18</v>
      </c>
      <c r="I38" s="6" t="n">
        <v>10</v>
      </c>
      <c r="J38" s="6" t="n">
        <v>124</v>
      </c>
      <c r="K38" s="6" t="n">
        <v>106</v>
      </c>
      <c r="L38" s="6" t="n">
        <v>18</v>
      </c>
    </row>
    <row r="39" customFormat="false" ht="14.25" hidden="false" customHeight="true" outlineLevel="0" collapsed="false">
      <c r="A39" s="5" t="s">
        <v>9</v>
      </c>
      <c r="B39" s="5" t="s">
        <v>58</v>
      </c>
      <c r="C39" s="5" t="s">
        <v>183</v>
      </c>
      <c r="D39" s="5" t="s">
        <v>214</v>
      </c>
      <c r="E39" s="5" t="s">
        <v>53</v>
      </c>
      <c r="F39" s="5" t="s">
        <v>195</v>
      </c>
      <c r="G39" s="5" t="s">
        <v>216</v>
      </c>
      <c r="H39" s="5" t="s">
        <v>20</v>
      </c>
      <c r="I39" s="6" t="n">
        <v>2</v>
      </c>
      <c r="J39" s="6" t="n">
        <v>124</v>
      </c>
      <c r="K39" s="6" t="n">
        <v>106</v>
      </c>
      <c r="L39" s="6" t="n">
        <v>18</v>
      </c>
    </row>
    <row r="40" customFormat="false" ht="14.25" hidden="false" customHeight="true" outlineLevel="0" collapsed="false">
      <c r="A40" s="5" t="s">
        <v>9</v>
      </c>
      <c r="B40" s="5" t="s">
        <v>58</v>
      </c>
      <c r="C40" s="5" t="s">
        <v>183</v>
      </c>
      <c r="D40" s="5" t="s">
        <v>214</v>
      </c>
      <c r="E40" s="5" t="s">
        <v>53</v>
      </c>
      <c r="F40" s="5" t="s">
        <v>195</v>
      </c>
      <c r="G40" s="5" t="s">
        <v>223</v>
      </c>
      <c r="H40" s="5" t="s">
        <v>23</v>
      </c>
      <c r="I40" s="6" t="n">
        <v>6</v>
      </c>
      <c r="J40" s="6" t="n">
        <v>124</v>
      </c>
      <c r="K40" s="6" t="n">
        <v>106</v>
      </c>
      <c r="L40" s="6" t="n">
        <v>18</v>
      </c>
    </row>
    <row r="41" customFormat="false" ht="14.25" hidden="false" customHeight="true" outlineLevel="0" collapsed="false">
      <c r="A41" s="5" t="s">
        <v>9</v>
      </c>
      <c r="B41" s="5" t="s">
        <v>58</v>
      </c>
      <c r="C41" s="5" t="s">
        <v>183</v>
      </c>
      <c r="D41" s="5" t="s">
        <v>214</v>
      </c>
      <c r="E41" s="5" t="s">
        <v>53</v>
      </c>
      <c r="F41" s="5" t="s">
        <v>198</v>
      </c>
      <c r="G41" s="5" t="s">
        <v>225</v>
      </c>
      <c r="H41" s="5" t="s">
        <v>18</v>
      </c>
      <c r="I41" s="6" t="n">
        <v>12</v>
      </c>
      <c r="J41" s="6" t="n">
        <v>76</v>
      </c>
      <c r="K41" s="6" t="n">
        <v>61</v>
      </c>
      <c r="L41" s="6" t="n">
        <v>15</v>
      </c>
    </row>
    <row r="42" customFormat="false" ht="14.25" hidden="false" customHeight="true" outlineLevel="0" collapsed="false">
      <c r="A42" s="5" t="s">
        <v>9</v>
      </c>
      <c r="B42" s="5" t="s">
        <v>58</v>
      </c>
      <c r="C42" s="5" t="s">
        <v>183</v>
      </c>
      <c r="D42" s="5" t="s">
        <v>214</v>
      </c>
      <c r="E42" s="5" t="s">
        <v>53</v>
      </c>
      <c r="F42" s="5" t="s">
        <v>198</v>
      </c>
      <c r="G42" s="5" t="s">
        <v>223</v>
      </c>
      <c r="H42" s="5" t="s">
        <v>23</v>
      </c>
      <c r="I42" s="6" t="n">
        <v>3</v>
      </c>
      <c r="J42" s="6" t="n">
        <v>76</v>
      </c>
      <c r="K42" s="6" t="n">
        <v>61</v>
      </c>
      <c r="L42" s="6" t="n">
        <v>15</v>
      </c>
    </row>
    <row r="43" customFormat="false" ht="14.25" hidden="false" customHeight="true" outlineLevel="0" collapsed="false">
      <c r="A43" s="5" t="s">
        <v>10</v>
      </c>
      <c r="B43" s="5" t="s">
        <v>58</v>
      </c>
      <c r="C43" s="5" t="s">
        <v>183</v>
      </c>
      <c r="D43" s="5" t="s">
        <v>214</v>
      </c>
      <c r="E43" s="5" t="s">
        <v>53</v>
      </c>
      <c r="F43" s="5" t="s">
        <v>184</v>
      </c>
      <c r="G43" s="5" t="s">
        <v>225</v>
      </c>
      <c r="H43" s="5" t="s">
        <v>18</v>
      </c>
      <c r="I43" s="6" t="n">
        <v>12</v>
      </c>
      <c r="J43" s="6" t="n">
        <v>227</v>
      </c>
      <c r="K43" s="6" t="n">
        <v>206</v>
      </c>
      <c r="L43" s="6" t="n">
        <v>21</v>
      </c>
    </row>
    <row r="44" customFormat="false" ht="14.25" hidden="false" customHeight="true" outlineLevel="0" collapsed="false">
      <c r="A44" s="5" t="s">
        <v>10</v>
      </c>
      <c r="B44" s="5" t="s">
        <v>58</v>
      </c>
      <c r="C44" s="5" t="s">
        <v>183</v>
      </c>
      <c r="D44" s="5" t="s">
        <v>214</v>
      </c>
      <c r="E44" s="5" t="s">
        <v>53</v>
      </c>
      <c r="F44" s="5" t="s">
        <v>184</v>
      </c>
      <c r="G44" s="5" t="s">
        <v>216</v>
      </c>
      <c r="H44" s="5" t="s">
        <v>20</v>
      </c>
      <c r="I44" s="6" t="n">
        <v>5</v>
      </c>
      <c r="J44" s="6" t="n">
        <v>227</v>
      </c>
      <c r="K44" s="6" t="n">
        <v>206</v>
      </c>
      <c r="L44" s="6" t="n">
        <v>21</v>
      </c>
    </row>
    <row r="45" customFormat="false" ht="14.25" hidden="false" customHeight="true" outlineLevel="0" collapsed="false">
      <c r="A45" s="5" t="s">
        <v>10</v>
      </c>
      <c r="B45" s="5" t="s">
        <v>58</v>
      </c>
      <c r="C45" s="5" t="s">
        <v>183</v>
      </c>
      <c r="D45" s="5" t="s">
        <v>214</v>
      </c>
      <c r="E45" s="5" t="s">
        <v>53</v>
      </c>
      <c r="F45" s="5" t="s">
        <v>184</v>
      </c>
      <c r="G45" s="5" t="s">
        <v>223</v>
      </c>
      <c r="H45" s="5" t="s">
        <v>23</v>
      </c>
      <c r="I45" s="6" t="n">
        <v>4</v>
      </c>
      <c r="J45" s="6" t="n">
        <v>227</v>
      </c>
      <c r="K45" s="6" t="n">
        <v>206</v>
      </c>
      <c r="L45" s="6" t="n">
        <v>21</v>
      </c>
    </row>
    <row r="46" customFormat="false" ht="14.25" hidden="false" customHeight="true" outlineLevel="0" collapsed="false">
      <c r="A46" s="5" t="s">
        <v>11</v>
      </c>
      <c r="B46" s="5" t="s">
        <v>58</v>
      </c>
      <c r="C46" s="5" t="s">
        <v>183</v>
      </c>
      <c r="D46" s="5" t="s">
        <v>214</v>
      </c>
      <c r="E46" s="5" t="s">
        <v>53</v>
      </c>
      <c r="F46" s="5" t="s">
        <v>195</v>
      </c>
      <c r="G46" s="5" t="s">
        <v>225</v>
      </c>
      <c r="H46" s="5" t="s">
        <v>18</v>
      </c>
      <c r="I46" s="6" t="n">
        <v>6</v>
      </c>
      <c r="J46" s="6" t="n">
        <v>110</v>
      </c>
      <c r="K46" s="6" t="n">
        <v>103</v>
      </c>
      <c r="L46" s="6" t="n">
        <v>7</v>
      </c>
    </row>
    <row r="47" customFormat="false" ht="14.25" hidden="false" customHeight="true" outlineLevel="0" collapsed="false">
      <c r="A47" s="5" t="s">
        <v>11</v>
      </c>
      <c r="B47" s="5" t="s">
        <v>58</v>
      </c>
      <c r="C47" s="5" t="s">
        <v>183</v>
      </c>
      <c r="D47" s="5" t="s">
        <v>214</v>
      </c>
      <c r="E47" s="5" t="s">
        <v>53</v>
      </c>
      <c r="F47" s="5" t="s">
        <v>195</v>
      </c>
      <c r="G47" s="5" t="s">
        <v>216</v>
      </c>
      <c r="H47" s="5" t="s">
        <v>20</v>
      </c>
      <c r="I47" s="6" t="n">
        <v>1</v>
      </c>
      <c r="J47" s="6" t="n">
        <v>110</v>
      </c>
      <c r="K47" s="6" t="n">
        <v>103</v>
      </c>
      <c r="L47" s="6" t="n">
        <v>7</v>
      </c>
    </row>
    <row r="48" customFormat="false" ht="14.25" hidden="false" customHeight="true" outlineLevel="0" collapsed="false">
      <c r="A48" s="5" t="s">
        <v>11</v>
      </c>
      <c r="B48" s="5" t="s">
        <v>58</v>
      </c>
      <c r="C48" s="5" t="s">
        <v>183</v>
      </c>
      <c r="D48" s="5" t="s">
        <v>214</v>
      </c>
      <c r="E48" s="5" t="s">
        <v>53</v>
      </c>
      <c r="F48" s="5" t="s">
        <v>198</v>
      </c>
      <c r="G48" s="5" t="s">
        <v>225</v>
      </c>
      <c r="H48" s="5" t="s">
        <v>18</v>
      </c>
      <c r="I48" s="6" t="n">
        <v>2</v>
      </c>
      <c r="J48" s="6" t="n">
        <v>55</v>
      </c>
      <c r="K48" s="6" t="n">
        <v>50</v>
      </c>
      <c r="L48" s="6" t="n">
        <v>5</v>
      </c>
    </row>
    <row r="49" customFormat="false" ht="14.25" hidden="false" customHeight="true" outlineLevel="0" collapsed="false">
      <c r="A49" s="5" t="s">
        <v>11</v>
      </c>
      <c r="B49" s="5" t="s">
        <v>58</v>
      </c>
      <c r="C49" s="5" t="s">
        <v>183</v>
      </c>
      <c r="D49" s="5" t="s">
        <v>214</v>
      </c>
      <c r="E49" s="5" t="s">
        <v>53</v>
      </c>
      <c r="F49" s="5" t="s">
        <v>198</v>
      </c>
      <c r="G49" s="5" t="s">
        <v>216</v>
      </c>
      <c r="H49" s="5" t="s">
        <v>20</v>
      </c>
      <c r="I49" s="6" t="n">
        <v>1</v>
      </c>
      <c r="J49" s="6" t="n">
        <v>55</v>
      </c>
      <c r="K49" s="6" t="n">
        <v>50</v>
      </c>
      <c r="L49" s="6" t="n">
        <v>5</v>
      </c>
    </row>
    <row r="50" customFormat="false" ht="14.25" hidden="false" customHeight="true" outlineLevel="0" collapsed="false">
      <c r="A50" s="5" t="s">
        <v>11</v>
      </c>
      <c r="B50" s="5" t="s">
        <v>58</v>
      </c>
      <c r="C50" s="5" t="s">
        <v>183</v>
      </c>
      <c r="D50" s="5" t="s">
        <v>214</v>
      </c>
      <c r="E50" s="5" t="s">
        <v>53</v>
      </c>
      <c r="F50" s="5" t="s">
        <v>198</v>
      </c>
      <c r="G50" s="5" t="s">
        <v>224</v>
      </c>
      <c r="H50" s="5" t="s">
        <v>24</v>
      </c>
      <c r="I50" s="6" t="n">
        <v>2</v>
      </c>
      <c r="J50" s="6" t="n">
        <v>55</v>
      </c>
      <c r="K50" s="6" t="n">
        <v>50</v>
      </c>
      <c r="L50" s="6" t="n">
        <v>5</v>
      </c>
    </row>
    <row r="51" customFormat="false" ht="14.25" hidden="false" customHeight="true" outlineLevel="0" collapsed="false">
      <c r="A51" s="5" t="s">
        <v>11</v>
      </c>
      <c r="B51" s="5" t="s">
        <v>58</v>
      </c>
      <c r="C51" s="5" t="s">
        <v>183</v>
      </c>
      <c r="D51" s="5" t="s">
        <v>214</v>
      </c>
      <c r="E51" s="5" t="s">
        <v>53</v>
      </c>
      <c r="F51" s="5" t="s">
        <v>199</v>
      </c>
      <c r="G51" s="5" t="s">
        <v>225</v>
      </c>
      <c r="H51" s="5" t="s">
        <v>18</v>
      </c>
      <c r="I51" s="6" t="n">
        <v>4</v>
      </c>
      <c r="J51" s="6" t="n">
        <v>15</v>
      </c>
      <c r="K51" s="6" t="n">
        <v>7</v>
      </c>
      <c r="L51" s="6" t="n">
        <v>8</v>
      </c>
    </row>
    <row r="52" customFormat="false" ht="14.25" hidden="false" customHeight="true" outlineLevel="0" collapsed="false">
      <c r="A52" s="5" t="s">
        <v>11</v>
      </c>
      <c r="B52" s="5" t="s">
        <v>58</v>
      </c>
      <c r="C52" s="5" t="s">
        <v>183</v>
      </c>
      <c r="D52" s="5" t="s">
        <v>214</v>
      </c>
      <c r="E52" s="5" t="s">
        <v>53</v>
      </c>
      <c r="F52" s="5" t="s">
        <v>199</v>
      </c>
      <c r="G52" s="5" t="s">
        <v>216</v>
      </c>
      <c r="H52" s="5" t="s">
        <v>20</v>
      </c>
      <c r="I52" s="6" t="n">
        <v>3</v>
      </c>
      <c r="J52" s="6" t="n">
        <v>15</v>
      </c>
      <c r="K52" s="6" t="n">
        <v>7</v>
      </c>
      <c r="L52" s="6" t="n">
        <v>8</v>
      </c>
    </row>
    <row r="53" customFormat="false" ht="14.25" hidden="false" customHeight="true" outlineLevel="0" collapsed="false">
      <c r="A53" s="5" t="s">
        <v>11</v>
      </c>
      <c r="B53" s="5" t="s">
        <v>58</v>
      </c>
      <c r="C53" s="5" t="s">
        <v>183</v>
      </c>
      <c r="D53" s="5" t="s">
        <v>214</v>
      </c>
      <c r="E53" s="5" t="s">
        <v>53</v>
      </c>
      <c r="F53" s="5" t="s">
        <v>199</v>
      </c>
      <c r="G53" s="5" t="s">
        <v>26</v>
      </c>
      <c r="H53" s="5" t="s">
        <v>26</v>
      </c>
      <c r="I53" s="6" t="n">
        <v>1</v>
      </c>
      <c r="J53" s="6" t="n">
        <v>15</v>
      </c>
      <c r="K53" s="6" t="n">
        <v>7</v>
      </c>
      <c r="L53" s="6" t="n">
        <v>8</v>
      </c>
    </row>
    <row r="54" customFormat="false" ht="14.25" hidden="false" customHeight="true" outlineLevel="0" collapsed="false">
      <c r="A54" s="5" t="s">
        <v>12</v>
      </c>
      <c r="B54" s="5" t="s">
        <v>58</v>
      </c>
      <c r="C54" s="5" t="s">
        <v>183</v>
      </c>
      <c r="D54" s="5" t="s">
        <v>214</v>
      </c>
      <c r="E54" s="5" t="s">
        <v>53</v>
      </c>
      <c r="F54" s="5" t="s">
        <v>199</v>
      </c>
      <c r="G54" s="5" t="s">
        <v>216</v>
      </c>
      <c r="H54" s="5" t="s">
        <v>20</v>
      </c>
      <c r="I54" s="6" t="n">
        <v>2</v>
      </c>
      <c r="J54" s="6" t="n">
        <v>103</v>
      </c>
      <c r="K54" s="6" t="n">
        <v>101</v>
      </c>
      <c r="L54" s="6" t="n">
        <v>2</v>
      </c>
    </row>
    <row r="55" customFormat="false" ht="14.25" hidden="false" customHeight="true" outlineLevel="0" collapsed="false">
      <c r="A55" s="5" t="s">
        <v>12</v>
      </c>
      <c r="B55" s="5" t="s">
        <v>58</v>
      </c>
      <c r="C55" s="5" t="s">
        <v>183</v>
      </c>
      <c r="D55" s="5" t="s">
        <v>214</v>
      </c>
      <c r="E55" s="5" t="s">
        <v>53</v>
      </c>
      <c r="F55" s="5" t="s">
        <v>198</v>
      </c>
      <c r="G55" s="5" t="s">
        <v>225</v>
      </c>
      <c r="H55" s="5" t="s">
        <v>18</v>
      </c>
      <c r="I55" s="6" t="n">
        <v>6</v>
      </c>
      <c r="J55" s="6" t="n">
        <v>97</v>
      </c>
      <c r="K55" s="6" t="n">
        <v>89</v>
      </c>
      <c r="L55" s="6" t="n">
        <v>8</v>
      </c>
    </row>
    <row r="56" customFormat="false" ht="14.25" hidden="false" customHeight="true" outlineLevel="0" collapsed="false">
      <c r="A56" s="5" t="s">
        <v>12</v>
      </c>
      <c r="B56" s="5" t="s">
        <v>58</v>
      </c>
      <c r="C56" s="5" t="s">
        <v>183</v>
      </c>
      <c r="D56" s="5" t="s">
        <v>214</v>
      </c>
      <c r="E56" s="5" t="s">
        <v>53</v>
      </c>
      <c r="F56" s="5" t="s">
        <v>198</v>
      </c>
      <c r="G56" s="5" t="s">
        <v>216</v>
      </c>
      <c r="H56" s="5" t="s">
        <v>20</v>
      </c>
      <c r="I56" s="6" t="n">
        <v>2</v>
      </c>
      <c r="J56" s="6" t="n">
        <v>97</v>
      </c>
      <c r="K56" s="6" t="n">
        <v>89</v>
      </c>
      <c r="L56" s="6" t="n">
        <v>8</v>
      </c>
    </row>
    <row r="57" customFormat="false" ht="14.25" hidden="false" customHeight="true" outlineLevel="0" collapsed="false">
      <c r="A57" s="5" t="s">
        <v>13</v>
      </c>
      <c r="B57" s="5" t="s">
        <v>58</v>
      </c>
      <c r="C57" s="5" t="s">
        <v>183</v>
      </c>
      <c r="D57" s="5" t="s">
        <v>214</v>
      </c>
      <c r="E57" s="5" t="s">
        <v>53</v>
      </c>
      <c r="F57" s="5" t="s">
        <v>199</v>
      </c>
      <c r="G57" s="5" t="s">
        <v>225</v>
      </c>
      <c r="H57" s="5" t="s">
        <v>18</v>
      </c>
      <c r="I57" s="6" t="n">
        <v>18</v>
      </c>
      <c r="J57" s="6" t="n">
        <v>150</v>
      </c>
      <c r="K57" s="6" t="n">
        <v>126</v>
      </c>
      <c r="L57" s="6" t="n">
        <v>24</v>
      </c>
    </row>
    <row r="58" customFormat="false" ht="14.25" hidden="false" customHeight="true" outlineLevel="0" collapsed="false">
      <c r="A58" s="5" t="s">
        <v>13</v>
      </c>
      <c r="B58" s="5" t="s">
        <v>58</v>
      </c>
      <c r="C58" s="5" t="s">
        <v>183</v>
      </c>
      <c r="D58" s="5" t="s">
        <v>214</v>
      </c>
      <c r="E58" s="5" t="s">
        <v>53</v>
      </c>
      <c r="F58" s="5" t="s">
        <v>199</v>
      </c>
      <c r="G58" s="5" t="s">
        <v>216</v>
      </c>
      <c r="H58" s="5" t="s">
        <v>20</v>
      </c>
      <c r="I58" s="6" t="n">
        <v>6</v>
      </c>
      <c r="J58" s="6" t="n">
        <v>150</v>
      </c>
      <c r="K58" s="6" t="n">
        <v>126</v>
      </c>
      <c r="L58" s="6" t="n">
        <v>24</v>
      </c>
    </row>
    <row r="59" customFormat="false" ht="14.25" hidden="false" customHeight="true" outlineLevel="0" collapsed="false">
      <c r="A59" s="5" t="s">
        <v>13</v>
      </c>
      <c r="B59" s="5" t="s">
        <v>58</v>
      </c>
      <c r="C59" s="5" t="s">
        <v>183</v>
      </c>
      <c r="D59" s="5" t="s">
        <v>214</v>
      </c>
      <c r="E59" s="5" t="s">
        <v>53</v>
      </c>
      <c r="F59" s="5" t="s">
        <v>56</v>
      </c>
      <c r="G59" s="5" t="s">
        <v>226</v>
      </c>
      <c r="H59" s="5" t="s">
        <v>226</v>
      </c>
      <c r="I59" s="6" t="n">
        <v>0</v>
      </c>
      <c r="J59" s="6" t="n">
        <v>20</v>
      </c>
      <c r="K59" s="6" t="n">
        <v>20</v>
      </c>
      <c r="L59" s="6" t="n">
        <v>0</v>
      </c>
    </row>
    <row r="60" customFormat="false" ht="14.25" hidden="false" customHeight="true" outlineLevel="0" collapsed="false">
      <c r="A60" s="5" t="s">
        <v>14</v>
      </c>
      <c r="B60" s="5" t="s">
        <v>58</v>
      </c>
      <c r="C60" s="5" t="s">
        <v>183</v>
      </c>
      <c r="D60" s="5" t="s">
        <v>214</v>
      </c>
      <c r="E60" s="5" t="s">
        <v>53</v>
      </c>
      <c r="F60" s="5" t="s">
        <v>56</v>
      </c>
      <c r="G60" s="5" t="s">
        <v>225</v>
      </c>
      <c r="H60" s="5" t="s">
        <v>18</v>
      </c>
      <c r="I60" s="6" t="n">
        <v>4</v>
      </c>
      <c r="J60" s="6" t="n">
        <v>270</v>
      </c>
      <c r="K60" s="6" t="n">
        <v>256</v>
      </c>
      <c r="L60" s="6" t="n">
        <v>14</v>
      </c>
    </row>
    <row r="61" customFormat="false" ht="14.25" hidden="false" customHeight="true" outlineLevel="0" collapsed="false">
      <c r="A61" s="5" t="s">
        <v>14</v>
      </c>
      <c r="B61" s="5" t="s">
        <v>58</v>
      </c>
      <c r="C61" s="5" t="s">
        <v>183</v>
      </c>
      <c r="D61" s="5" t="s">
        <v>214</v>
      </c>
      <c r="E61" s="5" t="s">
        <v>53</v>
      </c>
      <c r="F61" s="5" t="s">
        <v>56</v>
      </c>
      <c r="G61" s="5" t="s">
        <v>216</v>
      </c>
      <c r="H61" s="5" t="s">
        <v>20</v>
      </c>
      <c r="I61" s="6" t="n">
        <v>3</v>
      </c>
      <c r="J61" s="6" t="n">
        <v>270</v>
      </c>
      <c r="K61" s="6" t="n">
        <v>256</v>
      </c>
      <c r="L61" s="6" t="n">
        <v>14</v>
      </c>
    </row>
    <row r="62" customFormat="false" ht="14.25" hidden="false" customHeight="true" outlineLevel="0" collapsed="false">
      <c r="A62" s="5" t="s">
        <v>14</v>
      </c>
      <c r="B62" s="5" t="s">
        <v>58</v>
      </c>
      <c r="C62" s="5" t="s">
        <v>183</v>
      </c>
      <c r="D62" s="5" t="s">
        <v>214</v>
      </c>
      <c r="E62" s="5" t="s">
        <v>53</v>
      </c>
      <c r="F62" s="5" t="s">
        <v>56</v>
      </c>
      <c r="G62" s="5" t="s">
        <v>223</v>
      </c>
      <c r="H62" s="5" t="s">
        <v>23</v>
      </c>
      <c r="I62" s="6" t="n">
        <v>6</v>
      </c>
      <c r="J62" s="6" t="n">
        <v>270</v>
      </c>
      <c r="K62" s="6" t="n">
        <v>256</v>
      </c>
      <c r="L62" s="6" t="n">
        <v>14</v>
      </c>
    </row>
    <row r="63" customFormat="false" ht="14.25" hidden="false" customHeight="true" outlineLevel="0" collapsed="false">
      <c r="A63" s="5" t="s">
        <v>14</v>
      </c>
      <c r="B63" s="5" t="s">
        <v>58</v>
      </c>
      <c r="C63" s="5" t="s">
        <v>183</v>
      </c>
      <c r="D63" s="5" t="s">
        <v>214</v>
      </c>
      <c r="E63" s="5" t="s">
        <v>53</v>
      </c>
      <c r="F63" s="5" t="s">
        <v>56</v>
      </c>
      <c r="G63" s="5" t="s">
        <v>26</v>
      </c>
      <c r="H63" s="5" t="s">
        <v>26</v>
      </c>
      <c r="I63" s="6" t="n">
        <v>1</v>
      </c>
      <c r="J63" s="6" t="n">
        <v>270</v>
      </c>
      <c r="K63" s="6" t="n">
        <v>256</v>
      </c>
      <c r="L63" s="6" t="n">
        <v>14</v>
      </c>
    </row>
    <row r="64" customFormat="false" ht="14.25" hidden="false" customHeight="true" outlineLevel="0" collapsed="false">
      <c r="A64" s="5" t="s">
        <v>15</v>
      </c>
      <c r="B64" s="5" t="s">
        <v>58</v>
      </c>
      <c r="C64" s="5" t="s">
        <v>183</v>
      </c>
      <c r="D64" s="5" t="s">
        <v>214</v>
      </c>
      <c r="E64" s="5" t="s">
        <v>53</v>
      </c>
      <c r="F64" s="5" t="s">
        <v>56</v>
      </c>
      <c r="G64" s="5" t="s">
        <v>225</v>
      </c>
      <c r="H64" s="5" t="s">
        <v>18</v>
      </c>
      <c r="I64" s="6" t="n">
        <v>1</v>
      </c>
      <c r="J64" s="6" t="n">
        <v>65</v>
      </c>
      <c r="K64" s="6" t="n">
        <v>62</v>
      </c>
      <c r="L64" s="6" t="n">
        <v>3</v>
      </c>
    </row>
    <row r="65" customFormat="false" ht="14.25" hidden="false" customHeight="true" outlineLevel="0" collapsed="false">
      <c r="A65" s="5" t="s">
        <v>15</v>
      </c>
      <c r="B65" s="5" t="s">
        <v>58</v>
      </c>
      <c r="C65" s="5" t="s">
        <v>183</v>
      </c>
      <c r="D65" s="5" t="s">
        <v>214</v>
      </c>
      <c r="E65" s="5" t="s">
        <v>53</v>
      </c>
      <c r="F65" s="5" t="s">
        <v>56</v>
      </c>
      <c r="G65" s="5" t="s">
        <v>216</v>
      </c>
      <c r="H65" s="5" t="s">
        <v>20</v>
      </c>
      <c r="I65" s="6" t="n">
        <v>1</v>
      </c>
      <c r="J65" s="6" t="n">
        <v>65</v>
      </c>
      <c r="K65" s="6" t="n">
        <v>62</v>
      </c>
      <c r="L65" s="6" t="n">
        <v>3</v>
      </c>
    </row>
    <row r="66" customFormat="false" ht="14.25" hidden="false" customHeight="true" outlineLevel="0" collapsed="false">
      <c r="A66" s="5" t="s">
        <v>15</v>
      </c>
      <c r="B66" s="5" t="s">
        <v>58</v>
      </c>
      <c r="C66" s="5" t="s">
        <v>183</v>
      </c>
      <c r="D66" s="5" t="s">
        <v>214</v>
      </c>
      <c r="E66" s="5" t="s">
        <v>53</v>
      </c>
      <c r="F66" s="5" t="s">
        <v>56</v>
      </c>
      <c r="G66" s="5" t="s">
        <v>223</v>
      </c>
      <c r="H66" s="5" t="s">
        <v>23</v>
      </c>
      <c r="I66" s="6" t="n">
        <v>1</v>
      </c>
      <c r="J66" s="6" t="n">
        <v>65</v>
      </c>
      <c r="K66" s="6" t="n">
        <v>62</v>
      </c>
      <c r="L66" s="6" t="n">
        <v>3</v>
      </c>
    </row>
    <row r="67" customFormat="false" ht="14.25" hidden="false" customHeight="true" outlineLevel="0" collapsed="false">
      <c r="A67" s="5" t="s">
        <v>15</v>
      </c>
      <c r="B67" s="5" t="s">
        <v>58</v>
      </c>
      <c r="C67" s="5" t="s">
        <v>183</v>
      </c>
      <c r="D67" s="5" t="s">
        <v>214</v>
      </c>
      <c r="E67" s="5" t="s">
        <v>53</v>
      </c>
      <c r="F67" s="5" t="s">
        <v>62</v>
      </c>
      <c r="G67" s="5" t="s">
        <v>226</v>
      </c>
      <c r="H67" s="5" t="s">
        <v>226</v>
      </c>
      <c r="I67" s="6" t="n">
        <v>0</v>
      </c>
      <c r="J67" s="6" t="n">
        <v>35</v>
      </c>
      <c r="K67" s="6" t="n">
        <v>35</v>
      </c>
      <c r="L67" s="6" t="n">
        <v>0</v>
      </c>
    </row>
    <row r="68" customFormat="false" ht="14.25" hidden="false" customHeight="true" outlineLevel="0" collapsed="false">
      <c r="A68" s="5" t="s">
        <v>7</v>
      </c>
      <c r="B68" s="5" t="s">
        <v>81</v>
      </c>
      <c r="C68" s="5" t="s">
        <v>183</v>
      </c>
      <c r="D68" s="5" t="s">
        <v>214</v>
      </c>
      <c r="E68" s="5" t="s">
        <v>193</v>
      </c>
      <c r="F68" s="5" t="s">
        <v>194</v>
      </c>
      <c r="G68" s="5" t="s">
        <v>215</v>
      </c>
      <c r="H68" s="5" t="s">
        <v>18</v>
      </c>
      <c r="I68" s="6" t="n">
        <v>1</v>
      </c>
      <c r="J68" s="6" t="n">
        <v>15</v>
      </c>
      <c r="K68" s="6" t="n">
        <v>13</v>
      </c>
      <c r="L68" s="6" t="n">
        <v>2</v>
      </c>
    </row>
    <row r="69" customFormat="false" ht="14.25" hidden="false" customHeight="true" outlineLevel="0" collapsed="false">
      <c r="A69" s="5" t="s">
        <v>7</v>
      </c>
      <c r="B69" s="5" t="s">
        <v>81</v>
      </c>
      <c r="C69" s="5" t="s">
        <v>183</v>
      </c>
      <c r="D69" s="5" t="s">
        <v>214</v>
      </c>
      <c r="E69" s="5" t="s">
        <v>193</v>
      </c>
      <c r="F69" s="5" t="s">
        <v>194</v>
      </c>
      <c r="G69" s="5" t="s">
        <v>216</v>
      </c>
      <c r="H69" s="5" t="s">
        <v>20</v>
      </c>
      <c r="I69" s="6" t="n">
        <v>1</v>
      </c>
      <c r="J69" s="6" t="n">
        <v>15</v>
      </c>
      <c r="K69" s="6" t="n">
        <v>13</v>
      </c>
      <c r="L69" s="6" t="n">
        <v>2</v>
      </c>
    </row>
    <row r="70" customFormat="false" ht="14.25" hidden="false" customHeight="true" outlineLevel="0" collapsed="false">
      <c r="A70" s="5" t="s">
        <v>9</v>
      </c>
      <c r="B70" s="5" t="s">
        <v>81</v>
      </c>
      <c r="C70" s="5" t="s">
        <v>183</v>
      </c>
      <c r="D70" s="5" t="s">
        <v>214</v>
      </c>
      <c r="E70" s="5" t="s">
        <v>193</v>
      </c>
      <c r="F70" s="5" t="s">
        <v>196</v>
      </c>
      <c r="G70" s="5" t="s">
        <v>225</v>
      </c>
      <c r="H70" s="5" t="s">
        <v>18</v>
      </c>
      <c r="I70" s="6" t="n">
        <v>2</v>
      </c>
      <c r="J70" s="6" t="n">
        <v>5</v>
      </c>
      <c r="K70" s="6" t="n">
        <v>3</v>
      </c>
      <c r="L70" s="6" t="n">
        <v>2</v>
      </c>
    </row>
    <row r="71" customFormat="false" ht="14.25" hidden="false" customHeight="true" outlineLevel="0" collapsed="false">
      <c r="A71" s="5" t="s">
        <v>9</v>
      </c>
      <c r="B71" s="5" t="s">
        <v>81</v>
      </c>
      <c r="C71" s="5" t="s">
        <v>183</v>
      </c>
      <c r="D71" s="5" t="s">
        <v>214</v>
      </c>
      <c r="E71" s="5" t="s">
        <v>193</v>
      </c>
      <c r="F71" s="5" t="s">
        <v>197</v>
      </c>
      <c r="G71" s="5" t="s">
        <v>225</v>
      </c>
      <c r="H71" s="5" t="s">
        <v>18</v>
      </c>
      <c r="I71" s="6" t="n">
        <v>2</v>
      </c>
      <c r="J71" s="6" t="n">
        <v>17</v>
      </c>
      <c r="K71" s="6" t="n">
        <v>13</v>
      </c>
      <c r="L71" s="6" t="n">
        <v>4</v>
      </c>
    </row>
    <row r="72" customFormat="false" ht="14.25" hidden="false" customHeight="true" outlineLevel="0" collapsed="false">
      <c r="A72" s="5" t="s">
        <v>9</v>
      </c>
      <c r="B72" s="5" t="s">
        <v>81</v>
      </c>
      <c r="C72" s="5" t="s">
        <v>183</v>
      </c>
      <c r="D72" s="5" t="s">
        <v>214</v>
      </c>
      <c r="E72" s="5" t="s">
        <v>193</v>
      </c>
      <c r="F72" s="5" t="s">
        <v>197</v>
      </c>
      <c r="G72" s="5" t="s">
        <v>221</v>
      </c>
      <c r="H72" s="5" t="s">
        <v>23</v>
      </c>
      <c r="I72" s="6" t="n">
        <v>2</v>
      </c>
      <c r="J72" s="6" t="n">
        <v>17</v>
      </c>
      <c r="K72" s="6" t="n">
        <v>13</v>
      </c>
      <c r="L72" s="6" t="n">
        <v>4</v>
      </c>
    </row>
    <row r="73" customFormat="false" ht="14.25" hidden="false" customHeight="true" outlineLevel="0" collapsed="false">
      <c r="A73" s="5" t="s">
        <v>10</v>
      </c>
      <c r="B73" s="5" t="s">
        <v>81</v>
      </c>
      <c r="C73" s="5" t="s">
        <v>183</v>
      </c>
      <c r="D73" s="5" t="s">
        <v>214</v>
      </c>
      <c r="E73" s="5" t="s">
        <v>193</v>
      </c>
      <c r="F73" s="5" t="s">
        <v>184</v>
      </c>
      <c r="G73" s="5" t="s">
        <v>225</v>
      </c>
      <c r="H73" s="5" t="s">
        <v>18</v>
      </c>
      <c r="I73" s="6" t="n">
        <v>2</v>
      </c>
      <c r="J73" s="6" t="n">
        <v>15</v>
      </c>
      <c r="K73" s="6" t="n">
        <v>8</v>
      </c>
      <c r="L73" s="6" t="n">
        <v>7</v>
      </c>
    </row>
    <row r="74" customFormat="false" ht="14.25" hidden="false" customHeight="true" outlineLevel="0" collapsed="false">
      <c r="A74" s="5" t="s">
        <v>10</v>
      </c>
      <c r="B74" s="5" t="s">
        <v>81</v>
      </c>
      <c r="C74" s="5" t="s">
        <v>183</v>
      </c>
      <c r="D74" s="5" t="s">
        <v>214</v>
      </c>
      <c r="E74" s="5" t="s">
        <v>193</v>
      </c>
      <c r="F74" s="5" t="s">
        <v>184</v>
      </c>
      <c r="G74" s="5" t="s">
        <v>220</v>
      </c>
      <c r="H74" s="5" t="s">
        <v>21</v>
      </c>
      <c r="I74" s="6" t="n">
        <v>1</v>
      </c>
      <c r="J74" s="6" t="n">
        <v>15</v>
      </c>
      <c r="K74" s="6" t="n">
        <v>8</v>
      </c>
      <c r="L74" s="6" t="n">
        <v>7</v>
      </c>
    </row>
    <row r="75" customFormat="false" ht="14.25" hidden="false" customHeight="true" outlineLevel="0" collapsed="false">
      <c r="A75" s="5" t="s">
        <v>10</v>
      </c>
      <c r="B75" s="5" t="s">
        <v>81</v>
      </c>
      <c r="C75" s="5" t="s">
        <v>183</v>
      </c>
      <c r="D75" s="5" t="s">
        <v>214</v>
      </c>
      <c r="E75" s="5" t="s">
        <v>193</v>
      </c>
      <c r="F75" s="5" t="s">
        <v>184</v>
      </c>
      <c r="G75" s="5" t="s">
        <v>221</v>
      </c>
      <c r="H75" s="5" t="s">
        <v>23</v>
      </c>
      <c r="I75" s="6" t="n">
        <v>2</v>
      </c>
      <c r="J75" s="6" t="n">
        <v>15</v>
      </c>
      <c r="K75" s="6" t="n">
        <v>8</v>
      </c>
      <c r="L75" s="6" t="n">
        <v>7</v>
      </c>
    </row>
    <row r="76" customFormat="false" ht="14.25" hidden="false" customHeight="true" outlineLevel="0" collapsed="false">
      <c r="A76" s="5" t="s">
        <v>10</v>
      </c>
      <c r="B76" s="5" t="s">
        <v>81</v>
      </c>
      <c r="C76" s="5" t="s">
        <v>183</v>
      </c>
      <c r="D76" s="5" t="s">
        <v>214</v>
      </c>
      <c r="E76" s="5" t="s">
        <v>193</v>
      </c>
      <c r="F76" s="5" t="s">
        <v>184</v>
      </c>
      <c r="G76" s="5" t="s">
        <v>227</v>
      </c>
      <c r="H76" s="5" t="s">
        <v>27</v>
      </c>
      <c r="I76" s="6" t="n">
        <v>2</v>
      </c>
      <c r="J76" s="6" t="n">
        <v>15</v>
      </c>
      <c r="K76" s="6" t="n">
        <v>8</v>
      </c>
      <c r="L76" s="6" t="n">
        <v>7</v>
      </c>
    </row>
    <row r="77" customFormat="false" ht="14.25" hidden="false" customHeight="true" outlineLevel="0" collapsed="false">
      <c r="A77" s="5" t="s">
        <v>13</v>
      </c>
      <c r="B77" s="5" t="s">
        <v>81</v>
      </c>
      <c r="C77" s="5" t="s">
        <v>183</v>
      </c>
      <c r="D77" s="5" t="s">
        <v>214</v>
      </c>
      <c r="E77" s="5" t="s">
        <v>193</v>
      </c>
      <c r="F77" s="5" t="s">
        <v>200</v>
      </c>
      <c r="G77" s="5" t="s">
        <v>225</v>
      </c>
      <c r="H77" s="5" t="s">
        <v>18</v>
      </c>
      <c r="I77" s="6" t="n">
        <v>10</v>
      </c>
      <c r="J77" s="6" t="n">
        <v>55</v>
      </c>
      <c r="K77" s="6" t="n">
        <v>36</v>
      </c>
      <c r="L77" s="6" t="n">
        <v>19</v>
      </c>
    </row>
    <row r="78" customFormat="false" ht="14.25" hidden="false" customHeight="true" outlineLevel="0" collapsed="false">
      <c r="A78" s="5" t="s">
        <v>13</v>
      </c>
      <c r="B78" s="5" t="s">
        <v>81</v>
      </c>
      <c r="C78" s="5" t="s">
        <v>183</v>
      </c>
      <c r="D78" s="5" t="s">
        <v>214</v>
      </c>
      <c r="E78" s="5" t="s">
        <v>193</v>
      </c>
      <c r="F78" s="5" t="s">
        <v>200</v>
      </c>
      <c r="G78" s="5" t="s">
        <v>220</v>
      </c>
      <c r="H78" s="5" t="s">
        <v>21</v>
      </c>
      <c r="I78" s="6" t="n">
        <v>2</v>
      </c>
      <c r="J78" s="6" t="n">
        <v>55</v>
      </c>
      <c r="K78" s="6" t="n">
        <v>36</v>
      </c>
      <c r="L78" s="6" t="n">
        <v>19</v>
      </c>
    </row>
    <row r="79" customFormat="false" ht="14.25" hidden="false" customHeight="true" outlineLevel="0" collapsed="false">
      <c r="A79" s="5" t="s">
        <v>13</v>
      </c>
      <c r="B79" s="5" t="s">
        <v>81</v>
      </c>
      <c r="C79" s="5" t="s">
        <v>183</v>
      </c>
      <c r="D79" s="5" t="s">
        <v>214</v>
      </c>
      <c r="E79" s="5" t="s">
        <v>193</v>
      </c>
      <c r="F79" s="5" t="s">
        <v>200</v>
      </c>
      <c r="G79" s="5" t="s">
        <v>221</v>
      </c>
      <c r="H79" s="5" t="s">
        <v>23</v>
      </c>
      <c r="I79" s="6" t="n">
        <v>1</v>
      </c>
      <c r="J79" s="6" t="n">
        <v>55</v>
      </c>
      <c r="K79" s="6" t="n">
        <v>36</v>
      </c>
      <c r="L79" s="6" t="n">
        <v>19</v>
      </c>
    </row>
    <row r="80" customFormat="false" ht="14.25" hidden="false" customHeight="true" outlineLevel="0" collapsed="false">
      <c r="A80" s="5" t="s">
        <v>13</v>
      </c>
      <c r="B80" s="5" t="s">
        <v>81</v>
      </c>
      <c r="C80" s="5" t="s">
        <v>183</v>
      </c>
      <c r="D80" s="5" t="s">
        <v>214</v>
      </c>
      <c r="E80" s="5" t="s">
        <v>193</v>
      </c>
      <c r="F80" s="5" t="s">
        <v>200</v>
      </c>
      <c r="G80" s="5" t="s">
        <v>227</v>
      </c>
      <c r="H80" s="5" t="s">
        <v>27</v>
      </c>
      <c r="I80" s="6" t="n">
        <v>6</v>
      </c>
      <c r="J80" s="6" t="n">
        <v>55</v>
      </c>
      <c r="K80" s="6" t="n">
        <v>36</v>
      </c>
      <c r="L80" s="6" t="n">
        <v>19</v>
      </c>
    </row>
    <row r="81" customFormat="false" ht="14.25" hidden="false" customHeight="true" outlineLevel="0" collapsed="false">
      <c r="A81" s="5" t="s">
        <v>13</v>
      </c>
      <c r="B81" s="5" t="s">
        <v>81</v>
      </c>
      <c r="C81" s="5" t="s">
        <v>183</v>
      </c>
      <c r="D81" s="5" t="s">
        <v>214</v>
      </c>
      <c r="E81" s="5" t="s">
        <v>193</v>
      </c>
      <c r="F81" s="5" t="s">
        <v>201</v>
      </c>
      <c r="G81" s="5" t="s">
        <v>225</v>
      </c>
      <c r="H81" s="5" t="s">
        <v>18</v>
      </c>
      <c r="I81" s="6" t="n">
        <v>9</v>
      </c>
      <c r="J81" s="6" t="n">
        <v>48</v>
      </c>
      <c r="K81" s="6" t="n">
        <v>33</v>
      </c>
      <c r="L81" s="6" t="n">
        <v>15</v>
      </c>
    </row>
    <row r="82" customFormat="false" ht="14.25" hidden="false" customHeight="true" outlineLevel="0" collapsed="false">
      <c r="A82" s="5" t="s">
        <v>13</v>
      </c>
      <c r="B82" s="5" t="s">
        <v>81</v>
      </c>
      <c r="C82" s="5" t="s">
        <v>183</v>
      </c>
      <c r="D82" s="5" t="s">
        <v>214</v>
      </c>
      <c r="E82" s="5" t="s">
        <v>193</v>
      </c>
      <c r="F82" s="5" t="s">
        <v>201</v>
      </c>
      <c r="G82" s="5" t="s">
        <v>220</v>
      </c>
      <c r="H82" s="5" t="s">
        <v>21</v>
      </c>
      <c r="I82" s="6" t="n">
        <v>2</v>
      </c>
      <c r="J82" s="6" t="n">
        <v>48</v>
      </c>
      <c r="K82" s="6" t="n">
        <v>33</v>
      </c>
      <c r="L82" s="6" t="n">
        <v>15</v>
      </c>
    </row>
    <row r="83" customFormat="false" ht="14.25" hidden="false" customHeight="true" outlineLevel="0" collapsed="false">
      <c r="A83" s="5" t="s">
        <v>13</v>
      </c>
      <c r="B83" s="5" t="s">
        <v>81</v>
      </c>
      <c r="C83" s="5" t="s">
        <v>183</v>
      </c>
      <c r="D83" s="5" t="s">
        <v>214</v>
      </c>
      <c r="E83" s="5" t="s">
        <v>193</v>
      </c>
      <c r="F83" s="5" t="s">
        <v>201</v>
      </c>
      <c r="G83" s="5" t="s">
        <v>221</v>
      </c>
      <c r="H83" s="5" t="s">
        <v>23</v>
      </c>
      <c r="I83" s="6" t="n">
        <v>2</v>
      </c>
      <c r="J83" s="6" t="n">
        <v>48</v>
      </c>
      <c r="K83" s="6" t="n">
        <v>33</v>
      </c>
      <c r="L83" s="6" t="n">
        <v>15</v>
      </c>
    </row>
    <row r="84" customFormat="false" ht="14.25" hidden="false" customHeight="true" outlineLevel="0" collapsed="false">
      <c r="A84" s="5" t="s">
        <v>13</v>
      </c>
      <c r="B84" s="5" t="s">
        <v>81</v>
      </c>
      <c r="C84" s="5" t="s">
        <v>183</v>
      </c>
      <c r="D84" s="5" t="s">
        <v>214</v>
      </c>
      <c r="E84" s="5" t="s">
        <v>193</v>
      </c>
      <c r="F84" s="5" t="s">
        <v>201</v>
      </c>
      <c r="G84" s="5" t="s">
        <v>227</v>
      </c>
      <c r="H84" s="5" t="s">
        <v>27</v>
      </c>
      <c r="I84" s="6" t="n">
        <v>2</v>
      </c>
      <c r="J84" s="6" t="n">
        <v>48</v>
      </c>
      <c r="K84" s="6" t="n">
        <v>33</v>
      </c>
      <c r="L84" s="6" t="n">
        <v>15</v>
      </c>
    </row>
    <row r="85" customFormat="false" ht="14.25" hidden="false" customHeight="true" outlineLevel="0" collapsed="false">
      <c r="A85" s="5" t="s">
        <v>13</v>
      </c>
      <c r="B85" s="5" t="s">
        <v>81</v>
      </c>
      <c r="C85" s="5" t="s">
        <v>183</v>
      </c>
      <c r="D85" s="5" t="s">
        <v>214</v>
      </c>
      <c r="E85" s="5" t="s">
        <v>193</v>
      </c>
      <c r="F85" s="5" t="s">
        <v>202</v>
      </c>
      <c r="G85" s="5" t="s">
        <v>225</v>
      </c>
      <c r="H85" s="5" t="s">
        <v>18</v>
      </c>
      <c r="I85" s="6" t="n">
        <v>3</v>
      </c>
      <c r="J85" s="6" t="n">
        <v>15</v>
      </c>
      <c r="K85" s="6" t="n">
        <v>10</v>
      </c>
      <c r="L85" s="6" t="n">
        <v>5</v>
      </c>
    </row>
    <row r="86" customFormat="false" ht="14.25" hidden="false" customHeight="true" outlineLevel="0" collapsed="false">
      <c r="A86" s="5" t="s">
        <v>13</v>
      </c>
      <c r="B86" s="5" t="s">
        <v>81</v>
      </c>
      <c r="C86" s="5" t="s">
        <v>183</v>
      </c>
      <c r="D86" s="5" t="s">
        <v>214</v>
      </c>
      <c r="E86" s="5" t="s">
        <v>193</v>
      </c>
      <c r="F86" s="5" t="s">
        <v>202</v>
      </c>
      <c r="G86" s="5" t="s">
        <v>227</v>
      </c>
      <c r="H86" s="5" t="s">
        <v>27</v>
      </c>
      <c r="I86" s="6" t="n">
        <v>2</v>
      </c>
      <c r="J86" s="6" t="n">
        <v>15</v>
      </c>
      <c r="K86" s="6" t="n">
        <v>10</v>
      </c>
      <c r="L86" s="6" t="n">
        <v>5</v>
      </c>
    </row>
    <row r="87" customFormat="false" ht="14.25" hidden="false" customHeight="true" outlineLevel="0" collapsed="false">
      <c r="A87" s="5" t="s">
        <v>14</v>
      </c>
      <c r="B87" s="5" t="s">
        <v>81</v>
      </c>
      <c r="C87" s="5" t="s">
        <v>183</v>
      </c>
      <c r="D87" s="5" t="s">
        <v>214</v>
      </c>
      <c r="E87" s="5" t="s">
        <v>193</v>
      </c>
      <c r="F87" s="5" t="s">
        <v>201</v>
      </c>
      <c r="G87" s="5" t="s">
        <v>225</v>
      </c>
      <c r="H87" s="5" t="s">
        <v>18</v>
      </c>
      <c r="I87" s="6" t="n">
        <v>2</v>
      </c>
      <c r="J87" s="6" t="n">
        <v>30</v>
      </c>
      <c r="K87" s="6" t="n">
        <v>26</v>
      </c>
      <c r="L87" s="6" t="n">
        <v>4</v>
      </c>
    </row>
    <row r="88" customFormat="false" ht="14.25" hidden="false" customHeight="true" outlineLevel="0" collapsed="false">
      <c r="A88" s="5" t="s">
        <v>14</v>
      </c>
      <c r="B88" s="5" t="s">
        <v>81</v>
      </c>
      <c r="C88" s="5" t="s">
        <v>183</v>
      </c>
      <c r="D88" s="5" t="s">
        <v>214</v>
      </c>
      <c r="E88" s="5" t="s">
        <v>193</v>
      </c>
      <c r="F88" s="5" t="s">
        <v>201</v>
      </c>
      <c r="G88" s="5" t="s">
        <v>227</v>
      </c>
      <c r="H88" s="5" t="s">
        <v>27</v>
      </c>
      <c r="I88" s="6" t="n">
        <v>2</v>
      </c>
      <c r="J88" s="6" t="n">
        <v>30</v>
      </c>
      <c r="K88" s="6" t="n">
        <v>26</v>
      </c>
      <c r="L88" s="6" t="n">
        <v>4</v>
      </c>
    </row>
    <row r="89" customFormat="false" ht="14.25" hidden="false" customHeight="true" outlineLevel="0" collapsed="false">
      <c r="A89" s="5" t="s">
        <v>15</v>
      </c>
      <c r="B89" s="5" t="s">
        <v>81</v>
      </c>
      <c r="C89" s="5" t="s">
        <v>183</v>
      </c>
      <c r="D89" s="5" t="s">
        <v>214</v>
      </c>
      <c r="E89" s="5" t="s">
        <v>193</v>
      </c>
      <c r="F89" s="5" t="s">
        <v>203</v>
      </c>
      <c r="G89" s="5" t="s">
        <v>225</v>
      </c>
      <c r="H89" s="5" t="s">
        <v>18</v>
      </c>
      <c r="I89" s="6" t="n">
        <v>53</v>
      </c>
      <c r="J89" s="6" t="n">
        <v>60</v>
      </c>
      <c r="K89" s="6" t="n">
        <v>5</v>
      </c>
      <c r="L89" s="6" t="n">
        <v>55</v>
      </c>
    </row>
    <row r="90" customFormat="false" ht="14.25" hidden="false" customHeight="true" outlineLevel="0" collapsed="false">
      <c r="A90" s="5" t="s">
        <v>15</v>
      </c>
      <c r="B90" s="5" t="s">
        <v>81</v>
      </c>
      <c r="C90" s="5" t="s">
        <v>183</v>
      </c>
      <c r="D90" s="5" t="s">
        <v>214</v>
      </c>
      <c r="E90" s="5" t="s">
        <v>193</v>
      </c>
      <c r="F90" s="5" t="s">
        <v>203</v>
      </c>
      <c r="G90" s="5" t="s">
        <v>227</v>
      </c>
      <c r="H90" s="5" t="s">
        <v>27</v>
      </c>
      <c r="I90" s="6" t="n">
        <v>2</v>
      </c>
      <c r="J90" s="6" t="n">
        <v>60</v>
      </c>
      <c r="K90" s="6" t="n">
        <v>5</v>
      </c>
      <c r="L90" s="6" t="n">
        <v>55</v>
      </c>
    </row>
    <row r="91" customFormat="false" ht="14.25" hidden="false" customHeight="true" outlineLevel="0" collapsed="false">
      <c r="A91" s="5" t="s">
        <v>15</v>
      </c>
      <c r="B91" s="5" t="s">
        <v>81</v>
      </c>
      <c r="C91" s="5" t="s">
        <v>183</v>
      </c>
      <c r="D91" s="5" t="s">
        <v>214</v>
      </c>
      <c r="E91" s="5" t="s">
        <v>193</v>
      </c>
      <c r="F91" s="5" t="s">
        <v>204</v>
      </c>
      <c r="G91" s="5" t="s">
        <v>225</v>
      </c>
      <c r="H91" s="5" t="s">
        <v>18</v>
      </c>
      <c r="I91" s="6" t="n">
        <v>80</v>
      </c>
      <c r="J91" s="6" t="n">
        <v>82</v>
      </c>
      <c r="K91" s="6" t="n">
        <v>0</v>
      </c>
      <c r="L91" s="6" t="n">
        <v>82</v>
      </c>
    </row>
    <row r="92" customFormat="false" ht="14.25" hidden="false" customHeight="true" outlineLevel="0" collapsed="false">
      <c r="A92" s="5" t="s">
        <v>15</v>
      </c>
      <c r="B92" s="5" t="s">
        <v>81</v>
      </c>
      <c r="C92" s="5" t="s">
        <v>183</v>
      </c>
      <c r="D92" s="5" t="s">
        <v>214</v>
      </c>
      <c r="E92" s="5" t="s">
        <v>193</v>
      </c>
      <c r="F92" s="5" t="s">
        <v>204</v>
      </c>
      <c r="G92" s="5" t="s">
        <v>221</v>
      </c>
      <c r="H92" s="5" t="s">
        <v>23</v>
      </c>
      <c r="I92" s="6" t="n">
        <v>1</v>
      </c>
      <c r="J92" s="6" t="n">
        <v>82</v>
      </c>
      <c r="K92" s="6" t="n">
        <v>0</v>
      </c>
      <c r="L92" s="6" t="n">
        <v>82</v>
      </c>
    </row>
    <row r="93" customFormat="false" ht="14.25" hidden="false" customHeight="true" outlineLevel="0" collapsed="false">
      <c r="A93" s="5" t="s">
        <v>15</v>
      </c>
      <c r="B93" s="5" t="s">
        <v>81</v>
      </c>
      <c r="C93" s="5" t="s">
        <v>183</v>
      </c>
      <c r="D93" s="5" t="s">
        <v>214</v>
      </c>
      <c r="E93" s="5" t="s">
        <v>193</v>
      </c>
      <c r="F93" s="5" t="s">
        <v>204</v>
      </c>
      <c r="G93" s="5" t="s">
        <v>227</v>
      </c>
      <c r="H93" s="5" t="s">
        <v>27</v>
      </c>
      <c r="I93" s="6" t="n">
        <v>1</v>
      </c>
      <c r="J93" s="6" t="n">
        <v>82</v>
      </c>
      <c r="K93" s="6" t="n">
        <v>0</v>
      </c>
      <c r="L93" s="6" t="n">
        <v>82</v>
      </c>
    </row>
    <row r="94" customFormat="false" ht="14.25" hidden="false" customHeight="true" outlineLevel="0" collapsed="false">
      <c r="A94" s="5" t="s">
        <v>15</v>
      </c>
      <c r="B94" s="5" t="s">
        <v>81</v>
      </c>
      <c r="C94" s="5" t="s">
        <v>183</v>
      </c>
      <c r="D94" s="5" t="s">
        <v>214</v>
      </c>
      <c r="E94" s="5" t="s">
        <v>193</v>
      </c>
      <c r="F94" s="5" t="s">
        <v>205</v>
      </c>
      <c r="G94" s="5" t="s">
        <v>225</v>
      </c>
      <c r="H94" s="5" t="s">
        <v>18</v>
      </c>
      <c r="I94" s="6" t="n">
        <v>54</v>
      </c>
      <c r="J94" s="6" t="n">
        <v>78</v>
      </c>
      <c r="K94" s="6" t="n">
        <v>20</v>
      </c>
      <c r="L94" s="6" t="n">
        <v>58</v>
      </c>
    </row>
    <row r="95" customFormat="false" ht="14.25" hidden="false" customHeight="true" outlineLevel="0" collapsed="false">
      <c r="A95" s="5" t="s">
        <v>15</v>
      </c>
      <c r="B95" s="5" t="s">
        <v>81</v>
      </c>
      <c r="C95" s="5" t="s">
        <v>183</v>
      </c>
      <c r="D95" s="5" t="s">
        <v>214</v>
      </c>
      <c r="E95" s="5" t="s">
        <v>193</v>
      </c>
      <c r="F95" s="5" t="s">
        <v>205</v>
      </c>
      <c r="G95" s="5" t="s">
        <v>221</v>
      </c>
      <c r="H95" s="5" t="s">
        <v>23</v>
      </c>
      <c r="I95" s="6" t="n">
        <v>1</v>
      </c>
      <c r="J95" s="6" t="n">
        <v>78</v>
      </c>
      <c r="K95" s="6" t="n">
        <v>20</v>
      </c>
      <c r="L95" s="6" t="n">
        <v>58</v>
      </c>
    </row>
    <row r="96" customFormat="false" ht="14.25" hidden="false" customHeight="true" outlineLevel="0" collapsed="false">
      <c r="A96" s="5" t="s">
        <v>15</v>
      </c>
      <c r="B96" s="5" t="s">
        <v>81</v>
      </c>
      <c r="C96" s="5" t="s">
        <v>183</v>
      </c>
      <c r="D96" s="5" t="s">
        <v>214</v>
      </c>
      <c r="E96" s="5" t="s">
        <v>193</v>
      </c>
      <c r="F96" s="5" t="s">
        <v>205</v>
      </c>
      <c r="G96" s="5" t="s">
        <v>227</v>
      </c>
      <c r="H96" s="5" t="s">
        <v>27</v>
      </c>
      <c r="I96" s="6" t="n">
        <v>3</v>
      </c>
      <c r="J96" s="6" t="n">
        <v>78</v>
      </c>
      <c r="K96" s="6" t="n">
        <v>20</v>
      </c>
      <c r="L96" s="6" t="n">
        <v>58</v>
      </c>
    </row>
    <row r="97" customFormat="false" ht="14.25" hidden="false" customHeight="true" outlineLevel="0" collapsed="false">
      <c r="A97" s="5" t="s">
        <v>6</v>
      </c>
      <c r="B97" s="5" t="s">
        <v>185</v>
      </c>
      <c r="C97" s="5" t="s">
        <v>186</v>
      </c>
      <c r="D97" s="5" t="s">
        <v>228</v>
      </c>
      <c r="E97" s="5" t="s">
        <v>53</v>
      </c>
      <c r="F97" s="5" t="s">
        <v>187</v>
      </c>
      <c r="G97" s="5" t="s">
        <v>216</v>
      </c>
      <c r="H97" s="5" t="s">
        <v>20</v>
      </c>
      <c r="I97" s="6" t="n">
        <v>1</v>
      </c>
      <c r="J97" s="6" t="n">
        <v>15</v>
      </c>
      <c r="K97" s="6" t="n">
        <v>10</v>
      </c>
      <c r="L97" s="6" t="n">
        <v>5</v>
      </c>
    </row>
    <row r="98" customFormat="false" ht="14.25" hidden="false" customHeight="true" outlineLevel="0" collapsed="false">
      <c r="A98" s="5" t="s">
        <v>6</v>
      </c>
      <c r="B98" s="5" t="s">
        <v>185</v>
      </c>
      <c r="C98" s="5" t="s">
        <v>186</v>
      </c>
      <c r="D98" s="5" t="s">
        <v>228</v>
      </c>
      <c r="E98" s="5" t="s">
        <v>53</v>
      </c>
      <c r="F98" s="5" t="s">
        <v>187</v>
      </c>
      <c r="G98" s="5" t="s">
        <v>217</v>
      </c>
      <c r="H98" s="5" t="s">
        <v>22</v>
      </c>
      <c r="I98" s="6" t="n">
        <v>1</v>
      </c>
      <c r="J98" s="6" t="n">
        <v>15</v>
      </c>
      <c r="K98" s="6" t="n">
        <v>10</v>
      </c>
      <c r="L98" s="6" t="n">
        <v>5</v>
      </c>
    </row>
    <row r="99" customFormat="false" ht="14.25" hidden="false" customHeight="true" outlineLevel="0" collapsed="false">
      <c r="A99" s="5" t="s">
        <v>6</v>
      </c>
      <c r="B99" s="5" t="s">
        <v>185</v>
      </c>
      <c r="C99" s="5" t="s">
        <v>186</v>
      </c>
      <c r="D99" s="5" t="s">
        <v>228</v>
      </c>
      <c r="E99" s="5" t="s">
        <v>53</v>
      </c>
      <c r="F99" s="5" t="s">
        <v>187</v>
      </c>
      <c r="G99" s="5" t="s">
        <v>223</v>
      </c>
      <c r="H99" s="5" t="s">
        <v>23</v>
      </c>
      <c r="I99" s="6" t="n">
        <v>2</v>
      </c>
      <c r="J99" s="6" t="n">
        <v>15</v>
      </c>
      <c r="K99" s="6" t="n">
        <v>10</v>
      </c>
      <c r="L99" s="6" t="n">
        <v>5</v>
      </c>
    </row>
    <row r="100" customFormat="false" ht="14.25" hidden="false" customHeight="true" outlineLevel="0" collapsed="false">
      <c r="A100" s="5" t="s">
        <v>6</v>
      </c>
      <c r="B100" s="5" t="s">
        <v>185</v>
      </c>
      <c r="C100" s="5" t="s">
        <v>186</v>
      </c>
      <c r="D100" s="5" t="s">
        <v>228</v>
      </c>
      <c r="E100" s="5" t="s">
        <v>53</v>
      </c>
      <c r="F100" s="5" t="s">
        <v>187</v>
      </c>
      <c r="G100" s="5" t="s">
        <v>224</v>
      </c>
      <c r="H100" s="5" t="s">
        <v>24</v>
      </c>
      <c r="I100" s="6" t="n">
        <v>1</v>
      </c>
      <c r="J100" s="6" t="n">
        <v>15</v>
      </c>
      <c r="K100" s="6" t="n">
        <v>10</v>
      </c>
      <c r="L100" s="6" t="n">
        <v>5</v>
      </c>
    </row>
    <row r="101" customFormat="false" ht="14.25" hidden="false" customHeight="true" outlineLevel="0" collapsed="false">
      <c r="A101" s="5" t="s">
        <v>6</v>
      </c>
      <c r="B101" s="5" t="s">
        <v>185</v>
      </c>
      <c r="C101" s="5" t="s">
        <v>186</v>
      </c>
      <c r="D101" s="5" t="s">
        <v>228</v>
      </c>
      <c r="E101" s="5" t="s">
        <v>53</v>
      </c>
      <c r="F101" s="5" t="s">
        <v>188</v>
      </c>
      <c r="G101" s="5" t="s">
        <v>215</v>
      </c>
      <c r="H101" s="5" t="s">
        <v>18</v>
      </c>
      <c r="I101" s="6" t="n">
        <v>6</v>
      </c>
      <c r="J101" s="6" t="n">
        <v>35</v>
      </c>
      <c r="K101" s="6" t="n">
        <v>28</v>
      </c>
      <c r="L101" s="6" t="n">
        <v>7</v>
      </c>
    </row>
    <row r="102" customFormat="false" ht="14.25" hidden="false" customHeight="true" outlineLevel="0" collapsed="false">
      <c r="A102" s="5" t="s">
        <v>6</v>
      </c>
      <c r="B102" s="5" t="s">
        <v>185</v>
      </c>
      <c r="C102" s="5" t="s">
        <v>186</v>
      </c>
      <c r="D102" s="5" t="s">
        <v>228</v>
      </c>
      <c r="E102" s="5" t="s">
        <v>53</v>
      </c>
      <c r="F102" s="5" t="s">
        <v>189</v>
      </c>
      <c r="G102" s="5" t="s">
        <v>215</v>
      </c>
      <c r="H102" s="5" t="s">
        <v>18</v>
      </c>
      <c r="I102" s="6" t="n">
        <v>6</v>
      </c>
      <c r="J102" s="6" t="n">
        <v>36</v>
      </c>
      <c r="K102" s="6" t="n">
        <v>24</v>
      </c>
      <c r="L102" s="6" t="n">
        <v>12</v>
      </c>
    </row>
    <row r="103" customFormat="false" ht="14.25" hidden="false" customHeight="true" outlineLevel="0" collapsed="false">
      <c r="A103" s="5" t="s">
        <v>6</v>
      </c>
      <c r="B103" s="5" t="s">
        <v>185</v>
      </c>
      <c r="C103" s="5" t="s">
        <v>186</v>
      </c>
      <c r="D103" s="5" t="s">
        <v>228</v>
      </c>
      <c r="E103" s="5" t="s">
        <v>53</v>
      </c>
      <c r="F103" s="5" t="s">
        <v>189</v>
      </c>
      <c r="G103" s="5" t="s">
        <v>217</v>
      </c>
      <c r="H103" s="5" t="s">
        <v>22</v>
      </c>
      <c r="I103" s="6" t="n">
        <v>2</v>
      </c>
      <c r="J103" s="6" t="n">
        <v>36</v>
      </c>
      <c r="K103" s="6" t="n">
        <v>24</v>
      </c>
      <c r="L103" s="6" t="n">
        <v>12</v>
      </c>
    </row>
    <row r="104" customFormat="false" ht="14.25" hidden="false" customHeight="true" outlineLevel="0" collapsed="false">
      <c r="A104" s="5" t="s">
        <v>6</v>
      </c>
      <c r="B104" s="5" t="s">
        <v>185</v>
      </c>
      <c r="C104" s="5" t="s">
        <v>186</v>
      </c>
      <c r="D104" s="5" t="s">
        <v>228</v>
      </c>
      <c r="E104" s="5" t="s">
        <v>53</v>
      </c>
      <c r="F104" s="5" t="s">
        <v>189</v>
      </c>
      <c r="G104" s="5" t="s">
        <v>223</v>
      </c>
      <c r="H104" s="5" t="s">
        <v>23</v>
      </c>
      <c r="I104" s="6" t="n">
        <v>4</v>
      </c>
      <c r="J104" s="6" t="n">
        <v>36</v>
      </c>
      <c r="K104" s="6" t="n">
        <v>24</v>
      </c>
      <c r="L104" s="6" t="n">
        <v>12</v>
      </c>
    </row>
    <row r="105" customFormat="false" ht="14.25" hidden="false" customHeight="true" outlineLevel="0" collapsed="false">
      <c r="A105" s="5" t="s">
        <v>6</v>
      </c>
      <c r="B105" s="5" t="s">
        <v>185</v>
      </c>
      <c r="C105" s="5" t="s">
        <v>186</v>
      </c>
      <c r="D105" s="5" t="s">
        <v>228</v>
      </c>
      <c r="E105" s="5" t="s">
        <v>53</v>
      </c>
      <c r="F105" s="5" t="s">
        <v>189</v>
      </c>
      <c r="G105" s="5" t="s">
        <v>224</v>
      </c>
      <c r="H105" s="5" t="s">
        <v>24</v>
      </c>
      <c r="I105" s="6" t="n">
        <v>2</v>
      </c>
      <c r="J105" s="6" t="n">
        <v>36</v>
      </c>
      <c r="K105" s="6" t="n">
        <v>24</v>
      </c>
      <c r="L105" s="6" t="n">
        <v>12</v>
      </c>
    </row>
    <row r="106" customFormat="false" ht="14.25" hidden="false" customHeight="true" outlineLevel="0" collapsed="false">
      <c r="A106" s="5" t="s">
        <v>6</v>
      </c>
      <c r="B106" s="5" t="s">
        <v>185</v>
      </c>
      <c r="C106" s="5" t="s">
        <v>186</v>
      </c>
      <c r="D106" s="5" t="s">
        <v>228</v>
      </c>
      <c r="E106" s="5" t="s">
        <v>53</v>
      </c>
      <c r="F106" s="5" t="s">
        <v>190</v>
      </c>
      <c r="G106" s="5" t="s">
        <v>215</v>
      </c>
      <c r="H106" s="5" t="s">
        <v>18</v>
      </c>
      <c r="I106" s="6" t="n">
        <v>9</v>
      </c>
      <c r="J106" s="6" t="n">
        <v>57</v>
      </c>
      <c r="K106" s="6" t="n">
        <v>38</v>
      </c>
      <c r="L106" s="6" t="n">
        <v>19</v>
      </c>
    </row>
    <row r="107" customFormat="false" ht="14.25" hidden="false" customHeight="true" outlineLevel="0" collapsed="false">
      <c r="A107" s="5" t="s">
        <v>6</v>
      </c>
      <c r="B107" s="5" t="s">
        <v>185</v>
      </c>
      <c r="C107" s="5" t="s">
        <v>186</v>
      </c>
      <c r="D107" s="5" t="s">
        <v>228</v>
      </c>
      <c r="E107" s="5" t="s">
        <v>53</v>
      </c>
      <c r="F107" s="5" t="s">
        <v>190</v>
      </c>
      <c r="G107" s="5" t="s">
        <v>216</v>
      </c>
      <c r="H107" s="5" t="s">
        <v>20</v>
      </c>
      <c r="I107" s="6" t="n">
        <v>2</v>
      </c>
      <c r="J107" s="6" t="n">
        <v>57</v>
      </c>
      <c r="K107" s="6" t="n">
        <v>38</v>
      </c>
      <c r="L107" s="6" t="n">
        <v>19</v>
      </c>
    </row>
    <row r="108" customFormat="false" ht="14.25" hidden="false" customHeight="true" outlineLevel="0" collapsed="false">
      <c r="A108" s="5" t="s">
        <v>6</v>
      </c>
      <c r="B108" s="5" t="s">
        <v>185</v>
      </c>
      <c r="C108" s="5" t="s">
        <v>186</v>
      </c>
      <c r="D108" s="5" t="s">
        <v>228</v>
      </c>
      <c r="E108" s="5" t="s">
        <v>53</v>
      </c>
      <c r="F108" s="5" t="s">
        <v>190</v>
      </c>
      <c r="G108" s="5" t="s">
        <v>217</v>
      </c>
      <c r="H108" s="5" t="s">
        <v>22</v>
      </c>
      <c r="I108" s="6" t="n">
        <v>2</v>
      </c>
      <c r="J108" s="6" t="n">
        <v>57</v>
      </c>
      <c r="K108" s="6" t="n">
        <v>38</v>
      </c>
      <c r="L108" s="6" t="n">
        <v>19</v>
      </c>
    </row>
    <row r="109" customFormat="false" ht="14.25" hidden="false" customHeight="true" outlineLevel="0" collapsed="false">
      <c r="A109" s="5" t="s">
        <v>6</v>
      </c>
      <c r="B109" s="5" t="s">
        <v>185</v>
      </c>
      <c r="C109" s="5" t="s">
        <v>186</v>
      </c>
      <c r="D109" s="5" t="s">
        <v>228</v>
      </c>
      <c r="E109" s="5" t="s">
        <v>53</v>
      </c>
      <c r="F109" s="5" t="s">
        <v>190</v>
      </c>
      <c r="G109" s="5" t="s">
        <v>223</v>
      </c>
      <c r="H109" s="5" t="s">
        <v>23</v>
      </c>
      <c r="I109" s="6" t="n">
        <v>6</v>
      </c>
      <c r="J109" s="6" t="n">
        <v>57</v>
      </c>
      <c r="K109" s="6" t="n">
        <v>38</v>
      </c>
      <c r="L109" s="6" t="n">
        <v>19</v>
      </c>
    </row>
    <row r="110" customFormat="false" ht="14.25" hidden="false" customHeight="true" outlineLevel="0" collapsed="false">
      <c r="A110" s="5" t="s">
        <v>8</v>
      </c>
      <c r="B110" s="5" t="s">
        <v>185</v>
      </c>
      <c r="C110" s="5" t="s">
        <v>186</v>
      </c>
      <c r="D110" s="5" t="s">
        <v>228</v>
      </c>
      <c r="E110" s="5" t="s">
        <v>53</v>
      </c>
      <c r="F110" s="5" t="s">
        <v>189</v>
      </c>
      <c r="G110" s="5" t="s">
        <v>215</v>
      </c>
      <c r="H110" s="5" t="s">
        <v>18</v>
      </c>
      <c r="I110" s="6" t="n">
        <v>4</v>
      </c>
      <c r="J110" s="6" t="n">
        <v>20</v>
      </c>
      <c r="K110" s="6" t="n">
        <v>13</v>
      </c>
      <c r="L110" s="6" t="n">
        <v>7</v>
      </c>
    </row>
    <row r="111" customFormat="false" ht="14.25" hidden="false" customHeight="true" outlineLevel="0" collapsed="false">
      <c r="A111" s="5" t="s">
        <v>8</v>
      </c>
      <c r="B111" s="5" t="s">
        <v>185</v>
      </c>
      <c r="C111" s="5" t="s">
        <v>186</v>
      </c>
      <c r="D111" s="5" t="s">
        <v>228</v>
      </c>
      <c r="E111" s="5" t="s">
        <v>53</v>
      </c>
      <c r="F111" s="5" t="s">
        <v>189</v>
      </c>
      <c r="G111" s="5" t="s">
        <v>216</v>
      </c>
      <c r="H111" s="5" t="s">
        <v>20</v>
      </c>
      <c r="I111" s="6" t="n">
        <v>1</v>
      </c>
      <c r="J111" s="6" t="n">
        <v>20</v>
      </c>
      <c r="K111" s="6" t="n">
        <v>13</v>
      </c>
      <c r="L111" s="6" t="n">
        <v>7</v>
      </c>
    </row>
    <row r="112" customFormat="false" ht="14.25" hidden="false" customHeight="true" outlineLevel="0" collapsed="false">
      <c r="A112" s="5" t="s">
        <v>8</v>
      </c>
      <c r="B112" s="5" t="s">
        <v>185</v>
      </c>
      <c r="C112" s="5" t="s">
        <v>186</v>
      </c>
      <c r="D112" s="5" t="s">
        <v>228</v>
      </c>
      <c r="E112" s="5" t="s">
        <v>53</v>
      </c>
      <c r="F112" s="5" t="s">
        <v>189</v>
      </c>
      <c r="G112" s="5" t="s">
        <v>223</v>
      </c>
      <c r="H112" s="5" t="s">
        <v>23</v>
      </c>
      <c r="I112" s="6" t="n">
        <v>2</v>
      </c>
      <c r="J112" s="6" t="n">
        <v>20</v>
      </c>
      <c r="K112" s="6" t="n">
        <v>13</v>
      </c>
      <c r="L112" s="6" t="n">
        <v>7</v>
      </c>
    </row>
    <row r="113" customFormat="false" ht="14.25" hidden="false" customHeight="true" outlineLevel="0" collapsed="false">
      <c r="A113" s="5" t="s">
        <v>9</v>
      </c>
      <c r="B113" s="5" t="s">
        <v>185</v>
      </c>
      <c r="C113" s="5" t="s">
        <v>186</v>
      </c>
      <c r="D113" s="5" t="s">
        <v>228</v>
      </c>
      <c r="E113" s="5" t="s">
        <v>53</v>
      </c>
      <c r="F113" s="5" t="s">
        <v>189</v>
      </c>
      <c r="G113" s="5" t="s">
        <v>225</v>
      </c>
      <c r="H113" s="5" t="s">
        <v>18</v>
      </c>
      <c r="I113" s="6" t="n">
        <v>4</v>
      </c>
      <c r="J113" s="6" t="n">
        <v>9</v>
      </c>
      <c r="K113" s="6" t="n">
        <v>4</v>
      </c>
      <c r="L113" s="6" t="n">
        <v>5</v>
      </c>
    </row>
    <row r="114" customFormat="false" ht="14.25" hidden="false" customHeight="true" outlineLevel="0" collapsed="false">
      <c r="A114" s="5" t="s">
        <v>9</v>
      </c>
      <c r="B114" s="5" t="s">
        <v>185</v>
      </c>
      <c r="C114" s="5" t="s">
        <v>186</v>
      </c>
      <c r="D114" s="5" t="s">
        <v>228</v>
      </c>
      <c r="E114" s="5" t="s">
        <v>53</v>
      </c>
      <c r="F114" s="5" t="s">
        <v>189</v>
      </c>
      <c r="G114" s="5" t="s">
        <v>223</v>
      </c>
      <c r="H114" s="5" t="s">
        <v>23</v>
      </c>
      <c r="I114" s="6" t="n">
        <v>1</v>
      </c>
      <c r="J114" s="6" t="n">
        <v>9</v>
      </c>
      <c r="K114" s="6" t="n">
        <v>4</v>
      </c>
      <c r="L114" s="6" t="n">
        <v>5</v>
      </c>
    </row>
    <row r="115" customFormat="false" ht="14.25" hidden="false" customHeight="false" outlineLevel="0" collapsed="false">
      <c r="A115" s="5" t="s">
        <v>16</v>
      </c>
      <c r="B115" s="5" t="s">
        <v>58</v>
      </c>
      <c r="C115" s="5" t="s">
        <v>183</v>
      </c>
      <c r="D115" s="5" t="s">
        <v>214</v>
      </c>
      <c r="E115" s="5" t="s">
        <v>53</v>
      </c>
      <c r="F115" s="5" t="s">
        <v>66</v>
      </c>
      <c r="G115" s="5" t="s">
        <v>225</v>
      </c>
      <c r="H115" s="5" t="s">
        <v>18</v>
      </c>
      <c r="I115" s="6" t="n">
        <v>1</v>
      </c>
      <c r="J115" s="6" t="n">
        <v>172</v>
      </c>
      <c r="K115" s="6" t="n">
        <v>167</v>
      </c>
      <c r="L115" s="6" t="n">
        <v>5</v>
      </c>
    </row>
    <row r="116" customFormat="false" ht="14.25" hidden="false" customHeight="false" outlineLevel="0" collapsed="false">
      <c r="A116" s="5" t="s">
        <v>16</v>
      </c>
      <c r="B116" s="5" t="s">
        <v>58</v>
      </c>
      <c r="C116" s="5" t="s">
        <v>183</v>
      </c>
      <c r="D116" s="5" t="s">
        <v>214</v>
      </c>
      <c r="E116" s="5" t="s">
        <v>53</v>
      </c>
      <c r="F116" s="5" t="s">
        <v>66</v>
      </c>
      <c r="G116" s="5" t="s">
        <v>223</v>
      </c>
      <c r="H116" s="5" t="s">
        <v>23</v>
      </c>
      <c r="I116" s="6" t="n">
        <v>4</v>
      </c>
      <c r="J116" s="6" t="n">
        <v>172</v>
      </c>
      <c r="K116" s="6" t="n">
        <v>167</v>
      </c>
      <c r="L116" s="6" t="n">
        <v>5</v>
      </c>
    </row>
    <row r="117" customFormat="false" ht="14.25" hidden="false" customHeight="false" outlineLevel="0" collapsed="false">
      <c r="A117" s="5" t="s">
        <v>16</v>
      </c>
      <c r="B117" s="5" t="s">
        <v>58</v>
      </c>
      <c r="C117" s="5" t="s">
        <v>183</v>
      </c>
      <c r="D117" s="5" t="s">
        <v>214</v>
      </c>
      <c r="E117" s="5" t="s">
        <v>53</v>
      </c>
      <c r="F117" s="5" t="s">
        <v>62</v>
      </c>
      <c r="G117" s="5" t="s">
        <v>226</v>
      </c>
      <c r="H117" s="5" t="s">
        <v>226</v>
      </c>
      <c r="I117" s="6" t="n">
        <v>0</v>
      </c>
      <c r="J117" s="6" t="n">
        <v>98</v>
      </c>
      <c r="K117" s="6" t="n">
        <v>98</v>
      </c>
      <c r="L117" s="6" t="n">
        <v>0</v>
      </c>
    </row>
    <row r="118" customFormat="false" ht="14.25" hidden="false" customHeight="false" outlineLevel="0" collapsed="false">
      <c r="A118" s="5" t="s">
        <v>16</v>
      </c>
      <c r="B118" s="5" t="s">
        <v>81</v>
      </c>
      <c r="C118" s="5" t="s">
        <v>183</v>
      </c>
      <c r="D118" s="5" t="s">
        <v>214</v>
      </c>
      <c r="E118" s="5" t="s">
        <v>193</v>
      </c>
      <c r="F118" s="5" t="s">
        <v>206</v>
      </c>
      <c r="G118" s="5" t="s">
        <v>226</v>
      </c>
      <c r="H118" s="5" t="s">
        <v>226</v>
      </c>
      <c r="I118" s="6" t="n">
        <v>0</v>
      </c>
      <c r="J118" s="6" t="n">
        <v>7</v>
      </c>
      <c r="K118" s="6" t="n">
        <v>7</v>
      </c>
      <c r="L118" s="6" t="n">
        <v>0</v>
      </c>
    </row>
  </sheetData>
  <autoFilter ref="A1:L1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14" min="2" style="0" width="11"/>
  </cols>
  <sheetData>
    <row r="1" customFormat="false" ht="21" hidden="false" customHeight="true" outlineLevel="0" collapsed="false">
      <c r="A1" s="1" t="s">
        <v>229</v>
      </c>
      <c r="B1" s="1"/>
      <c r="C1" s="1"/>
      <c r="D1" s="1"/>
      <c r="E1" s="1"/>
      <c r="F1" s="1"/>
      <c r="G1" s="1"/>
      <c r="H1" s="1"/>
      <c r="I1" s="1"/>
      <c r="J1" s="1"/>
      <c r="K1" s="1"/>
      <c r="L1" s="1"/>
      <c r="M1" s="1"/>
      <c r="N1" s="1"/>
    </row>
    <row r="3" customFormat="false" ht="27.75" hidden="false" customHeight="true" outlineLevel="0" collapsed="false">
      <c r="A3" s="4" t="s">
        <v>3</v>
      </c>
      <c r="B3" s="4" t="s">
        <v>4</v>
      </c>
      <c r="C3" s="4" t="s">
        <v>5</v>
      </c>
      <c r="D3" s="4" t="s">
        <v>6</v>
      </c>
      <c r="E3" s="4" t="s">
        <v>7</v>
      </c>
      <c r="F3" s="4" t="s">
        <v>8</v>
      </c>
      <c r="G3" s="4" t="s">
        <v>9</v>
      </c>
      <c r="H3" s="4" t="s">
        <v>10</v>
      </c>
      <c r="I3" s="4" t="s">
        <v>11</v>
      </c>
      <c r="J3" s="4" t="s">
        <v>12</v>
      </c>
      <c r="K3" s="4" t="s">
        <v>13</v>
      </c>
      <c r="L3" s="4" t="s">
        <v>14</v>
      </c>
      <c r="M3" s="4" t="s">
        <v>15</v>
      </c>
      <c r="N3" s="4" t="s">
        <v>17</v>
      </c>
    </row>
    <row r="4" customFormat="false" ht="14.25" hidden="false" customHeight="true" outlineLevel="0" collapsed="false">
      <c r="A4" s="5" t="s">
        <v>18</v>
      </c>
      <c r="B4" s="6" t="n">
        <v>1</v>
      </c>
      <c r="C4" s="6" t="n">
        <v>17</v>
      </c>
      <c r="D4" s="6" t="n">
        <v>24</v>
      </c>
      <c r="E4" s="6" t="n">
        <v>6</v>
      </c>
      <c r="F4" s="6" t="n">
        <v>18</v>
      </c>
      <c r="G4" s="6" t="n">
        <v>22</v>
      </c>
      <c r="H4" s="6" t="n">
        <v>12</v>
      </c>
      <c r="I4" s="6" t="n">
        <v>12</v>
      </c>
      <c r="J4" s="6" t="n">
        <v>6</v>
      </c>
      <c r="K4" s="6" t="n">
        <v>18</v>
      </c>
      <c r="L4" s="6" t="n">
        <v>4</v>
      </c>
      <c r="M4" s="6" t="n">
        <v>1</v>
      </c>
      <c r="N4" s="6" t="n">
        <f aca="false">SUM(B4:M4)</f>
        <v>141</v>
      </c>
    </row>
    <row r="5" customFormat="false" ht="14.25" hidden="false" customHeight="true" outlineLevel="0" collapsed="false">
      <c r="A5" s="5" t="s">
        <v>19</v>
      </c>
      <c r="B5" s="6" t="n">
        <v>0</v>
      </c>
      <c r="C5" s="6" t="n">
        <v>0</v>
      </c>
      <c r="D5" s="6" t="n">
        <v>0</v>
      </c>
      <c r="E5" s="6" t="n">
        <v>0</v>
      </c>
      <c r="F5" s="6" t="n">
        <v>0</v>
      </c>
      <c r="G5" s="6" t="n">
        <v>0</v>
      </c>
      <c r="H5" s="6" t="n">
        <v>0</v>
      </c>
      <c r="I5" s="6" t="n">
        <v>0</v>
      </c>
      <c r="J5" s="6" t="n">
        <v>0</v>
      </c>
      <c r="K5" s="6" t="n">
        <v>0</v>
      </c>
      <c r="L5" s="6" t="n">
        <v>0</v>
      </c>
      <c r="M5" s="6" t="n">
        <v>0</v>
      </c>
      <c r="N5" s="6" t="n">
        <f aca="false">SUM(B5:M5)</f>
        <v>0</v>
      </c>
    </row>
    <row r="6" customFormat="false" ht="14.25" hidden="false" customHeight="true" outlineLevel="0" collapsed="false">
      <c r="A6" s="5" t="s">
        <v>20</v>
      </c>
      <c r="B6" s="6" t="n">
        <v>1</v>
      </c>
      <c r="C6" s="6" t="n">
        <v>10</v>
      </c>
      <c r="D6" s="6" t="n">
        <v>7</v>
      </c>
      <c r="E6" s="6" t="n">
        <v>9</v>
      </c>
      <c r="F6" s="6" t="n">
        <v>3</v>
      </c>
      <c r="G6" s="6" t="n">
        <v>2</v>
      </c>
      <c r="H6" s="6" t="n">
        <v>5</v>
      </c>
      <c r="I6" s="6" t="n">
        <v>5</v>
      </c>
      <c r="J6" s="6" t="n">
        <v>4</v>
      </c>
      <c r="K6" s="6" t="n">
        <v>6</v>
      </c>
      <c r="L6" s="6" t="n">
        <v>3</v>
      </c>
      <c r="M6" s="6" t="n">
        <v>1</v>
      </c>
      <c r="N6" s="6" t="n">
        <f aca="false">SUM(B6:M6)</f>
        <v>56</v>
      </c>
    </row>
    <row r="7" customFormat="false" ht="14.25" hidden="false" customHeight="true" outlineLevel="0" collapsed="false">
      <c r="A7" s="5" t="s">
        <v>21</v>
      </c>
      <c r="B7" s="6" t="n">
        <v>0</v>
      </c>
      <c r="C7" s="6" t="n">
        <v>1</v>
      </c>
      <c r="D7" s="6" t="n">
        <v>0</v>
      </c>
      <c r="E7" s="6" t="n">
        <v>0</v>
      </c>
      <c r="F7" s="6" t="n">
        <v>0</v>
      </c>
      <c r="G7" s="6" t="n">
        <v>0</v>
      </c>
      <c r="H7" s="6" t="n">
        <v>0</v>
      </c>
      <c r="I7" s="6" t="n">
        <v>0</v>
      </c>
      <c r="J7" s="6" t="n">
        <v>0</v>
      </c>
      <c r="K7" s="6" t="n">
        <v>0</v>
      </c>
      <c r="L7" s="6" t="n">
        <v>0</v>
      </c>
      <c r="M7" s="6" t="n">
        <v>0</v>
      </c>
      <c r="N7" s="6" t="n">
        <f aca="false">SUM(B7:M7)</f>
        <v>1</v>
      </c>
    </row>
    <row r="8" customFormat="false" ht="14.25" hidden="false" customHeight="true" outlineLevel="0" collapsed="false">
      <c r="A8" s="5" t="s">
        <v>22</v>
      </c>
      <c r="B8" s="6" t="n">
        <v>8</v>
      </c>
      <c r="C8" s="6" t="n">
        <v>5</v>
      </c>
      <c r="D8" s="6" t="n">
        <v>15</v>
      </c>
      <c r="E8" s="6" t="n">
        <v>9</v>
      </c>
      <c r="F8" s="6" t="n">
        <v>0</v>
      </c>
      <c r="G8" s="6" t="n">
        <v>0</v>
      </c>
      <c r="H8" s="6" t="n">
        <v>0</v>
      </c>
      <c r="I8" s="6" t="n">
        <v>0</v>
      </c>
      <c r="J8" s="6" t="n">
        <v>0</v>
      </c>
      <c r="K8" s="6" t="n">
        <v>0</v>
      </c>
      <c r="L8" s="6" t="n">
        <v>0</v>
      </c>
      <c r="M8" s="6" t="n">
        <v>0</v>
      </c>
      <c r="N8" s="6" t="n">
        <f aca="false">SUM(B8:M8)</f>
        <v>37</v>
      </c>
    </row>
    <row r="9" customFormat="false" ht="14.25" hidden="false" customHeight="true" outlineLevel="0" collapsed="false">
      <c r="A9" s="5" t="s">
        <v>23</v>
      </c>
      <c r="B9" s="6" t="n">
        <v>5</v>
      </c>
      <c r="C9" s="6" t="n">
        <v>6</v>
      </c>
      <c r="D9" s="6" t="n">
        <v>7</v>
      </c>
      <c r="E9" s="6" t="n">
        <v>9</v>
      </c>
      <c r="F9" s="6" t="n">
        <v>0</v>
      </c>
      <c r="G9" s="6" t="n">
        <v>9</v>
      </c>
      <c r="H9" s="6" t="n">
        <v>4</v>
      </c>
      <c r="I9" s="6" t="n">
        <v>0</v>
      </c>
      <c r="J9" s="6" t="n">
        <v>0</v>
      </c>
      <c r="K9" s="6" t="n">
        <v>0</v>
      </c>
      <c r="L9" s="6" t="n">
        <v>6</v>
      </c>
      <c r="M9" s="6" t="n">
        <v>1</v>
      </c>
      <c r="N9" s="6" t="n">
        <f aca="false">SUM(B9:M9)</f>
        <v>47</v>
      </c>
    </row>
    <row r="10" customFormat="false" ht="14.25" hidden="false" customHeight="true" outlineLevel="0" collapsed="false">
      <c r="A10" s="5" t="s">
        <v>24</v>
      </c>
      <c r="B10" s="6" t="n">
        <v>3</v>
      </c>
      <c r="C10" s="6" t="n">
        <v>2</v>
      </c>
      <c r="D10" s="6" t="n">
        <v>1</v>
      </c>
      <c r="E10" s="6" t="n">
        <v>4</v>
      </c>
      <c r="F10" s="6" t="n">
        <v>5</v>
      </c>
      <c r="G10" s="6" t="n">
        <v>0</v>
      </c>
      <c r="H10" s="6" t="n">
        <v>0</v>
      </c>
      <c r="I10" s="6" t="n">
        <v>2</v>
      </c>
      <c r="J10" s="6" t="n">
        <v>0</v>
      </c>
      <c r="K10" s="6" t="n">
        <v>0</v>
      </c>
      <c r="L10" s="6" t="n">
        <v>0</v>
      </c>
      <c r="M10" s="6" t="n">
        <v>0</v>
      </c>
      <c r="N10" s="6" t="n">
        <f aca="false">SUM(B10:M10)</f>
        <v>17</v>
      </c>
    </row>
    <row r="11" customFormat="false" ht="14.25" hidden="false" customHeight="true" outlineLevel="0" collapsed="false">
      <c r="A11" s="5" t="s">
        <v>25</v>
      </c>
      <c r="B11" s="6" t="n">
        <v>1</v>
      </c>
      <c r="C11" s="6" t="n">
        <v>2</v>
      </c>
      <c r="D11" s="6" t="n">
        <v>0</v>
      </c>
      <c r="E11" s="6" t="n">
        <v>0</v>
      </c>
      <c r="F11" s="6" t="n">
        <v>0</v>
      </c>
      <c r="G11" s="6" t="n">
        <v>0</v>
      </c>
      <c r="H11" s="6" t="n">
        <v>0</v>
      </c>
      <c r="I11" s="6" t="n">
        <v>0</v>
      </c>
      <c r="J11" s="6" t="n">
        <v>0</v>
      </c>
      <c r="K11" s="6" t="n">
        <v>0</v>
      </c>
      <c r="L11" s="6" t="n">
        <v>0</v>
      </c>
      <c r="M11" s="6" t="n">
        <v>0</v>
      </c>
      <c r="N11" s="6" t="n">
        <f aca="false">SUM(B11:M11)</f>
        <v>3</v>
      </c>
    </row>
    <row r="12" customFormat="false" ht="14.25" hidden="false" customHeight="true" outlineLevel="0" collapsed="false">
      <c r="A12" s="5" t="s">
        <v>26</v>
      </c>
      <c r="B12" s="6" t="n">
        <v>0</v>
      </c>
      <c r="C12" s="6" t="n">
        <v>0</v>
      </c>
      <c r="D12" s="6" t="n">
        <v>3</v>
      </c>
      <c r="E12" s="6" t="n">
        <v>0</v>
      </c>
      <c r="F12" s="6" t="n">
        <v>0</v>
      </c>
      <c r="G12" s="6" t="n">
        <v>0</v>
      </c>
      <c r="H12" s="6" t="n">
        <v>0</v>
      </c>
      <c r="I12" s="6" t="n">
        <v>1</v>
      </c>
      <c r="J12" s="6" t="n">
        <v>0</v>
      </c>
      <c r="K12" s="6" t="n">
        <v>0</v>
      </c>
      <c r="L12" s="6" t="n">
        <v>1</v>
      </c>
      <c r="M12" s="6" t="n">
        <v>0</v>
      </c>
      <c r="N12" s="6" t="n">
        <f aca="false">SUM(B12:M12)</f>
        <v>5</v>
      </c>
    </row>
    <row r="13" customFormat="false" ht="14.25" hidden="false" customHeight="true" outlineLevel="0" collapsed="false">
      <c r="A13" s="5" t="s">
        <v>27</v>
      </c>
      <c r="B13" s="6" t="n">
        <v>0</v>
      </c>
      <c r="C13" s="6" t="n">
        <v>0</v>
      </c>
      <c r="D13" s="6" t="n">
        <v>0</v>
      </c>
      <c r="E13" s="6" t="n">
        <v>0</v>
      </c>
      <c r="F13" s="6" t="n">
        <v>0</v>
      </c>
      <c r="G13" s="6" t="n">
        <v>0</v>
      </c>
      <c r="H13" s="6" t="n">
        <v>0</v>
      </c>
      <c r="I13" s="6" t="n">
        <v>0</v>
      </c>
      <c r="J13" s="6" t="n">
        <v>0</v>
      </c>
      <c r="K13" s="6" t="n">
        <v>0</v>
      </c>
      <c r="L13" s="6" t="n">
        <v>0</v>
      </c>
      <c r="M13" s="6" t="n">
        <v>0</v>
      </c>
      <c r="N13" s="6" t="n">
        <f aca="false">SUM(B13:M13)</f>
        <v>0</v>
      </c>
    </row>
    <row r="14" customFormat="false" ht="14.25" hidden="false" customHeight="true" outlineLevel="0" collapsed="false">
      <c r="A14" s="7" t="s">
        <v>230</v>
      </c>
      <c r="B14" s="8" t="n">
        <f aca="false">SUM(B4:B13)</f>
        <v>19</v>
      </c>
      <c r="C14" s="8" t="n">
        <f aca="false">SUM(C4:C13)</f>
        <v>43</v>
      </c>
      <c r="D14" s="8" t="n">
        <f aca="false">SUM(D4:D13)</f>
        <v>57</v>
      </c>
      <c r="E14" s="8" t="n">
        <f aca="false">SUM(E4:E13)</f>
        <v>37</v>
      </c>
      <c r="F14" s="8" t="n">
        <f aca="false">SUM(F4:F13)</f>
        <v>26</v>
      </c>
      <c r="G14" s="8" t="n">
        <f aca="false">SUM(G4:G13)</f>
        <v>33</v>
      </c>
      <c r="H14" s="8" t="n">
        <f aca="false">SUM(H4:H13)</f>
        <v>21</v>
      </c>
      <c r="I14" s="8" t="n">
        <f aca="false">SUM(I4:I13)</f>
        <v>20</v>
      </c>
      <c r="J14" s="8" t="n">
        <f aca="false">SUM(J4:J13)</f>
        <v>10</v>
      </c>
      <c r="K14" s="8" t="n">
        <f aca="false">SUM(K4:K13)</f>
        <v>24</v>
      </c>
      <c r="L14" s="8" t="n">
        <f aca="false">SUM(L4:L13)</f>
        <v>14</v>
      </c>
      <c r="M14" s="8" t="n">
        <f aca="false">SUM(M4:M13)</f>
        <v>3</v>
      </c>
      <c r="N14" s="8" t="n">
        <f aca="false">SUM(B14:M14)</f>
        <v>307</v>
      </c>
    </row>
    <row r="15" customFormat="false" ht="14.25" hidden="false" customHeight="true" outlineLevel="0" collapsed="false">
      <c r="A15" s="7" t="s">
        <v>28</v>
      </c>
      <c r="B15" s="8" t="n">
        <v>150</v>
      </c>
      <c r="C15" s="8" t="n">
        <v>181</v>
      </c>
      <c r="D15" s="8" t="n">
        <v>210</v>
      </c>
      <c r="E15" s="8" t="n">
        <v>221</v>
      </c>
      <c r="F15" s="8" t="n">
        <v>200</v>
      </c>
      <c r="G15" s="8" t="n">
        <v>200</v>
      </c>
      <c r="H15" s="8" t="n">
        <v>227</v>
      </c>
      <c r="I15" s="8" t="n">
        <v>180</v>
      </c>
      <c r="J15" s="8" t="n">
        <v>200</v>
      </c>
      <c r="K15" s="8" t="n">
        <v>170</v>
      </c>
      <c r="L15" s="8" t="n">
        <v>270</v>
      </c>
      <c r="M15" s="8" t="n">
        <v>100</v>
      </c>
      <c r="N15" s="8" t="n">
        <f aca="false">SUM(B15:M15)</f>
        <v>2309</v>
      </c>
    </row>
    <row r="16" customFormat="false" ht="14.25" hidden="false" customHeight="true" outlineLevel="0" collapsed="false">
      <c r="A16" s="7" t="s">
        <v>29</v>
      </c>
      <c r="B16" s="8" t="n">
        <v>19</v>
      </c>
      <c r="C16" s="8" t="n">
        <v>43</v>
      </c>
      <c r="D16" s="8" t="n">
        <v>57</v>
      </c>
      <c r="E16" s="8" t="n">
        <v>37</v>
      </c>
      <c r="F16" s="8" t="n">
        <v>26</v>
      </c>
      <c r="G16" s="8" t="n">
        <v>33</v>
      </c>
      <c r="H16" s="8" t="n">
        <v>21</v>
      </c>
      <c r="I16" s="8" t="n">
        <v>20</v>
      </c>
      <c r="J16" s="8" t="n">
        <v>10</v>
      </c>
      <c r="K16" s="8" t="n">
        <v>24</v>
      </c>
      <c r="L16" s="8" t="n">
        <v>14</v>
      </c>
      <c r="M16" s="8" t="n">
        <v>3</v>
      </c>
      <c r="N16" s="8" t="n">
        <f aca="false">SUM(B16:M16)</f>
        <v>307</v>
      </c>
    </row>
    <row r="17" customFormat="false" ht="14.25" hidden="false" customHeight="true" outlineLevel="0" collapsed="false">
      <c r="A17" s="7" t="s">
        <v>30</v>
      </c>
      <c r="B17" s="9" t="n">
        <f aca="false">IFERROR(B16/B15,0)</f>
        <v>0.126666666666667</v>
      </c>
      <c r="C17" s="9" t="n">
        <f aca="false">IFERROR(C16/C15,0)</f>
        <v>0.237569060773481</v>
      </c>
      <c r="D17" s="9" t="n">
        <f aca="false">IFERROR(D16/D15,0)</f>
        <v>0.271428571428571</v>
      </c>
      <c r="E17" s="9" t="n">
        <f aca="false">IFERROR(E16/E15,0)</f>
        <v>0.167420814479638</v>
      </c>
      <c r="F17" s="9" t="n">
        <f aca="false">IFERROR(F16/F15,0)</f>
        <v>0.13</v>
      </c>
      <c r="G17" s="9" t="n">
        <f aca="false">IFERROR(G16/G15,0)</f>
        <v>0.165</v>
      </c>
      <c r="H17" s="9" t="n">
        <f aca="false">IFERROR(H16/H15,0)</f>
        <v>0.092511013215859</v>
      </c>
      <c r="I17" s="9" t="n">
        <f aca="false">IFERROR(I16/I15,0)</f>
        <v>0.111111111111111</v>
      </c>
      <c r="J17" s="9" t="n">
        <f aca="false">IFERROR(J16/J15,0)</f>
        <v>0.05</v>
      </c>
      <c r="K17" s="9" t="n">
        <f aca="false">IFERROR(K16/K15,0)</f>
        <v>0.141176470588235</v>
      </c>
      <c r="L17" s="9" t="n">
        <f aca="false">IFERROR(L16/L15,0)</f>
        <v>0.0518518518518519</v>
      </c>
      <c r="M17" s="9" t="n">
        <f aca="false">IFERROR(M16/M15,0)</f>
        <v>0.03</v>
      </c>
      <c r="N17" s="9" t="n">
        <f aca="false">IFERROR(N16/N15,0)</f>
        <v>0.132957990472066</v>
      </c>
    </row>
  </sheetData>
  <mergeCells count="1">
    <mergeCell ref="A1:N1"/>
  </mergeCells>
  <conditionalFormatting sqref="B4:M13">
    <cfRule type="colorScale" priority="2">
      <colorScale>
        <cfvo type="num" val="0"/>
        <cfvo type="num" val="5"/>
        <cfvo type="num" val="20"/>
        <color rgb="FFFFFFFF"/>
        <color rgb="FFFFEB84"/>
        <color rgb="FFF8696B"/>
      </colorScale>
    </cfRule>
  </conditionalFormatting>
  <conditionalFormatting sqref="B17:M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9" activeCellId="0" sqref="A19"/>
    </sheetView>
  </sheetViews>
  <sheetFormatPr defaultColWidth="8.6640625" defaultRowHeight="14.25" zeroHeight="false" outlineLevelRow="0" outlineLevelCol="0"/>
  <cols>
    <col collapsed="false" customWidth="true" hidden="false" outlineLevel="0" max="1" min="1" style="22" width="42"/>
    <col collapsed="false" customWidth="true" hidden="false" outlineLevel="0" max="5" min="2" style="22" width="12"/>
    <col collapsed="false" customWidth="false" hidden="false" outlineLevel="0" max="16384" min="6" style="22" width="8.67"/>
  </cols>
  <sheetData>
    <row r="1" customFormat="false" ht="19.5" hidden="false" customHeight="true" outlineLevel="0" collapsed="false">
      <c r="A1" s="1" t="s">
        <v>231</v>
      </c>
      <c r="B1" s="1"/>
      <c r="C1" s="1"/>
      <c r="D1" s="1"/>
      <c r="E1" s="1"/>
      <c r="F1" s="1"/>
    </row>
    <row r="3" customFormat="false" ht="15" hidden="false" customHeight="true" outlineLevel="0" collapsed="false">
      <c r="A3" s="4" t="s">
        <v>3</v>
      </c>
      <c r="B3" s="4" t="s">
        <v>6</v>
      </c>
      <c r="C3" s="4" t="s">
        <v>8</v>
      </c>
      <c r="D3" s="4" t="s">
        <v>9</v>
      </c>
      <c r="E3" s="4" t="s">
        <v>17</v>
      </c>
    </row>
    <row r="4" customFormat="false" ht="15" hidden="false" customHeight="true" outlineLevel="0" collapsed="false">
      <c r="A4" s="5" t="s">
        <v>18</v>
      </c>
      <c r="B4" s="6" t="n">
        <v>21</v>
      </c>
      <c r="C4" s="6" t="n">
        <v>4</v>
      </c>
      <c r="D4" s="6" t="n">
        <v>4</v>
      </c>
      <c r="E4" s="6" t="n">
        <f aca="false">SUM(B4:D4)</f>
        <v>29</v>
      </c>
    </row>
    <row r="5" customFormat="false" ht="15" hidden="false" customHeight="true" outlineLevel="0" collapsed="false">
      <c r="A5" s="5" t="s">
        <v>19</v>
      </c>
      <c r="B5" s="6" t="n">
        <v>0</v>
      </c>
      <c r="C5" s="6" t="n">
        <v>0</v>
      </c>
      <c r="D5" s="6" t="n">
        <v>0</v>
      </c>
      <c r="E5" s="6" t="n">
        <f aca="false">SUM(B5:D5)</f>
        <v>0</v>
      </c>
    </row>
    <row r="6" customFormat="false" ht="15" hidden="false" customHeight="true" outlineLevel="0" collapsed="false">
      <c r="A6" s="5" t="s">
        <v>20</v>
      </c>
      <c r="B6" s="6" t="n">
        <v>3</v>
      </c>
      <c r="C6" s="6" t="n">
        <v>1</v>
      </c>
      <c r="D6" s="6" t="n">
        <v>0</v>
      </c>
      <c r="E6" s="6" t="n">
        <f aca="false">SUM(B6:D6)</f>
        <v>4</v>
      </c>
    </row>
    <row r="7" customFormat="false" ht="15" hidden="false" customHeight="true" outlineLevel="0" collapsed="false">
      <c r="A7" s="5" t="s">
        <v>21</v>
      </c>
      <c r="B7" s="6" t="n">
        <v>0</v>
      </c>
      <c r="C7" s="6" t="n">
        <v>0</v>
      </c>
      <c r="D7" s="6" t="n">
        <v>0</v>
      </c>
      <c r="E7" s="6" t="n">
        <f aca="false">SUM(B7:D7)</f>
        <v>0</v>
      </c>
    </row>
    <row r="8" customFormat="false" ht="15" hidden="false" customHeight="true" outlineLevel="0" collapsed="false">
      <c r="A8" s="5" t="s">
        <v>22</v>
      </c>
      <c r="B8" s="6" t="n">
        <v>5</v>
      </c>
      <c r="C8" s="6" t="n">
        <v>0</v>
      </c>
      <c r="D8" s="6" t="n">
        <v>0</v>
      </c>
      <c r="E8" s="6" t="n">
        <f aca="false">SUM(B8:D8)</f>
        <v>5</v>
      </c>
    </row>
    <row r="9" customFormat="false" ht="15" hidden="false" customHeight="true" outlineLevel="0" collapsed="false">
      <c r="A9" s="5" t="s">
        <v>23</v>
      </c>
      <c r="B9" s="6" t="n">
        <v>12</v>
      </c>
      <c r="C9" s="6" t="n">
        <v>2</v>
      </c>
      <c r="D9" s="6" t="n">
        <v>1</v>
      </c>
      <c r="E9" s="6" t="n">
        <f aca="false">SUM(B9:D9)</f>
        <v>15</v>
      </c>
    </row>
    <row r="10" customFormat="false" ht="15" hidden="false" customHeight="true" outlineLevel="0" collapsed="false">
      <c r="A10" s="5" t="s">
        <v>24</v>
      </c>
      <c r="B10" s="6" t="n">
        <v>3</v>
      </c>
      <c r="C10" s="6" t="n">
        <v>0</v>
      </c>
      <c r="D10" s="6" t="n">
        <v>0</v>
      </c>
      <c r="E10" s="6" t="n">
        <f aca="false">SUM(B10:D10)</f>
        <v>3</v>
      </c>
    </row>
    <row r="11" customFormat="false" ht="15" hidden="false" customHeight="true" outlineLevel="0" collapsed="false">
      <c r="A11" s="5" t="s">
        <v>25</v>
      </c>
      <c r="B11" s="6" t="n">
        <v>0</v>
      </c>
      <c r="C11" s="6" t="n">
        <v>0</v>
      </c>
      <c r="D11" s="6" t="n">
        <v>0</v>
      </c>
      <c r="E11" s="6" t="n">
        <f aca="false">SUM(B11:D11)</f>
        <v>0</v>
      </c>
    </row>
    <row r="12" customFormat="false" ht="15" hidden="false" customHeight="true" outlineLevel="0" collapsed="false">
      <c r="A12" s="5" t="s">
        <v>26</v>
      </c>
      <c r="B12" s="6" t="n">
        <v>0</v>
      </c>
      <c r="C12" s="6" t="n">
        <v>0</v>
      </c>
      <c r="D12" s="6" t="n">
        <v>0</v>
      </c>
      <c r="E12" s="6" t="n">
        <f aca="false">SUM(B12:D12)</f>
        <v>0</v>
      </c>
    </row>
    <row r="13" customFormat="false" ht="15" hidden="false" customHeight="true" outlineLevel="0" collapsed="false">
      <c r="A13" s="5" t="s">
        <v>27</v>
      </c>
      <c r="B13" s="6" t="n">
        <v>0</v>
      </c>
      <c r="C13" s="6" t="n">
        <v>0</v>
      </c>
      <c r="D13" s="6" t="n">
        <v>0</v>
      </c>
      <c r="E13" s="6" t="n">
        <f aca="false">SUM(B13:D13)</f>
        <v>0</v>
      </c>
    </row>
    <row r="14" customFormat="false" ht="15" hidden="false" customHeight="true" outlineLevel="0" collapsed="false">
      <c r="A14" s="7" t="s">
        <v>230</v>
      </c>
      <c r="B14" s="8" t="n">
        <f aca="false">SUM(B4:B13)</f>
        <v>44</v>
      </c>
      <c r="C14" s="8" t="n">
        <f aca="false">SUM(C4:C13)</f>
        <v>7</v>
      </c>
      <c r="D14" s="8" t="n">
        <f aca="false">SUM(D4:D13)</f>
        <v>5</v>
      </c>
      <c r="E14" s="8" t="n">
        <f aca="false">SUM(B14:D14)</f>
        <v>56</v>
      </c>
    </row>
    <row r="15" customFormat="false" ht="15" hidden="false" customHeight="true" outlineLevel="0" collapsed="false">
      <c r="A15" s="7" t="s">
        <v>28</v>
      </c>
      <c r="B15" s="8" t="n">
        <v>143</v>
      </c>
      <c r="C15" s="8" t="n">
        <v>20</v>
      </c>
      <c r="D15" s="8" t="n">
        <v>9</v>
      </c>
      <c r="E15" s="8" t="n">
        <f aca="false">SUM(B15:D15)</f>
        <v>172</v>
      </c>
    </row>
    <row r="16" customFormat="false" ht="15" hidden="false" customHeight="true" outlineLevel="0" collapsed="false">
      <c r="A16" s="7" t="s">
        <v>29</v>
      </c>
      <c r="B16" s="8" t="n">
        <v>43</v>
      </c>
      <c r="C16" s="8" t="n">
        <v>7</v>
      </c>
      <c r="D16" s="8" t="n">
        <v>5</v>
      </c>
      <c r="E16" s="8" t="n">
        <f aca="false">SUM(B16:D16)</f>
        <v>55</v>
      </c>
    </row>
    <row r="17" customFormat="false" ht="15" hidden="false" customHeight="true" outlineLevel="0" collapsed="false">
      <c r="A17" s="7" t="s">
        <v>30</v>
      </c>
      <c r="B17" s="9" t="n">
        <f aca="false">IFERROR(B16/B15,0)</f>
        <v>0.300699300699301</v>
      </c>
      <c r="C17" s="9" t="n">
        <f aca="false">IFERROR(C16/C15,0)</f>
        <v>0.35</v>
      </c>
      <c r="D17" s="9" t="n">
        <f aca="false">IFERROR(D16/D15,0)</f>
        <v>0.555555555555556</v>
      </c>
      <c r="E17" s="9" t="n">
        <f aca="false">IFERROR(E16/E15,0)</f>
        <v>0.319767441860465</v>
      </c>
    </row>
  </sheetData>
  <mergeCells count="1">
    <mergeCell ref="A1:F1"/>
  </mergeCells>
  <conditionalFormatting sqref="B4:D13">
    <cfRule type="colorScale" priority="2">
      <colorScale>
        <cfvo type="num" val="0"/>
        <cfvo type="num" val="5"/>
        <cfvo type="num" val="20"/>
        <color rgb="FFFFFFFF"/>
        <color rgb="FFFFEB84"/>
        <color rgb="FFF8696B"/>
      </colorScale>
    </cfRule>
  </conditionalFormatting>
  <conditionalFormatting sqref="B17:D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5859375" defaultRowHeight="14.25" zeroHeight="false" outlineLevelRow="0" outlineLevelCol="0"/>
  <cols>
    <col collapsed="false" customWidth="true" hidden="false" outlineLevel="0" max="1" min="1" style="0" width="45"/>
    <col collapsed="false" customWidth="true" hidden="false" outlineLevel="0" max="8" min="2" style="0" width="11"/>
  </cols>
  <sheetData>
    <row r="1" customFormat="false" ht="21" hidden="false" customHeight="true" outlineLevel="0" collapsed="false">
      <c r="A1" s="1" t="s">
        <v>232</v>
      </c>
      <c r="B1" s="1"/>
      <c r="C1" s="1"/>
      <c r="D1" s="1"/>
      <c r="E1" s="1"/>
      <c r="F1" s="1"/>
      <c r="G1" s="1"/>
      <c r="H1" s="1"/>
    </row>
    <row r="3" customFormat="false" ht="27.75" hidden="false" customHeight="true" outlineLevel="0" collapsed="false">
      <c r="A3" s="4" t="s">
        <v>3</v>
      </c>
      <c r="B3" s="4" t="s">
        <v>7</v>
      </c>
      <c r="C3" s="4" t="s">
        <v>9</v>
      </c>
      <c r="D3" s="4" t="s">
        <v>10</v>
      </c>
      <c r="E3" s="4" t="s">
        <v>13</v>
      </c>
      <c r="F3" s="4" t="s">
        <v>14</v>
      </c>
      <c r="G3" s="4" t="s">
        <v>15</v>
      </c>
      <c r="H3" s="4" t="s">
        <v>17</v>
      </c>
    </row>
    <row r="4" customFormat="false" ht="14.25" hidden="false" customHeight="true" outlineLevel="0" collapsed="false">
      <c r="A4" s="5" t="s">
        <v>18</v>
      </c>
      <c r="B4" s="6" t="n">
        <v>1</v>
      </c>
      <c r="C4" s="6" t="n">
        <v>4</v>
      </c>
      <c r="D4" s="6" t="n">
        <v>2</v>
      </c>
      <c r="E4" s="6" t="n">
        <v>22</v>
      </c>
      <c r="F4" s="6" t="n">
        <v>2</v>
      </c>
      <c r="G4" s="6" t="n">
        <v>187</v>
      </c>
      <c r="H4" s="6" t="n">
        <f aca="false">SUM(B4:G4)</f>
        <v>218</v>
      </c>
    </row>
    <row r="5" customFormat="false" ht="14.25" hidden="false" customHeight="true" outlineLevel="0" collapsed="false">
      <c r="A5" s="5" t="s">
        <v>19</v>
      </c>
      <c r="B5" s="6" t="n">
        <v>0</v>
      </c>
      <c r="C5" s="6" t="n">
        <v>0</v>
      </c>
      <c r="D5" s="6" t="n">
        <v>0</v>
      </c>
      <c r="E5" s="6" t="n">
        <v>0</v>
      </c>
      <c r="F5" s="6" t="n">
        <v>0</v>
      </c>
      <c r="G5" s="6" t="n">
        <v>0</v>
      </c>
      <c r="H5" s="6" t="n">
        <f aca="false">SUM(B5:G5)</f>
        <v>0</v>
      </c>
    </row>
    <row r="6" customFormat="false" ht="14.25" hidden="false" customHeight="true" outlineLevel="0" collapsed="false">
      <c r="A6" s="5" t="s">
        <v>20</v>
      </c>
      <c r="B6" s="6" t="n">
        <v>1</v>
      </c>
      <c r="C6" s="6" t="n">
        <v>0</v>
      </c>
      <c r="D6" s="6" t="n">
        <v>0</v>
      </c>
      <c r="E6" s="6" t="n">
        <v>0</v>
      </c>
      <c r="F6" s="6" t="n">
        <v>0</v>
      </c>
      <c r="G6" s="6" t="n">
        <v>0</v>
      </c>
      <c r="H6" s="6" t="n">
        <f aca="false">SUM(B6:G6)</f>
        <v>1</v>
      </c>
    </row>
    <row r="7" customFormat="false" ht="14.25" hidden="false" customHeight="true" outlineLevel="0" collapsed="false">
      <c r="A7" s="5" t="s">
        <v>21</v>
      </c>
      <c r="B7" s="6" t="n">
        <v>0</v>
      </c>
      <c r="C7" s="6" t="n">
        <v>0</v>
      </c>
      <c r="D7" s="6" t="n">
        <v>1</v>
      </c>
      <c r="E7" s="6" t="n">
        <v>4</v>
      </c>
      <c r="F7" s="6" t="n">
        <v>0</v>
      </c>
      <c r="G7" s="6" t="n">
        <v>0</v>
      </c>
      <c r="H7" s="6" t="n">
        <f aca="false">SUM(B7:G7)</f>
        <v>5</v>
      </c>
    </row>
    <row r="8" customFormat="false" ht="14.25" hidden="false" customHeight="true" outlineLevel="0" collapsed="false">
      <c r="A8" s="5" t="s">
        <v>22</v>
      </c>
      <c r="B8" s="6" t="n">
        <v>0</v>
      </c>
      <c r="C8" s="6" t="n">
        <v>0</v>
      </c>
      <c r="D8" s="6" t="n">
        <v>0</v>
      </c>
      <c r="E8" s="6" t="n">
        <v>0</v>
      </c>
      <c r="F8" s="6" t="n">
        <v>0</v>
      </c>
      <c r="G8" s="6" t="n">
        <v>0</v>
      </c>
      <c r="H8" s="6" t="n">
        <f aca="false">SUM(B8:G8)</f>
        <v>0</v>
      </c>
    </row>
    <row r="9" customFormat="false" ht="14.25" hidden="false" customHeight="true" outlineLevel="0" collapsed="false">
      <c r="A9" s="5" t="s">
        <v>23</v>
      </c>
      <c r="B9" s="6" t="n">
        <v>0</v>
      </c>
      <c r="C9" s="6" t="n">
        <v>2</v>
      </c>
      <c r="D9" s="6" t="n">
        <v>2</v>
      </c>
      <c r="E9" s="6" t="n">
        <v>3</v>
      </c>
      <c r="F9" s="6" t="n">
        <v>0</v>
      </c>
      <c r="G9" s="6" t="n">
        <v>2</v>
      </c>
      <c r="H9" s="6" t="n">
        <f aca="false">SUM(B9:G9)</f>
        <v>9</v>
      </c>
    </row>
    <row r="10" customFormat="false" ht="14.25" hidden="false" customHeight="true" outlineLevel="0" collapsed="false">
      <c r="A10" s="5" t="s">
        <v>24</v>
      </c>
      <c r="B10" s="6" t="n">
        <v>0</v>
      </c>
      <c r="C10" s="6" t="n">
        <v>0</v>
      </c>
      <c r="D10" s="6" t="n">
        <v>0</v>
      </c>
      <c r="E10" s="6" t="n">
        <v>0</v>
      </c>
      <c r="F10" s="6" t="n">
        <v>0</v>
      </c>
      <c r="G10" s="6" t="n">
        <v>0</v>
      </c>
      <c r="H10" s="6" t="n">
        <f aca="false">SUM(B10:G10)</f>
        <v>0</v>
      </c>
    </row>
    <row r="11" customFormat="false" ht="14.25" hidden="false" customHeight="true" outlineLevel="0" collapsed="false">
      <c r="A11" s="5" t="s">
        <v>25</v>
      </c>
      <c r="B11" s="6" t="n">
        <v>0</v>
      </c>
      <c r="C11" s="6" t="n">
        <v>0</v>
      </c>
      <c r="D11" s="6" t="n">
        <v>0</v>
      </c>
      <c r="E11" s="6" t="n">
        <v>0</v>
      </c>
      <c r="F11" s="6" t="n">
        <v>0</v>
      </c>
      <c r="G11" s="6" t="n">
        <v>0</v>
      </c>
      <c r="H11" s="6" t="n">
        <f aca="false">SUM(B11:G11)</f>
        <v>0</v>
      </c>
    </row>
    <row r="12" customFormat="false" ht="14.25" hidden="false" customHeight="true" outlineLevel="0" collapsed="false">
      <c r="A12" s="5" t="s">
        <v>26</v>
      </c>
      <c r="B12" s="6" t="n">
        <v>0</v>
      </c>
      <c r="C12" s="6" t="n">
        <v>0</v>
      </c>
      <c r="D12" s="6" t="n">
        <v>0</v>
      </c>
      <c r="E12" s="6" t="n">
        <v>0</v>
      </c>
      <c r="F12" s="6" t="n">
        <v>0</v>
      </c>
      <c r="G12" s="6" t="n">
        <v>0</v>
      </c>
      <c r="H12" s="6" t="n">
        <f aca="false">SUM(B12:G12)</f>
        <v>0</v>
      </c>
    </row>
    <row r="13" customFormat="false" ht="14.25" hidden="false" customHeight="true" outlineLevel="0" collapsed="false">
      <c r="A13" s="5" t="s">
        <v>27</v>
      </c>
      <c r="B13" s="6" t="n">
        <v>0</v>
      </c>
      <c r="C13" s="6" t="n">
        <v>0</v>
      </c>
      <c r="D13" s="6" t="n">
        <v>2</v>
      </c>
      <c r="E13" s="6" t="n">
        <v>10</v>
      </c>
      <c r="F13" s="6" t="n">
        <v>2</v>
      </c>
      <c r="G13" s="6" t="n">
        <v>6</v>
      </c>
      <c r="H13" s="6" t="n">
        <f aca="false">SUM(B13:G13)</f>
        <v>20</v>
      </c>
    </row>
    <row r="14" customFormat="false" ht="14.25" hidden="false" customHeight="true" outlineLevel="0" collapsed="false">
      <c r="A14" s="7" t="s">
        <v>230</v>
      </c>
      <c r="B14" s="8" t="n">
        <f aca="false">SUM(B4:B13)</f>
        <v>2</v>
      </c>
      <c r="C14" s="8" t="n">
        <f aca="false">SUM(C4:C13)</f>
        <v>6</v>
      </c>
      <c r="D14" s="8" t="n">
        <f aca="false">SUM(D4:D13)</f>
        <v>7</v>
      </c>
      <c r="E14" s="8" t="n">
        <f aca="false">SUM(E4:E13)</f>
        <v>39</v>
      </c>
      <c r="F14" s="8" t="n">
        <f aca="false">SUM(F4:F13)</f>
        <v>4</v>
      </c>
      <c r="G14" s="8" t="n">
        <f aca="false">SUM(G4:G13)</f>
        <v>195</v>
      </c>
      <c r="H14" s="8" t="n">
        <f aca="false">SUM(B14:G14)</f>
        <v>253</v>
      </c>
    </row>
    <row r="15" customFormat="false" ht="14.25" hidden="false" customHeight="true" outlineLevel="0" collapsed="false">
      <c r="A15" s="7" t="s">
        <v>28</v>
      </c>
      <c r="B15" s="8" t="n">
        <v>15</v>
      </c>
      <c r="C15" s="8" t="n">
        <v>22</v>
      </c>
      <c r="D15" s="8" t="n">
        <v>15</v>
      </c>
      <c r="E15" s="8" t="n">
        <v>118</v>
      </c>
      <c r="F15" s="8" t="n">
        <v>30</v>
      </c>
      <c r="G15" s="8" t="n">
        <v>220</v>
      </c>
      <c r="H15" s="8" t="n">
        <f aca="false">SUM(B15:G15)</f>
        <v>420</v>
      </c>
    </row>
    <row r="16" customFormat="false" ht="14.25" hidden="false" customHeight="true" outlineLevel="0" collapsed="false">
      <c r="A16" s="7" t="s">
        <v>29</v>
      </c>
      <c r="B16" s="8" t="n">
        <v>2</v>
      </c>
      <c r="C16" s="8" t="n">
        <v>6</v>
      </c>
      <c r="D16" s="8" t="n">
        <v>7</v>
      </c>
      <c r="E16" s="8" t="n">
        <v>39</v>
      </c>
      <c r="F16" s="8" t="n">
        <v>4</v>
      </c>
      <c r="G16" s="8" t="n">
        <v>195</v>
      </c>
      <c r="H16" s="8" t="n">
        <f aca="false">SUM(B16:G16)</f>
        <v>253</v>
      </c>
    </row>
    <row r="17" customFormat="false" ht="14.25" hidden="false" customHeight="true" outlineLevel="0" collapsed="false">
      <c r="A17" s="7" t="s">
        <v>30</v>
      </c>
      <c r="B17" s="9" t="n">
        <f aca="false">IFERROR(B16/B15,0)</f>
        <v>0.133333333333333</v>
      </c>
      <c r="C17" s="9" t="n">
        <f aca="false">IFERROR(C16/C15,0)</f>
        <v>0.272727272727273</v>
      </c>
      <c r="D17" s="9" t="n">
        <f aca="false">IFERROR(D16/D15,0)</f>
        <v>0.466666666666667</v>
      </c>
      <c r="E17" s="9" t="n">
        <f aca="false">IFERROR(E16/E15,0)</f>
        <v>0.330508474576271</v>
      </c>
      <c r="F17" s="9" t="n">
        <f aca="false">IFERROR(F16/F15,0)</f>
        <v>0.133333333333333</v>
      </c>
      <c r="G17" s="9" t="n">
        <f aca="false">IFERROR(G16/G15,0)</f>
        <v>0.886363636363636</v>
      </c>
      <c r="H17" s="9" t="n">
        <f aca="false">IFERROR(H16/H15,0)</f>
        <v>0.602380952380952</v>
      </c>
    </row>
  </sheetData>
  <mergeCells count="1">
    <mergeCell ref="A1:H1"/>
  </mergeCells>
  <conditionalFormatting sqref="B4:G13">
    <cfRule type="colorScale" priority="2">
      <colorScale>
        <cfvo type="num" val="0"/>
        <cfvo type="num" val="5"/>
        <cfvo type="num" val="20"/>
        <color rgb="FFFFFFFF"/>
        <color rgb="FFFFEB84"/>
        <color rgb="FFF8696B"/>
      </colorScale>
    </cfRule>
  </conditionalFormatting>
  <conditionalFormatting sqref="B17:G17">
    <cfRule type="colorScale" priority="3">
      <colorScale>
        <cfvo type="num" val="0"/>
        <cfvo type="num" val="0.2"/>
        <cfvo type="num" val="0.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5859375" defaultRowHeight="14.2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18"/>
  </cols>
  <sheetData>
    <row r="1" customFormat="false" ht="21" hidden="false" customHeight="true" outlineLevel="0" collapsed="false">
      <c r="A1" s="1" t="s">
        <v>233</v>
      </c>
      <c r="B1" s="1"/>
      <c r="C1" s="1"/>
      <c r="D1" s="1"/>
      <c r="E1" s="1"/>
    </row>
    <row r="3" customFormat="false" ht="14.25" hidden="false" customHeight="true" outlineLevel="0" collapsed="false">
      <c r="A3" s="23" t="s">
        <v>234</v>
      </c>
      <c r="B3" s="23" t="s">
        <v>53</v>
      </c>
      <c r="C3" s="23" t="s">
        <v>193</v>
      </c>
    </row>
    <row r="4" customFormat="false" ht="14.25" hidden="false" customHeight="true" outlineLevel="0" collapsed="false">
      <c r="A4" s="24" t="s">
        <v>235</v>
      </c>
      <c r="B4" s="6" t="n">
        <v>15</v>
      </c>
      <c r="C4" s="6" t="n">
        <v>6</v>
      </c>
    </row>
    <row r="5" customFormat="false" ht="14.25" hidden="false" customHeight="true" outlineLevel="0" collapsed="false">
      <c r="A5" s="24" t="s">
        <v>236</v>
      </c>
      <c r="B5" s="6" t="n">
        <v>26</v>
      </c>
      <c r="C5" s="6" t="n">
        <v>11</v>
      </c>
    </row>
    <row r="6" customFormat="false" ht="14.25" hidden="false" customHeight="true" outlineLevel="0" collapsed="false">
      <c r="A6" s="24" t="s">
        <v>237</v>
      </c>
      <c r="B6" s="6" t="n">
        <v>2481</v>
      </c>
      <c r="C6" s="6" t="n">
        <v>420</v>
      </c>
    </row>
    <row r="7" customFormat="false" ht="14.25" hidden="false" customHeight="true" outlineLevel="0" collapsed="false">
      <c r="A7" s="24" t="s">
        <v>238</v>
      </c>
      <c r="B7" s="6" t="n">
        <v>2119</v>
      </c>
      <c r="C7" s="6" t="n">
        <v>167</v>
      </c>
    </row>
    <row r="8" customFormat="false" ht="14.25" hidden="false" customHeight="true" outlineLevel="0" collapsed="false">
      <c r="A8" s="24" t="s">
        <v>239</v>
      </c>
      <c r="B8" s="6" t="n">
        <v>362</v>
      </c>
      <c r="C8" s="6" t="n">
        <v>253</v>
      </c>
    </row>
    <row r="9" customFormat="false" ht="14.25" hidden="false" customHeight="true" outlineLevel="0" collapsed="false">
      <c r="A9" s="24" t="s">
        <v>240</v>
      </c>
      <c r="B9" s="15" t="n">
        <f aca="false">IFERROR(B8/B6,0)</f>
        <v>0.145908907698509</v>
      </c>
      <c r="C9" s="15" t="n">
        <f aca="false">IFERROR(C8/C6,0)</f>
        <v>0.602380952380952</v>
      </c>
    </row>
    <row r="11" customFormat="false" ht="15" hidden="false" customHeight="true" outlineLevel="0" collapsed="false">
      <c r="A11" s="25" t="s">
        <v>241</v>
      </c>
      <c r="B11" s="25"/>
      <c r="C11" s="25"/>
      <c r="D11" s="25"/>
      <c r="E11" s="25"/>
    </row>
    <row r="12" customFormat="false" ht="14.25" hidden="false" customHeight="true" outlineLevel="0" collapsed="false">
      <c r="A12" s="11" t="s">
        <v>3</v>
      </c>
      <c r="B12" s="11" t="s">
        <v>34</v>
      </c>
      <c r="C12" s="11" t="s">
        <v>242</v>
      </c>
      <c r="D12" s="11" t="s">
        <v>35</v>
      </c>
      <c r="E12" s="11" t="s">
        <v>243</v>
      </c>
    </row>
    <row r="13" customFormat="false" ht="14.25" hidden="false" customHeight="true" outlineLevel="0" collapsed="false">
      <c r="A13" s="12" t="s">
        <v>24</v>
      </c>
      <c r="B13" s="6" t="n">
        <v>20</v>
      </c>
      <c r="C13" s="13" t="n">
        <f aca="false">IFERROR(B13/$B$8,0)</f>
        <v>0.0552486187845304</v>
      </c>
      <c r="D13" s="6" t="n">
        <v>0</v>
      </c>
      <c r="E13" s="13" t="n">
        <f aca="false">IFERROR(D13/$C$8,0)</f>
        <v>0</v>
      </c>
    </row>
    <row r="14" customFormat="false" ht="14.25" hidden="false" customHeight="true" outlineLevel="0" collapsed="false">
      <c r="A14" s="12" t="s">
        <v>21</v>
      </c>
      <c r="B14" s="6" t="n">
        <v>1</v>
      </c>
      <c r="C14" s="13" t="n">
        <f aca="false">IFERROR(B14/$B$8,0)</f>
        <v>0.00276243093922652</v>
      </c>
      <c r="D14" s="6" t="n">
        <v>5</v>
      </c>
      <c r="E14" s="13" t="n">
        <f aca="false">IFERROR(D14/$C$8,0)</f>
        <v>0.0197628458498024</v>
      </c>
    </row>
    <row r="15" customFormat="false" ht="14.25" hidden="false" customHeight="true" outlineLevel="0" collapsed="false">
      <c r="A15" s="12" t="s">
        <v>22</v>
      </c>
      <c r="B15" s="6" t="n">
        <v>42</v>
      </c>
      <c r="C15" s="13" t="n">
        <f aca="false">IFERROR(B15/$B$8,0)</f>
        <v>0.116022099447514</v>
      </c>
      <c r="D15" s="6" t="n">
        <v>0</v>
      </c>
      <c r="E15" s="13" t="n">
        <f aca="false">IFERROR(D15/$C$8,0)</f>
        <v>0</v>
      </c>
    </row>
    <row r="16" customFormat="false" ht="14.25" hidden="false" customHeight="true" outlineLevel="0" collapsed="false">
      <c r="A16" s="12" t="s">
        <v>20</v>
      </c>
      <c r="B16" s="6" t="n">
        <v>60</v>
      </c>
      <c r="C16" s="13" t="n">
        <f aca="false">IFERROR(B16/$B$8,0)</f>
        <v>0.165745856353591</v>
      </c>
      <c r="D16" s="6" t="n">
        <v>1</v>
      </c>
      <c r="E16" s="13" t="n">
        <f aca="false">IFERROR(D16/$C$8,0)</f>
        <v>0.00395256916996047</v>
      </c>
    </row>
    <row r="17" customFormat="false" ht="14.25" hidden="false" customHeight="true" outlineLevel="0" collapsed="false">
      <c r="A17" s="12" t="s">
        <v>18</v>
      </c>
      <c r="B17" s="6" t="n">
        <v>170</v>
      </c>
      <c r="C17" s="13" t="n">
        <f aca="false">IFERROR(B17/$B$8,0)</f>
        <v>0.469613259668508</v>
      </c>
      <c r="D17" s="6" t="n">
        <v>218</v>
      </c>
      <c r="E17" s="13" t="n">
        <f aca="false">IFERROR(D17/$C$8,0)</f>
        <v>0.861660079051383</v>
      </c>
    </row>
    <row r="18" customFormat="false" ht="14.25" hidden="false" customHeight="true" outlineLevel="0" collapsed="false">
      <c r="A18" s="12" t="s">
        <v>25</v>
      </c>
      <c r="B18" s="6" t="n">
        <v>3</v>
      </c>
      <c r="C18" s="13" t="n">
        <f aca="false">IFERROR(B18/$B$8,0)</f>
        <v>0.00828729281767956</v>
      </c>
      <c r="D18" s="6" t="n">
        <v>0</v>
      </c>
      <c r="E18" s="13" t="n">
        <f aca="false">IFERROR(D18/$C$8,0)</f>
        <v>0</v>
      </c>
    </row>
    <row r="19" customFormat="false" ht="14.25" hidden="false" customHeight="true" outlineLevel="0" collapsed="false">
      <c r="A19" s="12" t="s">
        <v>27</v>
      </c>
      <c r="B19" s="6" t="n">
        <v>0</v>
      </c>
      <c r="C19" s="13" t="n">
        <f aca="false">IFERROR(B19/$B$8,0)</f>
        <v>0</v>
      </c>
      <c r="D19" s="6" t="n">
        <v>20</v>
      </c>
      <c r="E19" s="13" t="n">
        <f aca="false">IFERROR(D19/$C$8,0)</f>
        <v>0.0790513833992095</v>
      </c>
    </row>
    <row r="20" customFormat="false" ht="14.25" hidden="false" customHeight="true" outlineLevel="0" collapsed="false">
      <c r="A20" s="12" t="s">
        <v>26</v>
      </c>
      <c r="B20" s="6" t="n">
        <v>5</v>
      </c>
      <c r="C20" s="13" t="n">
        <f aca="false">IFERROR(B20/$B$8,0)</f>
        <v>0.0138121546961326</v>
      </c>
      <c r="D20" s="6" t="n">
        <v>0</v>
      </c>
      <c r="E20" s="13" t="n">
        <f aca="false">IFERROR(D20/$C$8,0)</f>
        <v>0</v>
      </c>
    </row>
    <row r="21" customFormat="false" ht="14.25" hidden="false" customHeight="true" outlineLevel="0" collapsed="false">
      <c r="A21" s="12" t="s">
        <v>23</v>
      </c>
      <c r="B21" s="6" t="n">
        <v>62</v>
      </c>
      <c r="C21" s="13" t="n">
        <f aca="false">IFERROR(B21/$B$8,0)</f>
        <v>0.171270718232044</v>
      </c>
      <c r="D21" s="6" t="n">
        <v>9</v>
      </c>
      <c r="E21" s="13" t="n">
        <f aca="false">IFERROR(D21/$C$8,0)</f>
        <v>0.0355731225296443</v>
      </c>
    </row>
    <row r="22" customFormat="false" ht="30" hidden="false" customHeight="true" outlineLevel="0" collapsed="false">
      <c r="A22" s="2" t="s">
        <v>244</v>
      </c>
      <c r="B22" s="2"/>
      <c r="C22" s="2"/>
      <c r="D22" s="2"/>
      <c r="E22" s="2"/>
    </row>
  </sheetData>
  <mergeCells count="3">
    <mergeCell ref="A1:E1"/>
    <mergeCell ref="A11:E1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6640625" defaultRowHeight="14.25" zeroHeight="false" outlineLevelRow="0" outlineLevelCol="0"/>
  <cols>
    <col collapsed="false" customWidth="true" hidden="false" outlineLevel="0" max="1" min="1" style="22" width="38"/>
    <col collapsed="false" customWidth="true" hidden="false" outlineLevel="0" max="2" min="2" style="22" width="4"/>
    <col collapsed="false" customWidth="true" hidden="false" outlineLevel="0" max="3" min="3" style="22" width="60"/>
    <col collapsed="false" customWidth="true" hidden="false" outlineLevel="0" max="4" min="4" style="22" width="4"/>
    <col collapsed="false" customWidth="true" hidden="false" outlineLevel="0" max="5" min="5" style="22" width="50"/>
    <col collapsed="false" customWidth="false" hidden="false" outlineLevel="0" max="16384" min="6" style="22" width="8.67"/>
  </cols>
  <sheetData>
    <row r="1" customFormat="false" ht="19.5" hidden="false" customHeight="true" outlineLevel="0" collapsed="false">
      <c r="A1" s="1" t="s">
        <v>245</v>
      </c>
      <c r="B1" s="1"/>
      <c r="C1" s="1"/>
      <c r="D1" s="1"/>
      <c r="E1" s="1"/>
      <c r="F1" s="1"/>
    </row>
    <row r="2" customFormat="false" ht="34.5" hidden="false" customHeight="true" outlineLevel="0" collapsed="false">
      <c r="A2" s="26" t="s">
        <v>246</v>
      </c>
      <c r="B2" s="26"/>
      <c r="C2" s="26"/>
      <c r="D2" s="26"/>
      <c r="E2" s="26"/>
      <c r="F2" s="26"/>
    </row>
    <row r="4" customFormat="false" ht="24" hidden="false" customHeight="true" outlineLevel="0" collapsed="false">
      <c r="A4" s="3" t="s">
        <v>247</v>
      </c>
      <c r="B4" s="3"/>
      <c r="C4" s="3"/>
      <c r="D4" s="3"/>
      <c r="E4" s="3"/>
    </row>
    <row r="5" customFormat="false" ht="15" hidden="false" customHeight="true" outlineLevel="0" collapsed="false">
      <c r="A5" s="17" t="s">
        <v>248</v>
      </c>
      <c r="C5" s="17" t="s">
        <v>249</v>
      </c>
      <c r="E5" s="17" t="s">
        <v>250</v>
      </c>
    </row>
    <row r="6" customFormat="false" ht="18" hidden="false" customHeight="true" outlineLevel="0" collapsed="false">
      <c r="C6" s="27" t="s">
        <v>24</v>
      </c>
      <c r="E6" s="28" t="s">
        <v>251</v>
      </c>
    </row>
    <row r="7" customFormat="false" ht="18" hidden="false" customHeight="true" outlineLevel="0" collapsed="false">
      <c r="C7" s="27"/>
      <c r="E7" s="28"/>
    </row>
    <row r="8" customFormat="false" ht="18" hidden="false" customHeight="true" outlineLevel="0" collapsed="false">
      <c r="C8" s="27"/>
      <c r="E8" s="28"/>
    </row>
    <row r="9" customFormat="false" ht="18" hidden="false" customHeight="true" outlineLevel="0" collapsed="false">
      <c r="C9" s="27"/>
      <c r="E9" s="28"/>
    </row>
    <row r="10" customFormat="false" ht="18" hidden="false" customHeight="true" outlineLevel="0" collapsed="false">
      <c r="C10" s="27"/>
      <c r="E10" s="28"/>
    </row>
    <row r="11" customFormat="false" ht="18" hidden="false" customHeight="true" outlineLevel="0" collapsed="false">
      <c r="C11" s="27"/>
      <c r="E11" s="28"/>
    </row>
    <row r="12" customFormat="false" ht="18" hidden="false" customHeight="true" outlineLevel="0" collapsed="false">
      <c r="C12" s="27"/>
      <c r="E12" s="28"/>
    </row>
    <row r="13" customFormat="false" ht="18" hidden="false" customHeight="true" outlineLevel="0" collapsed="false">
      <c r="C13" s="27"/>
      <c r="E13" s="28"/>
    </row>
    <row r="14" customFormat="false" ht="18" hidden="false" customHeight="true" outlineLevel="0" collapsed="false">
      <c r="C14" s="27"/>
      <c r="E14" s="28"/>
    </row>
    <row r="15" customFormat="false" ht="18" hidden="false" customHeight="true" outlineLevel="0" collapsed="false">
      <c r="C15" s="27"/>
      <c r="E15" s="28"/>
    </row>
    <row r="16" customFormat="false" ht="18" hidden="false" customHeight="true" outlineLevel="0" collapsed="false">
      <c r="C16" s="27"/>
      <c r="E16" s="28"/>
    </row>
    <row r="17" customFormat="false" ht="18" hidden="false" customHeight="true" outlineLevel="0" collapsed="false">
      <c r="C17" s="27"/>
      <c r="E17" s="28"/>
    </row>
    <row r="18" customFormat="false" ht="18" hidden="false" customHeight="true" outlineLevel="0" collapsed="false">
      <c r="C18" s="27"/>
      <c r="E18" s="28"/>
    </row>
    <row r="19" customFormat="false" ht="18" hidden="false" customHeight="true" outlineLevel="0" collapsed="false">
      <c r="C19" s="27"/>
      <c r="E19" s="28"/>
    </row>
    <row r="20" customFormat="false" ht="18" hidden="false" customHeight="true" outlineLevel="0" collapsed="false">
      <c r="C20" s="27"/>
      <c r="E20" s="28"/>
    </row>
    <row r="21" customFormat="false" ht="18" hidden="false" customHeight="true" outlineLevel="0" collapsed="false">
      <c r="C21" s="27"/>
      <c r="E21" s="28"/>
    </row>
    <row r="22" customFormat="false" ht="18" hidden="false" customHeight="true" outlineLevel="0" collapsed="false">
      <c r="C22" s="27"/>
      <c r="E22" s="28"/>
    </row>
    <row r="23" customFormat="false" ht="18" hidden="false" customHeight="true" outlineLevel="0" collapsed="false">
      <c r="C23" s="27"/>
      <c r="E23" s="28"/>
    </row>
    <row r="26" customFormat="false" ht="24" hidden="false" customHeight="true" outlineLevel="0" collapsed="false">
      <c r="A26" s="3" t="s">
        <v>252</v>
      </c>
      <c r="B26" s="3"/>
      <c r="C26" s="3"/>
      <c r="D26" s="3"/>
      <c r="E26" s="3"/>
    </row>
    <row r="27" customFormat="false" ht="15" hidden="false" customHeight="true" outlineLevel="0" collapsed="false">
      <c r="A27" s="17" t="s">
        <v>248</v>
      </c>
      <c r="C27" s="17" t="s">
        <v>249</v>
      </c>
      <c r="E27" s="17" t="s">
        <v>250</v>
      </c>
    </row>
    <row r="28" customFormat="false" ht="18" hidden="false" customHeight="true" outlineLevel="0" collapsed="false">
      <c r="C28" s="27" t="s">
        <v>253</v>
      </c>
      <c r="E28" s="28" t="s">
        <v>254</v>
      </c>
    </row>
    <row r="29" customFormat="false" ht="18" hidden="false" customHeight="true" outlineLevel="0" collapsed="false">
      <c r="C29" s="27"/>
      <c r="E29" s="28"/>
    </row>
    <row r="30" customFormat="false" ht="18" hidden="false" customHeight="true" outlineLevel="0" collapsed="false">
      <c r="C30" s="27"/>
      <c r="E30" s="28"/>
    </row>
    <row r="31" customFormat="false" ht="18" hidden="false" customHeight="true" outlineLevel="0" collapsed="false">
      <c r="C31" s="27"/>
      <c r="E31" s="28"/>
    </row>
    <row r="32" customFormat="false" ht="18" hidden="false" customHeight="true" outlineLevel="0" collapsed="false">
      <c r="C32" s="27"/>
      <c r="E32" s="28"/>
    </row>
    <row r="33" customFormat="false" ht="18" hidden="false" customHeight="true" outlineLevel="0" collapsed="false">
      <c r="C33" s="27"/>
      <c r="E33" s="28"/>
    </row>
    <row r="34" customFormat="false" ht="18" hidden="false" customHeight="true" outlineLevel="0" collapsed="false">
      <c r="C34" s="27"/>
      <c r="E34" s="28"/>
    </row>
    <row r="35" customFormat="false" ht="18" hidden="false" customHeight="true" outlineLevel="0" collapsed="false">
      <c r="C35" s="27"/>
      <c r="E35" s="28"/>
    </row>
    <row r="36" customFormat="false" ht="18" hidden="false" customHeight="true" outlineLevel="0" collapsed="false">
      <c r="C36" s="27"/>
      <c r="E36" s="28"/>
    </row>
    <row r="37" customFormat="false" ht="18" hidden="false" customHeight="true" outlineLevel="0" collapsed="false">
      <c r="C37" s="27"/>
      <c r="E37" s="28"/>
    </row>
    <row r="38" customFormat="false" ht="18" hidden="false" customHeight="true" outlineLevel="0" collapsed="false">
      <c r="C38" s="27"/>
      <c r="E38" s="28"/>
    </row>
    <row r="39" customFormat="false" ht="18" hidden="false" customHeight="true" outlineLevel="0" collapsed="false">
      <c r="C39" s="27"/>
      <c r="E39" s="28"/>
    </row>
    <row r="40" customFormat="false" ht="18" hidden="false" customHeight="true" outlineLevel="0" collapsed="false">
      <c r="C40" s="27"/>
      <c r="E40" s="28"/>
    </row>
    <row r="41" customFormat="false" ht="18" hidden="false" customHeight="true" outlineLevel="0" collapsed="false">
      <c r="C41" s="27"/>
      <c r="E41" s="28"/>
    </row>
    <row r="42" customFormat="false" ht="18" hidden="false" customHeight="true" outlineLevel="0" collapsed="false">
      <c r="C42" s="27"/>
      <c r="E42" s="28"/>
    </row>
    <row r="43" customFormat="false" ht="18" hidden="false" customHeight="true" outlineLevel="0" collapsed="false">
      <c r="C43" s="27"/>
      <c r="E43" s="28"/>
    </row>
    <row r="44" customFormat="false" ht="18" hidden="false" customHeight="true" outlineLevel="0" collapsed="false">
      <c r="C44" s="27"/>
      <c r="E44" s="28"/>
    </row>
    <row r="45" customFormat="false" ht="18" hidden="false" customHeight="true" outlineLevel="0" collapsed="false">
      <c r="C45" s="27"/>
      <c r="E45" s="28"/>
    </row>
    <row r="48" customFormat="false" ht="24" hidden="false" customHeight="true" outlineLevel="0" collapsed="false">
      <c r="A48" s="3" t="s">
        <v>255</v>
      </c>
      <c r="B48" s="3"/>
      <c r="C48" s="3"/>
      <c r="D48" s="3"/>
      <c r="E48" s="3"/>
    </row>
    <row r="49" customFormat="false" ht="15" hidden="false" customHeight="true" outlineLevel="0" collapsed="false">
      <c r="A49" s="17" t="s">
        <v>248</v>
      </c>
      <c r="C49" s="17" t="s">
        <v>249</v>
      </c>
      <c r="E49" s="17" t="s">
        <v>250</v>
      </c>
    </row>
    <row r="50" customFormat="false" ht="18" hidden="false" customHeight="true" outlineLevel="0" collapsed="false">
      <c r="C50" s="27" t="s">
        <v>256</v>
      </c>
      <c r="E50" s="28" t="s">
        <v>257</v>
      </c>
    </row>
    <row r="51" customFormat="false" ht="18" hidden="false" customHeight="true" outlineLevel="0" collapsed="false">
      <c r="C51" s="27"/>
      <c r="E51" s="28"/>
    </row>
    <row r="52" customFormat="false" ht="18" hidden="false" customHeight="true" outlineLevel="0" collapsed="false">
      <c r="C52" s="27"/>
      <c r="E52" s="28"/>
    </row>
    <row r="53" customFormat="false" ht="18" hidden="false" customHeight="true" outlineLevel="0" collapsed="false">
      <c r="C53" s="27"/>
      <c r="E53" s="28"/>
    </row>
    <row r="54" customFormat="false" ht="18" hidden="false" customHeight="true" outlineLevel="0" collapsed="false">
      <c r="C54" s="27"/>
      <c r="E54" s="28"/>
    </row>
    <row r="55" customFormat="false" ht="18" hidden="false" customHeight="true" outlineLevel="0" collapsed="false">
      <c r="C55" s="27"/>
      <c r="E55" s="28"/>
    </row>
    <row r="56" customFormat="false" ht="18" hidden="false" customHeight="true" outlineLevel="0" collapsed="false">
      <c r="C56" s="27"/>
      <c r="E56" s="28"/>
    </row>
    <row r="57" customFormat="false" ht="18" hidden="false" customHeight="true" outlineLevel="0" collapsed="false">
      <c r="C57" s="27"/>
      <c r="E57" s="28"/>
    </row>
    <row r="58" customFormat="false" ht="18" hidden="false" customHeight="true" outlineLevel="0" collapsed="false">
      <c r="C58" s="27"/>
      <c r="E58" s="28"/>
    </row>
    <row r="59" customFormat="false" ht="18" hidden="false" customHeight="true" outlineLevel="0" collapsed="false">
      <c r="C59" s="27"/>
      <c r="E59" s="28"/>
    </row>
    <row r="60" customFormat="false" ht="18" hidden="false" customHeight="true" outlineLevel="0" collapsed="false">
      <c r="C60" s="27"/>
      <c r="E60" s="28"/>
    </row>
    <row r="61" customFormat="false" ht="18" hidden="false" customHeight="true" outlineLevel="0" collapsed="false">
      <c r="C61" s="27"/>
      <c r="E61" s="28"/>
    </row>
    <row r="62" customFormat="false" ht="18" hidden="false" customHeight="true" outlineLevel="0" collapsed="false">
      <c r="C62" s="27"/>
      <c r="E62" s="28"/>
    </row>
    <row r="63" customFormat="false" ht="18" hidden="false" customHeight="true" outlineLevel="0" collapsed="false">
      <c r="C63" s="27"/>
      <c r="E63" s="28"/>
    </row>
    <row r="64" customFormat="false" ht="18" hidden="false" customHeight="true" outlineLevel="0" collapsed="false">
      <c r="C64" s="27"/>
      <c r="E64" s="28"/>
    </row>
    <row r="65" customFormat="false" ht="18" hidden="false" customHeight="true" outlineLevel="0" collapsed="false">
      <c r="C65" s="27"/>
      <c r="E65" s="28"/>
    </row>
    <row r="66" customFormat="false" ht="18" hidden="false" customHeight="true" outlineLevel="0" collapsed="false">
      <c r="C66" s="27"/>
      <c r="E66" s="28"/>
    </row>
    <row r="67" customFormat="false" ht="18" hidden="false" customHeight="true" outlineLevel="0" collapsed="false">
      <c r="C67" s="27"/>
      <c r="E67" s="28"/>
    </row>
    <row r="70" customFormat="false" ht="24" hidden="false" customHeight="true" outlineLevel="0" collapsed="false">
      <c r="A70" s="3" t="s">
        <v>258</v>
      </c>
      <c r="B70" s="3"/>
      <c r="C70" s="3"/>
      <c r="D70" s="3"/>
      <c r="E70" s="3"/>
    </row>
    <row r="71" customFormat="false" ht="15" hidden="false" customHeight="true" outlineLevel="0" collapsed="false">
      <c r="A71" s="17" t="s">
        <v>248</v>
      </c>
      <c r="C71" s="17" t="s">
        <v>249</v>
      </c>
      <c r="E71" s="17" t="s">
        <v>250</v>
      </c>
    </row>
    <row r="72" customFormat="false" ht="18" hidden="false" customHeight="true" outlineLevel="0" collapsed="false">
      <c r="C72" s="27" t="s">
        <v>18</v>
      </c>
      <c r="E72" s="28" t="s">
        <v>259</v>
      </c>
    </row>
    <row r="73" customFormat="false" ht="18" hidden="false" customHeight="true" outlineLevel="0" collapsed="false">
      <c r="C73" s="27"/>
      <c r="E73" s="28"/>
    </row>
    <row r="74" customFormat="false" ht="18" hidden="false" customHeight="true" outlineLevel="0" collapsed="false">
      <c r="C74" s="27"/>
      <c r="E74" s="28"/>
    </row>
    <row r="75" customFormat="false" ht="18" hidden="false" customHeight="true" outlineLevel="0" collapsed="false">
      <c r="C75" s="27"/>
      <c r="E75" s="28"/>
    </row>
    <row r="76" customFormat="false" ht="18" hidden="false" customHeight="true" outlineLevel="0" collapsed="false">
      <c r="C76" s="27"/>
      <c r="E76" s="28"/>
    </row>
    <row r="77" customFormat="false" ht="18" hidden="false" customHeight="true" outlineLevel="0" collapsed="false">
      <c r="C77" s="27"/>
      <c r="E77" s="28"/>
    </row>
    <row r="78" customFormat="false" ht="18" hidden="false" customHeight="true" outlineLevel="0" collapsed="false">
      <c r="C78" s="27"/>
      <c r="E78" s="28"/>
    </row>
    <row r="79" customFormat="false" ht="18" hidden="false" customHeight="true" outlineLevel="0" collapsed="false">
      <c r="C79" s="27"/>
      <c r="E79" s="28"/>
    </row>
    <row r="80" customFormat="false" ht="18" hidden="false" customHeight="true" outlineLevel="0" collapsed="false">
      <c r="C80" s="27"/>
      <c r="E80" s="28"/>
    </row>
    <row r="81" customFormat="false" ht="18" hidden="false" customHeight="true" outlineLevel="0" collapsed="false">
      <c r="C81" s="27"/>
      <c r="E81" s="28"/>
    </row>
    <row r="82" customFormat="false" ht="18" hidden="false" customHeight="true" outlineLevel="0" collapsed="false">
      <c r="C82" s="27"/>
      <c r="E82" s="28"/>
    </row>
    <row r="83" customFormat="false" ht="18" hidden="false" customHeight="true" outlineLevel="0" collapsed="false">
      <c r="C83" s="27"/>
      <c r="E83" s="28"/>
    </row>
    <row r="84" customFormat="false" ht="18" hidden="false" customHeight="true" outlineLevel="0" collapsed="false">
      <c r="C84" s="27"/>
      <c r="E84" s="28"/>
    </row>
    <row r="85" customFormat="false" ht="18" hidden="false" customHeight="true" outlineLevel="0" collapsed="false">
      <c r="C85" s="27"/>
      <c r="E85" s="28"/>
    </row>
    <row r="86" customFormat="false" ht="18" hidden="false" customHeight="true" outlineLevel="0" collapsed="false">
      <c r="C86" s="27"/>
      <c r="E86" s="28"/>
    </row>
    <row r="87" customFormat="false" ht="18" hidden="false" customHeight="true" outlineLevel="0" collapsed="false">
      <c r="C87" s="27"/>
      <c r="E87" s="28"/>
    </row>
    <row r="88" customFormat="false" ht="18" hidden="false" customHeight="true" outlineLevel="0" collapsed="false">
      <c r="C88" s="27"/>
      <c r="E88" s="28"/>
    </row>
    <row r="89" customFormat="false" ht="18" hidden="false" customHeight="true" outlineLevel="0" collapsed="false">
      <c r="C89" s="27"/>
      <c r="E89" s="28"/>
    </row>
    <row r="92" customFormat="false" ht="24" hidden="false" customHeight="true" outlineLevel="0" collapsed="false">
      <c r="A92" s="3" t="s">
        <v>260</v>
      </c>
      <c r="B92" s="3"/>
      <c r="C92" s="3"/>
      <c r="D92" s="3"/>
      <c r="E92" s="3"/>
    </row>
    <row r="93" customFormat="false" ht="15" hidden="false" customHeight="true" outlineLevel="0" collapsed="false">
      <c r="A93" s="17" t="s">
        <v>248</v>
      </c>
      <c r="C93" s="17" t="s">
        <v>249</v>
      </c>
      <c r="E93" s="17" t="s">
        <v>250</v>
      </c>
    </row>
    <row r="94" customFormat="false" ht="18" hidden="false" customHeight="true" outlineLevel="0" collapsed="false">
      <c r="C94" s="27" t="s">
        <v>18</v>
      </c>
      <c r="E94" s="28" t="s">
        <v>261</v>
      </c>
    </row>
    <row r="95" customFormat="false" ht="18" hidden="false" customHeight="true" outlineLevel="0" collapsed="false">
      <c r="C95" s="27"/>
      <c r="E95" s="28"/>
    </row>
    <row r="96" customFormat="false" ht="18" hidden="false" customHeight="true" outlineLevel="0" collapsed="false">
      <c r="C96" s="27"/>
      <c r="E96" s="28"/>
    </row>
    <row r="97" customFormat="false" ht="18" hidden="false" customHeight="true" outlineLevel="0" collapsed="false">
      <c r="C97" s="27"/>
      <c r="E97" s="28"/>
    </row>
    <row r="98" customFormat="false" ht="18" hidden="false" customHeight="true" outlineLevel="0" collapsed="false">
      <c r="C98" s="27"/>
      <c r="E98" s="28"/>
    </row>
    <row r="99" customFormat="false" ht="18" hidden="false" customHeight="true" outlineLevel="0" collapsed="false">
      <c r="C99" s="27"/>
      <c r="E99" s="28"/>
    </row>
    <row r="100" customFormat="false" ht="18" hidden="false" customHeight="true" outlineLevel="0" collapsed="false">
      <c r="C100" s="27"/>
      <c r="E100" s="28"/>
    </row>
    <row r="101" customFormat="false" ht="18" hidden="false" customHeight="true" outlineLevel="0" collapsed="false">
      <c r="C101" s="27"/>
      <c r="E101" s="28"/>
    </row>
    <row r="102" customFormat="false" ht="18" hidden="false" customHeight="true" outlineLevel="0" collapsed="false">
      <c r="C102" s="27"/>
      <c r="E102" s="28"/>
    </row>
    <row r="103" customFormat="false" ht="18" hidden="false" customHeight="true" outlineLevel="0" collapsed="false">
      <c r="C103" s="27"/>
      <c r="E103" s="28"/>
    </row>
    <row r="104" customFormat="false" ht="18" hidden="false" customHeight="true" outlineLevel="0" collapsed="false">
      <c r="C104" s="27"/>
      <c r="E104" s="28"/>
    </row>
    <row r="105" customFormat="false" ht="18" hidden="false" customHeight="true" outlineLevel="0" collapsed="false">
      <c r="C105" s="27"/>
      <c r="E105" s="28"/>
    </row>
    <row r="106" customFormat="false" ht="18" hidden="false" customHeight="true" outlineLevel="0" collapsed="false">
      <c r="C106" s="27"/>
      <c r="E106" s="28"/>
    </row>
    <row r="107" customFormat="false" ht="18" hidden="false" customHeight="true" outlineLevel="0" collapsed="false">
      <c r="C107" s="27"/>
      <c r="E107" s="28"/>
    </row>
    <row r="108" customFormat="false" ht="18" hidden="false" customHeight="true" outlineLevel="0" collapsed="false">
      <c r="C108" s="27"/>
      <c r="E108" s="28"/>
    </row>
    <row r="109" customFormat="false" ht="18" hidden="false" customHeight="true" outlineLevel="0" collapsed="false">
      <c r="C109" s="27"/>
      <c r="E109" s="28"/>
    </row>
    <row r="110" customFormat="false" ht="18" hidden="false" customHeight="true" outlineLevel="0" collapsed="false">
      <c r="C110" s="27"/>
      <c r="E110" s="28"/>
    </row>
    <row r="111" customFormat="false" ht="18" hidden="false" customHeight="true" outlineLevel="0" collapsed="false">
      <c r="C111" s="27"/>
      <c r="E111" s="28"/>
    </row>
    <row r="114" customFormat="false" ht="24" hidden="false" customHeight="true" outlineLevel="0" collapsed="false">
      <c r="A114" s="3" t="s">
        <v>262</v>
      </c>
      <c r="B114" s="3"/>
      <c r="C114" s="3"/>
      <c r="D114" s="3"/>
      <c r="E114" s="3"/>
    </row>
    <row r="115" customFormat="false" ht="15" hidden="false" customHeight="true" outlineLevel="0" collapsed="false">
      <c r="A115" s="17" t="s">
        <v>248</v>
      </c>
      <c r="C115" s="17" t="s">
        <v>249</v>
      </c>
      <c r="E115" s="17" t="s">
        <v>250</v>
      </c>
    </row>
    <row r="116" customFormat="false" ht="18" hidden="false" customHeight="true" outlineLevel="0" collapsed="false">
      <c r="C116" s="27" t="s">
        <v>18</v>
      </c>
      <c r="E116" s="28" t="s">
        <v>263</v>
      </c>
    </row>
    <row r="117" customFormat="false" ht="18" hidden="false" customHeight="true" outlineLevel="0" collapsed="false">
      <c r="C117" s="27"/>
      <c r="E117" s="28"/>
    </row>
    <row r="118" customFormat="false" ht="18" hidden="false" customHeight="true" outlineLevel="0" collapsed="false">
      <c r="C118" s="27"/>
      <c r="E118" s="28"/>
    </row>
    <row r="119" customFormat="false" ht="18" hidden="false" customHeight="true" outlineLevel="0" collapsed="false">
      <c r="C119" s="27"/>
      <c r="E119" s="28"/>
    </row>
    <row r="120" customFormat="false" ht="18" hidden="false" customHeight="true" outlineLevel="0" collapsed="false">
      <c r="C120" s="27"/>
      <c r="E120" s="28"/>
    </row>
    <row r="121" customFormat="false" ht="18" hidden="false" customHeight="true" outlineLevel="0" collapsed="false">
      <c r="C121" s="27"/>
      <c r="E121" s="28"/>
    </row>
    <row r="122" customFormat="false" ht="18" hidden="false" customHeight="true" outlineLevel="0" collapsed="false">
      <c r="C122" s="27"/>
      <c r="E122" s="28"/>
    </row>
    <row r="123" customFormat="false" ht="18" hidden="false" customHeight="true" outlineLevel="0" collapsed="false">
      <c r="C123" s="27"/>
      <c r="E123" s="28"/>
    </row>
    <row r="124" customFormat="false" ht="18" hidden="false" customHeight="true" outlineLevel="0" collapsed="false">
      <c r="C124" s="27"/>
      <c r="E124" s="28"/>
    </row>
    <row r="125" customFormat="false" ht="18" hidden="false" customHeight="true" outlineLevel="0" collapsed="false">
      <c r="C125" s="27"/>
      <c r="E125" s="28"/>
    </row>
    <row r="126" customFormat="false" ht="18" hidden="false" customHeight="true" outlineLevel="0" collapsed="false">
      <c r="C126" s="27"/>
      <c r="E126" s="28"/>
    </row>
    <row r="127" customFormat="false" ht="18" hidden="false" customHeight="true" outlineLevel="0" collapsed="false">
      <c r="C127" s="27"/>
      <c r="E127" s="28"/>
    </row>
    <row r="128" customFormat="false" ht="18" hidden="false" customHeight="true" outlineLevel="0" collapsed="false">
      <c r="C128" s="27"/>
      <c r="E128" s="28"/>
    </row>
    <row r="129" customFormat="false" ht="18" hidden="false" customHeight="true" outlineLevel="0" collapsed="false">
      <c r="C129" s="27"/>
      <c r="E129" s="28"/>
    </row>
    <row r="130" customFormat="false" ht="18" hidden="false" customHeight="true" outlineLevel="0" collapsed="false">
      <c r="C130" s="27"/>
      <c r="E130" s="28"/>
    </row>
    <row r="131" customFormat="false" ht="18" hidden="false" customHeight="true" outlineLevel="0" collapsed="false">
      <c r="C131" s="27"/>
      <c r="E131" s="28"/>
    </row>
    <row r="132" customFormat="false" ht="18" hidden="false" customHeight="true" outlineLevel="0" collapsed="false">
      <c r="C132" s="27"/>
      <c r="E132" s="28"/>
    </row>
    <row r="133" customFormat="false" ht="18" hidden="false" customHeight="true" outlineLevel="0" collapsed="false">
      <c r="C133" s="27"/>
      <c r="E133" s="28"/>
    </row>
  </sheetData>
  <mergeCells count="20">
    <mergeCell ref="A1:F1"/>
    <mergeCell ref="A2:F2"/>
    <mergeCell ref="A4:E4"/>
    <mergeCell ref="C6:C23"/>
    <mergeCell ref="E6:E23"/>
    <mergeCell ref="A26:E26"/>
    <mergeCell ref="C28:C45"/>
    <mergeCell ref="E28:E45"/>
    <mergeCell ref="A48:E48"/>
    <mergeCell ref="C50:C67"/>
    <mergeCell ref="E50:E67"/>
    <mergeCell ref="A70:E70"/>
    <mergeCell ref="C72:C89"/>
    <mergeCell ref="E72:E89"/>
    <mergeCell ref="A92:E92"/>
    <mergeCell ref="C94:C111"/>
    <mergeCell ref="E94:E111"/>
    <mergeCell ref="A114:E114"/>
    <mergeCell ref="C116:C133"/>
    <mergeCell ref="E116:E1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9" activeCellId="0" sqref="A19"/>
    </sheetView>
  </sheetViews>
  <sheetFormatPr defaultColWidth="8.6640625" defaultRowHeight="14.25" zeroHeight="false" outlineLevelRow="0" outlineLevelCol="0"/>
  <cols>
    <col collapsed="false" customWidth="true" hidden="false" outlineLevel="0" max="1" min="1" style="22" width="22"/>
    <col collapsed="false" customWidth="true" hidden="false" outlineLevel="0" max="2" min="2" style="22" width="95"/>
    <col collapsed="false" customWidth="false" hidden="false" outlineLevel="0" max="16384" min="3" style="22" width="8.67"/>
  </cols>
  <sheetData>
    <row r="1" customFormat="false" ht="19.5" hidden="false" customHeight="true" outlineLevel="0" collapsed="false">
      <c r="A1" s="1" t="s">
        <v>264</v>
      </c>
      <c r="B1" s="1"/>
      <c r="C1" s="1"/>
      <c r="D1" s="1"/>
      <c r="E1" s="1"/>
      <c r="F1" s="1"/>
    </row>
    <row r="2" customFormat="false" ht="30" hidden="false" customHeight="true" outlineLevel="0" collapsed="false">
      <c r="A2" s="29"/>
      <c r="B2" s="29"/>
    </row>
    <row r="3" customFormat="false" ht="30" hidden="false" customHeight="true" outlineLevel="0" collapsed="false">
      <c r="A3" s="29" t="s">
        <v>265</v>
      </c>
      <c r="B3" s="29" t="s">
        <v>266</v>
      </c>
    </row>
    <row r="4" customFormat="false" ht="30" hidden="false" customHeight="true" outlineLevel="0" collapsed="false">
      <c r="A4" s="29" t="s">
        <v>267</v>
      </c>
      <c r="B4" s="29" t="s">
        <v>268</v>
      </c>
    </row>
    <row r="5" customFormat="false" ht="30" hidden="false" customHeight="true" outlineLevel="0" collapsed="false">
      <c r="A5" s="29"/>
      <c r="B5" s="29" t="s">
        <v>269</v>
      </c>
    </row>
    <row r="6" customFormat="false" ht="30" hidden="false" customHeight="true" outlineLevel="0" collapsed="false">
      <c r="A6" s="29"/>
      <c r="B6" s="29" t="s">
        <v>270</v>
      </c>
    </row>
    <row r="7" customFormat="false" ht="30" hidden="false" customHeight="true" outlineLevel="0" collapsed="false">
      <c r="A7" s="29" t="s">
        <v>271</v>
      </c>
      <c r="B7" s="29" t="s">
        <v>272</v>
      </c>
    </row>
    <row r="8" customFormat="false" ht="30" hidden="false" customHeight="true" outlineLevel="0" collapsed="false">
      <c r="A8" s="29" t="s">
        <v>273</v>
      </c>
      <c r="B8" s="29" t="s">
        <v>274</v>
      </c>
    </row>
    <row r="9" customFormat="false" ht="30" hidden="false" customHeight="true" outlineLevel="0" collapsed="false">
      <c r="A9" s="30"/>
      <c r="B9" s="30"/>
    </row>
    <row r="10" customFormat="false" ht="30" hidden="false" customHeight="true" outlineLevel="0" collapsed="false">
      <c r="A10" s="30" t="s">
        <v>275</v>
      </c>
      <c r="B10" s="30"/>
    </row>
    <row r="11" customFormat="false" ht="30" hidden="false" customHeight="true" outlineLevel="0" collapsed="false">
      <c r="A11" s="29" t="s">
        <v>276</v>
      </c>
      <c r="B11" s="29" t="s">
        <v>277</v>
      </c>
    </row>
    <row r="12" customFormat="false" ht="30" hidden="false" customHeight="true" outlineLevel="0" collapsed="false">
      <c r="A12" s="29" t="s">
        <v>278</v>
      </c>
      <c r="B12" s="29" t="s">
        <v>279</v>
      </c>
    </row>
    <row r="13" customFormat="false" ht="30" hidden="false" customHeight="true" outlineLevel="0" collapsed="false">
      <c r="A13" s="29" t="s">
        <v>280</v>
      </c>
      <c r="B13" s="29" t="s">
        <v>281</v>
      </c>
    </row>
    <row r="14" customFormat="false" ht="30" hidden="false" customHeight="true" outlineLevel="0" collapsed="false">
      <c r="A14" s="29" t="s">
        <v>282</v>
      </c>
      <c r="B14" s="29" t="s">
        <v>283</v>
      </c>
    </row>
    <row r="15" customFormat="false" ht="30" hidden="false" customHeight="true" outlineLevel="0" collapsed="false">
      <c r="A15" s="29" t="s">
        <v>284</v>
      </c>
      <c r="B15" s="29" t="s">
        <v>285</v>
      </c>
    </row>
    <row r="16" customFormat="false" ht="30" hidden="false" customHeight="true" outlineLevel="0" collapsed="false">
      <c r="A16" s="29" t="s">
        <v>286</v>
      </c>
      <c r="B16" s="29" t="s">
        <v>287</v>
      </c>
    </row>
    <row r="17" customFormat="false" ht="30" hidden="false" customHeight="true" outlineLevel="0" collapsed="false">
      <c r="A17" s="29" t="s">
        <v>288</v>
      </c>
      <c r="B17" s="29" t="s">
        <v>289</v>
      </c>
    </row>
    <row r="18" customFormat="false" ht="30" hidden="false" customHeight="true" outlineLevel="0" collapsed="false">
      <c r="A18" s="29" t="s">
        <v>290</v>
      </c>
      <c r="B18" s="29" t="s">
        <v>291</v>
      </c>
    </row>
    <row r="19" customFormat="false" ht="30" hidden="false" customHeight="true" outlineLevel="0" collapsed="false">
      <c r="A19" s="29"/>
      <c r="B19" s="29"/>
    </row>
    <row r="20" customFormat="false" ht="30" hidden="false" customHeight="true" outlineLevel="0" collapsed="false">
      <c r="A20" s="30" t="s">
        <v>292</v>
      </c>
      <c r="B20" s="30"/>
    </row>
    <row r="21" customFormat="false" ht="30" hidden="false" customHeight="true" outlineLevel="0" collapsed="false">
      <c r="A21" s="29" t="s">
        <v>293</v>
      </c>
      <c r="B21" s="29" t="s">
        <v>294</v>
      </c>
    </row>
    <row r="22" customFormat="false" ht="30" hidden="false" customHeight="true" outlineLevel="0" collapsed="false">
      <c r="A22" s="29" t="s">
        <v>295</v>
      </c>
      <c r="B22" s="29" t="s">
        <v>296</v>
      </c>
    </row>
    <row r="23" customFormat="false" ht="30" hidden="false" customHeight="true" outlineLevel="0" collapsed="false">
      <c r="A23" s="29" t="s">
        <v>297</v>
      </c>
      <c r="B23" s="29" t="s">
        <v>298</v>
      </c>
    </row>
    <row r="24" customFormat="false" ht="30" hidden="false" customHeight="true" outlineLevel="0" collapsed="false">
      <c r="A24" s="29" t="s">
        <v>299</v>
      </c>
      <c r="B24" s="29" t="s">
        <v>300</v>
      </c>
    </row>
    <row r="25" customFormat="false" ht="30" hidden="false" customHeight="true" outlineLevel="0" collapsed="false">
      <c r="A25" s="29" t="s">
        <v>301</v>
      </c>
      <c r="B25" s="29" t="s">
        <v>302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8593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dimension ref="A1:A37"/>
  <sheetViews>
    <sheetView workbookViewId="0">
      <selection activeCell="A1" sqref="A1"/>
    </sheetView>
  </sheetViews>
  <sheetFormatPr defaultRowHeight="15"/>
  <cols>
    <col min="1" max="1" width="98" customWidth="1"/>
  </cols>
  <sheetData>
    <row r="1">
      <c r="A1" s="1" t="inlineStr">
        <is>
          <t xml:space="preserve">SmartAssessment — Pelvic Block Quality (Claude analysis)</t>
        </is>
      </c>
    </row>
    <row r="2">
      <c r="A2" s="2" t="inlineStr">
        <is>
          <t xml:space="preserve">Author: Claude · Compiled 2026-06-26 · Scope: Slaughterhouse IQC visits 1–14 + ATM receipt data. These are working analyst notes and interpretation — verify with Quality before any external/supplier use.</t>
        </is>
      </c>
    </row>
    <row r="3">
      <c r="A3" s="0"/>
    </row>
    <row r="4">
      <c r="A4" s="3" t="inlineStr">
        <is>
          <t xml:space="preserve">1. OBJECTIVE (as understood)</t>
        </is>
      </c>
    </row>
    <row r="5">
      <c r="A5" s="20" t="inlineStr">
        <is>
          <t xml:space="preserve">Root-cause pelvic-block defects to their point of origin UPSTREAM — before the harvesting tech consolidates the pelvic block, and ideally back to slaughter/evisceration (handling of the main tissue block and GI). Goal: raise HARVESTING FIRST-PASS YIELD = successful pelvic blocks consolidated ÷ main tissue blocks the harvesting tech receives. Active at BOTH suppliers: Parks (already engaged) and Martins (sampling defective pelvics and bringing them to ATM for evaluation/root-cause). This is a yield-improvement / root-cause program, not a supplier down-select.</t>
        </is>
      </c>
    </row>
    <row r="6">
      <c r="A6" s="0"/>
    </row>
    <row r="7">
      <c r="A7" s="3" t="inlineStr">
        <is>
          <t xml:space="preserve">2. THE QUALITY PIPELINE — WHERE YIELD IS LOST</t>
        </is>
      </c>
    </row>
    <row r="8">
      <c r="A8" s="19" t="inlineStr">
        <is>
          <t xml:space="preserve">Stage model</t>
        </is>
      </c>
    </row>
    <row r="9">
      <c r="A9" s="20" t="inlineStr">
        <is>
          <t xml:space="preserve">Stage 0  Upstream: slaughter + evisceration; handling of the main tissue block / GI.
Stage 1  Harvesting: SH tech consolidates the pelvic block  ← first major yield loss, today largely UNMEASURED.
Stage 2  SH-floor IQC: our ATM inspector, PRE-freeze — this is the current '# Inspected / Pass / Fail'.
Stage 3  Freeze.
Stage 4  ATM receipt: POST-freeze — the gate tied to performance goals.</t>
        </is>
      </c>
    </row>
    <row r="10">
      <c r="A10" s="19" t="inlineStr">
        <is>
          <t xml:space="preserve">Key gap</t>
        </is>
      </c>
    </row>
    <row r="11">
      <c r="A11" s="20" t="inlineStr">
        <is>
          <t xml:space="preserve">The tally sheets only count blocks that REACH our SH inspector. Blocks lost during harvesting (miscuts before presentation) are NOT in the pass/fail counts. See Parks Visit 11 (06/16): '~100 pigs slaughtered, the majority of blocks failed BEFORE reaching IQC due to miscuts during block removal.' That upstream loss IS the harvesting first-pass yield this program targets — and it is currently invisible. RECOMMEND adding two fields to the tally template: (a) main blocks received by harvesting tech, (b) blocks rejected at harvesting before IQC. Then harvesting FPY can be computed instead of inferred from a note.</t>
        </is>
      </c>
    </row>
    <row r="12">
      <c r="A12" s="0"/>
    </row>
    <row r="13">
      <c r="A13" s="3" t="inlineStr">
        <is>
          <t xml:space="preserve">3. PARKS 05/11 CRITICAL-MESENTERY EVENT — ROOT-CAUSE SUCCESS STORY</t>
        </is>
      </c>
    </row>
    <row r="14">
      <c r="A14" s="20" t="inlineStr">
        <is>
          <t xml:space="preserve">ATM receipt 05/11 (PN 666518): 220 received, 195 scrapped (88.6% rejection), of which 187 were critical mesentery holes/lacerations. This ONE event is 187 of Parks's 218 total critical-mesentery defects across the entire record — it dominates the Parks picture.</t>
        </is>
      </c>
    </row>
    <row r="15">
      <c r="A15" s="20" t="inlineStr">
        <is>
          <t xml:space="preserve">Confirmed REAL (per Quality). Root cause: a harvesting cut that was dividing the mesentery from the block, plus bowel-area handling issues the slaughterhouse was unaware of. Corrected via training + monitoring; monthly verification calls ongoing.</t>
        </is>
      </c>
    </row>
    <row r="16">
      <c r="A16" s="20" t="inlineStr">
        <is>
          <t xml:space="preserve">Post-intervention SH-floor visits (05/28 → 06/25) show NO recurrence of catastrophic rejection — yields 69–100%, steady ~84–88% recently. Residual scrap is now dominated by 'short blocks' and 'critical-area lacerations.' Read: the program fixed the catastrophic failure mode; a residual mesentery-length / critical-zone signal remains and is the next root-cause target at Parks.</t>
        </is>
      </c>
    </row>
    <row r="17">
      <c r="A17" s="0"/>
    </row>
    <row r="18">
      <c r="A18" s="3" t="inlineStr">
        <is>
          <t xml:space="preserve">4. WHERE DEFECTS ORIGINATE (origin tagging for root-cause)</t>
        </is>
      </c>
    </row>
    <row r="19">
      <c r="A19" s="20" t="inlineStr">
        <is>
          <t xml:space="preserve">• Upstream / harvesting (the target of this program): critical mesentery hole/laceration; the mesentery-dividing cut; mesentery length too short (≤7" / 'short block'); bowel, bladder and urethra lacerations from miscuts; blood clots.
• Freeze/thaw-attributable (per Quality — appear POST-thaw at ATM, not at the SH floor): small lacerations. These should NOT be charged to the harvesting tech's FPY; they explain part of the SH→ATM gap.
• Spec / measurement drift (already in the IQC notes): bladder-length lower spec changed &lt;3"→&lt;2"; 'mesentery ≤7"' first measured 03/30.</t>
        </is>
      </c>
    </row>
    <row r="20">
      <c r="A20" s="19" t="inlineStr">
        <is>
          <t xml:space="preserve">Recommendation</t>
        </is>
      </c>
    </row>
    <row r="21">
      <c r="A21" s="20" t="inlineStr">
        <is>
          <t xml:space="preserve">When ATM root-cause data arrives, tag each scrapped unit as harvesting-origin vs freeze/thaw-origin vs spec-drift, so the harvesting-FPY metric is not polluted by freeze/thaw damage.</t>
        </is>
      </c>
    </row>
    <row r="22">
      <c r="A22" s="0"/>
    </row>
    <row r="23">
      <c r="A23" s="3" t="inlineStr">
        <is>
          <t xml:space="preserve">5. SH-FLOOR vs ATM YIELD (the stage gap)</t>
        </is>
      </c>
    </row>
    <row r="24">
      <c r="A24" s="20" t="inlineStr">
        <is>
          <t xml:space="preserve">SH-floor pass (pre-freeze): Martins 94.4% (640/678), Parks 84.0% (79/94).
ATM receipt (post-freeze, rolling): Martins ~85.4% accepted (2119/2481), Parks ~39.8% (167/420) — Parks dominated by the 05/11 event.
The SH→ATM gap is partly REAL freeze/thaw damage (small lacerations) and partly that ATM is a stricter/later gate.</t>
        </is>
      </c>
    </row>
    <row r="25">
      <c r="A25" s="19" t="inlineStr">
        <is>
          <t xml:space="preserve">Caveat</t>
        </is>
      </c>
    </row>
    <row r="26">
      <c r="A26" s="20" t="inlineStr">
        <is>
          <t xml:space="preserve">Only 3 lots currently have BOTH SH and ATM data (5502378434, 5502391862, 5502404928). The cleanest freeze/thaw proxy is the SH-pass → ATM-accept delta on MATCHED lots; we need more matched lots — especially post-intervention Parks — before trusting the gap quantitatively.</t>
        </is>
      </c>
    </row>
    <row r="27">
      <c r="A27" s="0"/>
    </row>
    <row r="28">
      <c r="A28" s="3" t="inlineStr">
        <is>
          <t xml:space="preserve">6. 666541 vs 666506 — SPEC CORRECTION</t>
        </is>
      </c>
    </row>
    <row r="29">
      <c r="A29" s="20" t="inlineStr">
        <is>
          <t xml:space="preserve">Per Quality (06/26): 666506 = pelvic block with the MORE stringent spec; 666541 = the same part, LESS strict, and tied to ATM performance goals — so protecting 666541's ATM yield is the priority metric.</t>
        </is>
      </c>
    </row>
    <row r="30">
      <c r="A30" s="19" t="inlineStr">
        <is>
          <t xml:space="preserve">⚠ Supersedes earlier assumption</t>
        </is>
      </c>
    </row>
    <row r="31">
      <c r="A31" s="20" t="inlineStr">
        <is>
          <t xml:space="preserve">This REVERSES the workbook's earlier framing (Slaughterhouse IQC note 1 / README) that treated 666506 as a 'downgrade/recovery' grade. Naming tension to reconcile: the tally sheets label 666541 'intact' and 666506 'non intact,' and some scrap notes say defective units were 'moved to non-intact' — wording that reads like a downgrade, which is hard to square with 666506 being the TIGHTER spec. Worth a one-line confirmation so labels and spec hierarchy agree. (I have NOT edited the old notes — flagging only.)</t>
        </is>
      </c>
    </row>
    <row r="32">
      <c r="A32" s="0"/>
    </row>
    <row r="33">
      <c r="A33" s="3" t="inlineStr">
        <is>
          <t xml:space="preserve">7. DATA-QUALITY CAVEATS AFFECTING THIS ASSESSMENT</t>
        </is>
      </c>
    </row>
    <row r="34">
      <c r="A34" s="20" t="inlineStr">
        <is>
          <t xml:space="preserve">• Parks SH sample is small (94 units, 5 visits) — supplier comparisons are directional, not statistical.
• ATM Parks data currently ends 05/11, which PRE-DATES the SH-floor inspections (start 05/28) — so there is no clean post-intervention stage-to-stage comparison for Parks yet.
• Lot-number carry-overs (Visits 5, 9, 12) mean some 'lots' repeat across weeks — see IQC notes 9 &amp; 14.
• Several incoming tally dates are volatile =NOW() captures; hand-entered harvest dates were used as authoritative.
• ATM data will soon lose batch numbers (Tableau) — a separate batch-less sheet is planned.</t>
        </is>
      </c>
    </row>
    <row r="35">
      <c r="A35" s="0"/>
    </row>
    <row r="36">
      <c r="A36" s="3" t="inlineStr">
        <is>
          <t xml:space="preserve">8. RECOMMENDED NEXT STEPS</t>
        </is>
      </c>
    </row>
    <row r="37">
      <c r="A37" s="20" t="inlineStr">
        <is>
          <t xml:space="preserve">1. Add harvesting-FPY capture to the tally template (main blocks received; blocks rejected pre-IQC) so upstream loss is measured, not inferred.
2. Tag ATM scrap by stage-of-origin (harvesting vs freeze/thaw vs spec-drift); keep freeze/thaw small-lacerations out of the harvesting-FPY denominator.
3. Build a matched-lot SH→ATM tracker as more lots gain both stages — prioritize post-intervention Parks lots to verify the 05/11 fix holds through freeze/thaw.
4. Reconcile the 666506 / 'non-intact' naming vs the tighter-spec definition; once confirmed, update IQC note 1 and the README.
5. Continue monthly supplier calls; trend the residual Parks 'short block' / critical-zone signal and the Martins sampled-defect root-causes.
6. When Tableau ATM data lands, link defect categories to stage-of-origin in the new batch-less sheet.</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36"/>
  <sheetViews>
    <sheetView workbookViewId="0">
      <selection activeCell="A1" sqref="A1"/>
    </sheetView>
  </sheetViews>
  <sheetFormatPr defaultRowHeight="15"/>
  <cols>
    <col min="1" max="1" width="16" customWidth="1"/>
    <col min="2" max="2" width="16" customWidth="1"/>
    <col min="3" max="3" width="22" customWidth="1"/>
    <col min="4" max="4" width="34" customWidth="1"/>
    <col min="5" max="6" width="12" customWidth="1"/>
  </cols>
  <sheetData>
    <row r="1" ht="22" customHeight="true">
      <c r="A1" s="1" t="inlineStr">
        <is>
          <t xml:space="preserve">ATM Scrap — Tableau Data (post-freeze / thaw)</t>
        </is>
      </c>
    </row>
    <row r="2" ht="60" customHeight="true">
      <c r="A2" s="2" t="inlineStr">
        <is>
          <t xml:space="preserve">Source: Tableau “Top 5 Part” scrap views, June 2026. ATM = receipt inspection AFTER freeze/thaw (product sits frozen ~1–1.5 months), so this month reflects SH harvest from roughly late-April to late-May. No batch/lot numbers in the ATM feed, so cross-stage links are by time-window + part only. Values read from the two charts.</t>
        </is>
      </c>
    </row>
    <row r="3"/>
    <row r="4" ht="18" customHeight="true">
      <c r="A4" s="3" t="inlineStr">
        <is>
          <t xml:space="preserve">WEEKLY SCRAP % TREND — JUNE 2026</t>
        </is>
      </c>
    </row>
    <row r="5">
      <c r="A5" s="11" t="inlineStr">
        <is>
          <t xml:space="preserve">Week (ATM receipt)</t>
        </is>
      </c>
      <c r="B5" s="11" t="inlineStr">
        <is>
          <t xml:space="preserve">666541 Scrap %</t>
        </is>
      </c>
      <c r="C5" s="11" t="inlineStr">
        <is>
          <t xml:space="preserve">666506 Scrap %</t>
        </is>
      </c>
      <c r="D5" s="11" t="inlineStr">
        <is>
          <t xml:space="preserve">Goal</t>
        </is>
      </c>
    </row>
    <row r="6">
      <c r="A6" s="5" t="inlineStr">
        <is>
          <t xml:space="preserve">5/25</t>
        </is>
      </c>
      <c r="B6" s="15" t="n">
        <v>0.25</v>
      </c>
      <c r="D6" s="15" t="n">
        <v>0.05</v>
      </c>
    </row>
    <row r="7">
      <c r="A7" s="5" t="inlineStr">
        <is>
          <t xml:space="preserve">6/1</t>
        </is>
      </c>
      <c r="B7" s="15" t="n">
        <v>0.063</v>
      </c>
      <c r="C7" s="15" t="n">
        <v>0.0</v>
      </c>
      <c r="D7" s="15" t="n">
        <v>0.05</v>
      </c>
    </row>
    <row r="8">
      <c r="A8" s="5" t="inlineStr">
        <is>
          <t xml:space="preserve">6/8</t>
        </is>
      </c>
      <c r="B8" s="15" t="n">
        <v>0.074</v>
      </c>
      <c r="C8" s="15" t="n">
        <v>0.0</v>
      </c>
      <c r="D8" s="15" t="n">
        <v>0.05</v>
      </c>
    </row>
    <row r="9">
      <c r="A9" s="5" t="inlineStr">
        <is>
          <t xml:space="preserve">6/15</t>
        </is>
      </c>
      <c r="B9" s="15" t="n">
        <v>0.032</v>
      </c>
      <c r="C9" s="15" t="n">
        <v>0.0</v>
      </c>
      <c r="D9" s="15" t="n">
        <v>0.05</v>
      </c>
    </row>
    <row r="10">
      <c r="A10" s="5" t="inlineStr">
        <is>
          <t xml:space="preserve">6/22</t>
        </is>
      </c>
      <c r="B10" s="15" t="n">
        <v>0.032</v>
      </c>
      <c r="C10" s="15" t="n">
        <v>0.014</v>
      </c>
      <c r="D10" s="15" t="n">
        <v>0.05</v>
      </c>
    </row>
    <row r="11">
      <c r="A11" s="5" t="inlineStr">
        <is>
          <t xml:space="preserve">6/29</t>
        </is>
      </c>
      <c r="B11" s="15" t="n">
        <v>0.0</v>
      </c>
      <c r="C11" s="15" t="n">
        <v>0.0</v>
      </c>
      <c r="D11" s="15" t="n">
        <v>0.05</v>
      </c>
    </row>
    <row r="12"/>
    <row r="13" ht="18" customHeight="true">
      <c r="A13" s="3" t="inlineStr">
        <is>
          <t xml:space="preserve">OVERALL SCRAP % BY PART — JUNE 2026</t>
        </is>
      </c>
    </row>
    <row r="14">
      <c r="A14" s="11" t="inlineStr">
        <is>
          <t xml:space="preserve">Part</t>
        </is>
      </c>
      <c r="B14" s="11" t="inlineStr">
        <is>
          <t xml:space="preserve">Description</t>
        </is>
      </c>
      <c r="C14" s="11" t="inlineStr">
        <is>
          <t xml:space="preserve">June Scrap %</t>
        </is>
      </c>
      <c r="D14" s="11" t="inlineStr">
        <is>
          <t xml:space="preserve">vs 5% Goal</t>
        </is>
      </c>
    </row>
    <row r="15">
      <c r="A15" s="5" t="inlineStr">
        <is>
          <t xml:space="preserve">666541</t>
        </is>
      </c>
      <c r="B15" s="5" t="inlineStr">
        <is>
          <t xml:space="preserve">DV Tech Pelvic Block (F), intact — performance-goal part</t>
        </is>
      </c>
      <c r="C15" s="15" t="n">
        <v>0.046</v>
      </c>
      <c r="D15" s="5" t="inlineStr">
        <is>
          <t xml:space="preserve">Under (0.4 pt below goal)</t>
        </is>
      </c>
    </row>
    <row r="16">
      <c r="A16" s="5" t="inlineStr">
        <is>
          <t xml:space="preserve">666506</t>
        </is>
      </c>
      <c r="B16" s="5" t="inlineStr">
        <is>
          <t xml:space="preserve">Pelvic Block, non-intact — tighter spec</t>
        </is>
      </c>
      <c r="C16" s="15" t="n">
        <v>0.004</v>
      </c>
      <c r="D16" s="5" t="inlineStr">
        <is>
          <t xml:space="preserve">Under</t>
        </is>
      </c>
    </row>
    <row r="17"/>
    <row r="18" ht="18" customHeight="true">
      <c r="A18" s="3" t="inlineStr">
        <is>
          <t xml:space="preserve">STAGE-TO-STAGE LAG CORRELATION  (ATM week  ←  SH harvest ~4–6 weeks earlier)</t>
        </is>
      </c>
    </row>
    <row r="19" ht="44" customHeight="true">
      <c r="A19" s="20" t="inlineStr">
        <is>
          <t xml:space="preserve">Directional only: ATM is weekly, SH visits are sporadic, and there is no lot linkage. SH 666541 scrap below is from the Martins intact rows on the Slaughterhouse IQC tab for the matching harvest window.</t>
        </is>
      </c>
    </row>
    <row r="20">
      <c r="A20" s="11" t="inlineStr">
        <is>
          <t xml:space="preserve">ATM week</t>
        </is>
      </c>
      <c r="B20" s="11" t="inlineStr">
        <is>
          <t xml:space="preserve">ATM 666541 scrap</t>
        </is>
      </c>
      <c r="C20" s="11" t="inlineStr">
        <is>
          <t xml:space="preserve">SH harvest window</t>
        </is>
      </c>
      <c r="D20" s="11" t="inlineStr">
        <is>
          <t xml:space="preserve">SH 666541 scrap (Martins)</t>
        </is>
      </c>
    </row>
    <row r="21">
      <c r="A21" s="5" t="inlineStr">
        <is>
          <t xml:space="preserve">5/25</t>
        </is>
      </c>
      <c r="B21" s="15" t="n">
        <v>0.25</v>
      </c>
      <c r="C21" s="5" t="inlineStr">
        <is>
          <t xml:space="preserve">~4/13–4/22</t>
        </is>
      </c>
      <c r="D21" s="5" t="inlineStr">
        <is>
          <t xml:space="preserve">4.9% blended — 4/15 visit spiked to 23.5%</t>
        </is>
      </c>
    </row>
    <row r="22">
      <c r="A22" s="5" t="inlineStr">
        <is>
          <t xml:space="preserve">6/1</t>
        </is>
      </c>
      <c r="B22" s="15" t="n">
        <v>0.063</v>
      </c>
      <c r="C22" s="5" t="inlineStr">
        <is>
          <t xml:space="preserve">~4/20–4/29</t>
        </is>
      </c>
      <c r="D22" s="5" t="inlineStr">
        <is>
          <t xml:space="preserve">1.8% (4/22)</t>
        </is>
      </c>
    </row>
    <row r="23">
      <c r="A23" s="5" t="inlineStr">
        <is>
          <t xml:space="preserve">6/8</t>
        </is>
      </c>
      <c r="B23" s="15" t="n">
        <v>0.074</v>
      </c>
      <c r="C23" s="5" t="inlineStr">
        <is>
          <t xml:space="preserve">~4/27–5/6</t>
        </is>
      </c>
      <c r="D23" s="5" t="inlineStr">
        <is>
          <t xml:space="preserve">6.5% (5/4 + 5/6; 5/6 = 12.0%)</t>
        </is>
      </c>
    </row>
    <row r="24">
      <c r="A24" s="5" t="inlineStr">
        <is>
          <t xml:space="preserve">6/15</t>
        </is>
      </c>
      <c r="B24" s="15" t="n">
        <v>0.032</v>
      </c>
      <c r="C24" s="5" t="inlineStr">
        <is>
          <t xml:space="preserve">~5/4–5/13</t>
        </is>
      </c>
      <c r="D24" s="5" t="inlineStr">
        <is>
          <t xml:space="preserve">6.5% (5/6 = 12.0%)</t>
        </is>
      </c>
    </row>
    <row r="25">
      <c r="A25" s="5" t="inlineStr">
        <is>
          <t xml:space="preserve">6/22</t>
        </is>
      </c>
      <c r="B25" s="15" t="n">
        <v>0.032</v>
      </c>
      <c r="C25" s="5" t="inlineStr">
        <is>
          <t xml:space="preserve">~5/11–5/20</t>
        </is>
      </c>
      <c r="D25" s="5" t="inlineStr">
        <is>
          <t xml:space="preserve">6.5% (5/18)</t>
        </is>
      </c>
    </row>
    <row r="26">
      <c r="A26" s="5" t="inlineStr">
        <is>
          <t xml:space="preserve">6/29</t>
        </is>
      </c>
      <c r="B26" s="15" t="n">
        <v>0.0</v>
      </c>
      <c r="C26" s="5" t="inlineStr">
        <is>
          <t xml:space="preserve">~5/18–5/27</t>
        </is>
      </c>
      <c r="D26" s="5" t="inlineStr">
        <is>
          <t xml:space="preserve">6.8% (5/18–5/27)</t>
        </is>
      </c>
    </row>
    <row r="27"/>
    <row r="28" ht="18" customHeight="true">
      <c r="A28" s="3" t="inlineStr">
        <is>
          <t xml:space="preserve">KEY TAKEAWAYS</t>
        </is>
      </c>
    </row>
    <row r="29" ht="44" customHeight="true">
      <c r="A29" s="20" t="inlineStr">
        <is>
          <t xml:space="preserve">• 666541 (the performance-goal part) fell 25% → 0% across June and finished the month at 4.6% overall — just under the 5% goal. One early spike (25% on the 5/25 receipt) drove most of the month; it is the part to watch.</t>
        </is>
      </c>
    </row>
    <row r="30" ht="44" customHeight="true">
      <c r="A30" s="20" t="inlineStr">
        <is>
          <t xml:space="preserve">• 666506 (tighter spec) held ~0% all month (0.4% overall) — well controlled through freeze/thaw.</t>
        </is>
      </c>
    </row>
    <row r="31" ht="44" customHeight="true">
      <c r="A31" s="20" t="inlineStr">
        <is>
          <t xml:space="preserve">• Lag alignment: the 25% ATM spike (5/25) lands ~5–6 weeks after the roughest SH visit (4/15, 23.5% scrap) — consistent with the ~1–1.5-month freeze dwell and with defects originating upstream at harvest.</t>
        </is>
      </c>
    </row>
    <row r="32" ht="44" customHeight="true">
      <c r="A32" s="20" t="inlineStr">
        <is>
          <t xml:space="preserve">• Both parts trend down into summer, matching the harvesting-training improvements at the slaughterhouses.</t>
        </is>
      </c>
    </row>
    <row r="33"/>
    <row r="34" ht="18" customHeight="true">
      <c r="A34" s="3" t="inlineStr">
        <is>
          <t xml:space="preserve">NOTES &amp; ASSUMPTIONS</t>
        </is>
      </c>
    </row>
    <row r="35" ht="56" customHeight="true">
      <c r="A35" s="20" t="inlineStr">
        <is>
          <t xml:space="preserve">Line→part mapping (dark = 666541, light = 666506) inferred from the overall-by-part chart. Lag band = 4–6 weeks (≈1–1.5-month freeze dwell). These June charts are Martins parts; Parks 666518 is not in this top-5 view.</t>
        </is>
      </c>
    </row>
    <row r="36" ht="56" customHeight="true">
      <c r="A36" s="20" t="inlineStr">
        <is>
          <t xml:space="preserve">Original Tableau screenshots are not embedded here — the image files were not available to paste. Drop the two screenshots beside these tables if you want the visuals inline. Refresh monthly as new Tableau months arrive.</t>
        </is>
      </c>
    </row>
  </sheetData>
  <conditionalFormatting sqref="B6:C11 C15:C16 B21:B26">
    <cfRule type="colorScale" priority="1">
      <colorScale>
        <cfvo type="num" val="0"/>
        <cfvo type="num" val="0.05"/>
        <cfvo type="num" val="0.1"/>
        <color rgb="FF63BE7B"/>
        <color rgb="FFFFEB84"/>
        <color rgb="FFF8696B"/>
      </colorScale>
    </cfRule>
  </conditionalFormatting>
  <mergeCells count="14">
    <mergeCell ref="A1:F1"/>
    <mergeCell ref="A2:F2"/>
    <mergeCell ref="A4:F4"/>
    <mergeCell ref="A13:F13"/>
    <mergeCell ref="A18:F18"/>
    <mergeCell ref="A19:F19"/>
    <mergeCell ref="A28:F28"/>
    <mergeCell ref="A29:F29"/>
    <mergeCell ref="A30:F30"/>
    <mergeCell ref="A31:F31"/>
    <mergeCell ref="A32:F32"/>
    <mergeCell ref="A34:F34"/>
    <mergeCell ref="A35:F35"/>
    <mergeCell ref="A36:F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2026-05-12T17:19:46Z</dcterms:created>
  <dc:creator>Oscar Penny</dc:creator>
  <dc:description/>
  <dc:language>en-US</dc:language>
  <cp:lastModifiedBy/>
  <cp:lastPrinted>2026-05-12T17:20:15Z</cp:lastPrinted>
  <dcterms:modified xsi:type="dcterms:W3CDTF">2026-06-11T12:20:59Z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