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2.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openny\Downloads\"/>
    </mc:Choice>
  </mc:AlternateContent>
  <xr:revisionPtr revIDLastSave="0" documentId="13_ncr:1_{4AF5B7AE-7C39-443A-A727-02EDC1CD4660}" xr6:coauthVersionLast="47" xr6:coauthVersionMax="47" xr10:uidLastSave="{00000000-0000-0000-0000-000000000000}"/>
  <bookViews>
    <workbookView xWindow="40560" yWindow="-16350" windowWidth="29040" windowHeight="15720" tabRatio="500" firstSheet="1" activeTab="6" xr2:uid="{00000000-000D-0000-FFFF-FFFF00000000}"/>
  </bookViews>
  <sheets>
    <sheet name="Slaughterhouse IQC" sheetId="2" r:id="rId1"/>
    <sheet name="Quality Dashboard" sheetId="14" r:id="rId2"/>
    <sheet name="Monthly Breakdown" sheetId="15" r:id="rId3"/>
    <sheet name="SH vs ATM by Batch" sheetId="21" r:id="rId16"/>
    <sheet name="Apr 2026" sheetId="16" r:id="rId4"/>
    <sheet name="May 2026" sheetId="17" r:id="rId5"/>
    <sheet name="Jun 2026" sheetId="18" r:id="rId6"/>
    <sheet name="Jul 2026" sheetId="19" r:id="rId7"/>
    <sheet name="Aug 2026" sheetId="20" r:id="rId8"/>
    <sheet name="SmartAssessment" sheetId="12" r:id="rId9"/>
    <sheet name="Defect Atlas" sheetId="9" r:id="rId10"/>
    <sheet name="README" sheetId="10"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G93" i="15" l="1"/>
  <c r="F93" i="15"/>
  <c r="E93" i="15"/>
  <c r="D93" i="15"/>
  <c r="C93" i="15"/>
  <c r="B93" i="15"/>
  <c r="C89" i="15"/>
  <c r="B89" i="15"/>
  <c r="F88" i="15"/>
  <c r="E88" i="15"/>
  <c r="D88" i="15"/>
  <c r="C88" i="15"/>
  <c r="B88" i="15"/>
  <c r="G88" i="15" s="1"/>
  <c r="F87" i="15"/>
  <c r="F89" i="15" s="1"/>
  <c r="E87" i="15"/>
  <c r="D87" i="15"/>
  <c r="C87" i="15"/>
  <c r="B87" i="15"/>
  <c r="F86" i="15"/>
  <c r="E86" i="15"/>
  <c r="E89" i="15" s="1"/>
  <c r="D86" i="15"/>
  <c r="D89" i="15" s="1"/>
  <c r="C86" i="15"/>
  <c r="B86" i="15"/>
  <c r="G86" i="15" s="1"/>
  <c r="G82" i="15"/>
  <c r="F82" i="15"/>
  <c r="E82" i="15"/>
  <c r="D82" i="15"/>
  <c r="C82" i="15"/>
  <c r="B82" i="15"/>
  <c r="F79" i="15"/>
  <c r="E79" i="15"/>
  <c r="D79" i="15"/>
  <c r="F78" i="15"/>
  <c r="E78" i="15"/>
  <c r="D78" i="15"/>
  <c r="C78" i="15"/>
  <c r="B78" i="15"/>
  <c r="G78" i="15" s="1"/>
  <c r="F77" i="15"/>
  <c r="E77" i="15"/>
  <c r="D77" i="15"/>
  <c r="C77" i="15"/>
  <c r="B77" i="15"/>
  <c r="G77" i="15" s="1"/>
  <c r="F76" i="15"/>
  <c r="E76" i="15"/>
  <c r="D76" i="15"/>
  <c r="C76" i="15"/>
  <c r="C79" i="15" s="1"/>
  <c r="B76" i="15"/>
  <c r="B79" i="15" s="1"/>
  <c r="G72" i="15"/>
  <c r="F72" i="15"/>
  <c r="E72" i="15"/>
  <c r="D72" i="15"/>
  <c r="C72" i="15"/>
  <c r="B72" i="15"/>
  <c r="C69" i="15"/>
  <c r="B69" i="15"/>
  <c r="F68" i="15"/>
  <c r="E68" i="15"/>
  <c r="D68" i="15"/>
  <c r="C68" i="15"/>
  <c r="B68" i="15"/>
  <c r="G68" i="15" s="1"/>
  <c r="F67" i="15"/>
  <c r="G67" i="15" s="1"/>
  <c r="E67" i="15"/>
  <c r="D67" i="15"/>
  <c r="C67" i="15"/>
  <c r="B67" i="15"/>
  <c r="F66" i="15"/>
  <c r="E66" i="15"/>
  <c r="E69" i="15" s="1"/>
  <c r="D66" i="15"/>
  <c r="D69" i="15" s="1"/>
  <c r="C66" i="15"/>
  <c r="B66" i="15"/>
  <c r="G66" i="15" s="1"/>
  <c r="G69" i="15" s="1"/>
  <c r="G62" i="15"/>
  <c r="F62" i="15"/>
  <c r="E62" i="15"/>
  <c r="D62" i="15"/>
  <c r="C62" i="15"/>
  <c r="B62" i="15"/>
  <c r="F55" i="15"/>
  <c r="E55" i="15"/>
  <c r="D55" i="15"/>
  <c r="F54" i="15"/>
  <c r="E54" i="15"/>
  <c r="D54" i="15"/>
  <c r="C54" i="15"/>
  <c r="B54" i="15"/>
  <c r="G54" i="15" s="1"/>
  <c r="F53" i="15"/>
  <c r="E53" i="15"/>
  <c r="D53" i="15"/>
  <c r="C53" i="15"/>
  <c r="B53" i="15"/>
  <c r="G53" i="15" s="1"/>
  <c r="F52" i="15"/>
  <c r="E52" i="15"/>
  <c r="D52" i="15"/>
  <c r="C52" i="15"/>
  <c r="C55" i="15" s="1"/>
  <c r="B52" i="15"/>
  <c r="B55" i="15" s="1"/>
  <c r="G48" i="15"/>
  <c r="F48" i="15"/>
  <c r="E48" i="15"/>
  <c r="D48" i="15"/>
  <c r="C48" i="15"/>
  <c r="B48" i="15"/>
  <c r="C41" i="15"/>
  <c r="B41" i="15"/>
  <c r="F40" i="15"/>
  <c r="E40" i="15"/>
  <c r="D40" i="15"/>
  <c r="C40" i="15"/>
  <c r="B40" i="15"/>
  <c r="G40" i="15" s="1"/>
  <c r="F39" i="15"/>
  <c r="G39" i="15" s="1"/>
  <c r="E39" i="15"/>
  <c r="D39" i="15"/>
  <c r="C39" i="15"/>
  <c r="B39" i="15"/>
  <c r="F38" i="15"/>
  <c r="E38" i="15"/>
  <c r="E41" i="15" s="1"/>
  <c r="D38" i="15"/>
  <c r="D41" i="15" s="1"/>
  <c r="C38" i="15"/>
  <c r="B38" i="15"/>
  <c r="G38" i="15" s="1"/>
  <c r="G41" i="15" s="1"/>
  <c r="G34" i="15"/>
  <c r="F34" i="15"/>
  <c r="E34" i="15"/>
  <c r="D34" i="15"/>
  <c r="C34" i="15"/>
  <c r="B34" i="15"/>
  <c r="F27" i="15"/>
  <c r="E27" i="15"/>
  <c r="D27" i="15"/>
  <c r="F26" i="15"/>
  <c r="E26" i="15"/>
  <c r="D26" i="15"/>
  <c r="C26" i="15"/>
  <c r="B26" i="15"/>
  <c r="G26" i="15" s="1"/>
  <c r="F25" i="15"/>
  <c r="E25" i="15"/>
  <c r="D25" i="15"/>
  <c r="C25" i="15"/>
  <c r="B25" i="15"/>
  <c r="G25" i="15" s="1"/>
  <c r="F24" i="15"/>
  <c r="E24" i="15"/>
  <c r="D24" i="15"/>
  <c r="C24" i="15"/>
  <c r="C27" i="15" s="1"/>
  <c r="B24" i="15"/>
  <c r="B27" i="15" s="1"/>
  <c r="G20" i="15"/>
  <c r="F20" i="15"/>
  <c r="E20" i="15"/>
  <c r="D20" i="15"/>
  <c r="C20" i="15"/>
  <c r="B20" i="15"/>
  <c r="G19" i="15"/>
  <c r="F19" i="15"/>
  <c r="E19" i="15"/>
  <c r="D19" i="15"/>
  <c r="C19" i="15"/>
  <c r="B19" i="15"/>
  <c r="G18" i="15"/>
  <c r="F18" i="15"/>
  <c r="E18" i="15"/>
  <c r="D18" i="15"/>
  <c r="C18" i="15"/>
  <c r="B18" i="15"/>
  <c r="G17" i="15"/>
  <c r="F17" i="15"/>
  <c r="E17" i="15"/>
  <c r="D17" i="15"/>
  <c r="C17" i="15"/>
  <c r="B17" i="15"/>
  <c r="G16" i="15"/>
  <c r="F16" i="15"/>
  <c r="E16" i="15"/>
  <c r="D16" i="15"/>
  <c r="C16" i="15"/>
  <c r="B16" i="15"/>
  <c r="G15" i="15"/>
  <c r="F15" i="15"/>
  <c r="E15" i="15"/>
  <c r="D15" i="15"/>
  <c r="C15" i="15"/>
  <c r="B15" i="15"/>
  <c r="G11" i="15"/>
  <c r="F11" i="15"/>
  <c r="E11" i="15"/>
  <c r="D11" i="15"/>
  <c r="C11" i="15"/>
  <c r="B11" i="15"/>
  <c r="G10" i="15"/>
  <c r="F10" i="15"/>
  <c r="E10" i="15"/>
  <c r="D10" i="15"/>
  <c r="C10" i="15"/>
  <c r="B10" i="15"/>
  <c r="G9" i="15"/>
  <c r="F9" i="15"/>
  <c r="E9" i="15"/>
  <c r="D9" i="15"/>
  <c r="C9" i="15"/>
  <c r="B9" i="15"/>
  <c r="G8" i="15"/>
  <c r="F8" i="15"/>
  <c r="E8" i="15"/>
  <c r="D8" i="15"/>
  <c r="C8" i="15"/>
  <c r="B8" i="15"/>
  <c r="G7" i="15"/>
  <c r="F7" i="15"/>
  <c r="E7" i="15"/>
  <c r="D7" i="15"/>
  <c r="C7" i="15"/>
  <c r="B7" i="15"/>
  <c r="G6" i="15"/>
  <c r="F6" i="15"/>
  <c r="E6" i="15"/>
  <c r="D6" i="15"/>
  <c r="C6" i="15"/>
  <c r="B6" i="15"/>
  <c r="K70" i="2"/>
  <c r="J70" i="2"/>
  <c r="L70" i="2" s="1"/>
  <c r="I70" i="2"/>
  <c r="K69" i="2"/>
  <c r="J69" i="2"/>
  <c r="L69" i="2" s="1"/>
  <c r="I69" i="2"/>
  <c r="K68" i="2"/>
  <c r="J68" i="2"/>
  <c r="L68" i="2" s="1"/>
  <c r="I68" i="2"/>
  <c r="L64" i="2"/>
  <c r="L63" i="2"/>
  <c r="L62" i="2"/>
  <c r="L61" i="2"/>
  <c r="L60" i="2"/>
  <c r="L59" i="2"/>
  <c r="L58" i="2"/>
  <c r="L57" i="2"/>
  <c r="L56" i="2"/>
  <c r="L55" i="2"/>
  <c r="L54" i="2"/>
  <c r="L53" i="2"/>
  <c r="L52" i="2"/>
  <c r="L51" i="2"/>
  <c r="L50" i="2"/>
  <c r="L49" i="2"/>
  <c r="L48" i="2"/>
  <c r="L47" i="2"/>
  <c r="L46" i="2"/>
  <c r="L45" i="2"/>
  <c r="L44" i="2"/>
  <c r="L43" i="2"/>
  <c r="L42" i="2"/>
  <c r="L41" i="2"/>
  <c r="L40" i="2"/>
  <c r="L39" i="2"/>
  <c r="L38" i="2"/>
  <c r="L37" i="2"/>
  <c r="L36" i="2"/>
  <c r="L35" i="2"/>
  <c r="L34" i="2"/>
  <c r="L33" i="2"/>
  <c r="L32" i="2"/>
  <c r="L31" i="2"/>
  <c r="L30" i="2"/>
  <c r="L29" i="2"/>
  <c r="L28" i="2"/>
  <c r="L27" i="2"/>
  <c r="L26" i="2"/>
  <c r="L25" i="2"/>
  <c r="L24" i="2"/>
  <c r="L23" i="2"/>
  <c r="L22" i="2"/>
  <c r="L21" i="2"/>
  <c r="L20" i="2"/>
  <c r="L19" i="2"/>
  <c r="L18" i="2"/>
  <c r="L17" i="2"/>
  <c r="L16" i="2"/>
  <c r="L15" i="2"/>
  <c r="L14" i="2"/>
  <c r="L13" i="2"/>
  <c r="L12" i="2"/>
  <c r="L11" i="2"/>
  <c r="L10" i="2"/>
  <c r="L9" i="2"/>
  <c r="L8" i="2"/>
  <c r="L7" i="2"/>
  <c r="L6" i="2"/>
  <c r="E21" i="14"/>
  <c r="G21" i="14" s="1"/>
  <c r="D21" i="14"/>
  <c r="F21" i="14" s="1"/>
  <c r="C21" i="14"/>
  <c r="E20" i="14"/>
  <c r="G20" i="14" s="1"/>
  <c r="D20" i="14"/>
  <c r="F20" i="14" s="1"/>
  <c r="C20" i="14"/>
  <c r="E19" i="14"/>
  <c r="G19" i="14" s="1"/>
  <c r="D19" i="14"/>
  <c r="F19" i="14" s="1"/>
  <c r="C19" i="14"/>
  <c r="H15" i="14"/>
  <c r="G15" i="14"/>
  <c r="F15" i="14"/>
  <c r="E15" i="14"/>
  <c r="D15" i="14"/>
  <c r="F14" i="14"/>
  <c r="H14" i="14" s="1"/>
  <c r="E14" i="14"/>
  <c r="G14" i="14" s="1"/>
  <c r="D14" i="14"/>
  <c r="F13" i="14"/>
  <c r="H13" i="14" s="1"/>
  <c r="E13" i="14"/>
  <c r="G13" i="14" s="1"/>
  <c r="D13" i="14"/>
  <c r="F12" i="14"/>
  <c r="H12" i="14" s="1"/>
  <c r="E12" i="14"/>
  <c r="G12" i="14" s="1"/>
  <c r="D12" i="14"/>
  <c r="D7" i="14"/>
  <c r="F7" i="14" s="1"/>
  <c r="C7" i="14"/>
  <c r="E7" i="14" s="1"/>
  <c r="B7" i="14"/>
  <c r="D6" i="14"/>
  <c r="D8" i="14" s="1"/>
  <c r="C6" i="14"/>
  <c r="C8" i="14" s="1"/>
  <c r="B6" i="14"/>
  <c r="B8" i="14" s="1"/>
  <c r="E8" i="14" l="1"/>
  <c r="F8" i="14"/>
  <c r="F6" i="14"/>
  <c r="G87" i="15"/>
  <c r="G89" i="15" s="1"/>
  <c r="E6" i="14"/>
  <c r="F69" i="15"/>
  <c r="G24" i="15"/>
  <c r="G27" i="15" s="1"/>
  <c r="F41" i="15"/>
  <c r="G52" i="15"/>
  <c r="G55" i="15" s="1"/>
  <c r="G76" i="15"/>
  <c r="G79" i="15" s="1"/>
</calcChain>
</file>

<file path=xl/sharedStrings.xml><?xml version="1.0" encoding="utf-8"?>
<sst xmlns="http://schemas.openxmlformats.org/spreadsheetml/2006/main" count="1554" uniqueCount="418">
  <si>
    <t>2026-04-13</t>
  </si>
  <si>
    <t>2026-04-20</t>
  </si>
  <si>
    <t>2026-05-04</t>
  </si>
  <si>
    <t>2026-05-28</t>
  </si>
  <si>
    <t>Total</t>
  </si>
  <si>
    <t>Critical Mesentery Hole/Laceration (&gt;0.5")</t>
  </si>
  <si>
    <t>Bladder Laceration (exposing internal)</t>
  </si>
  <si>
    <t>Rank</t>
  </si>
  <si>
    <t>Slaughterhouse</t>
  </si>
  <si>
    <t>Inspector</t>
  </si>
  <si>
    <t>SH Tech</t>
  </si>
  <si>
    <t>Martins</t>
  </si>
  <si>
    <t>Toni</t>
  </si>
  <si>
    <t>Jesus</t>
  </si>
  <si>
    <t>5502378434</t>
  </si>
  <si>
    <t>5502378430</t>
  </si>
  <si>
    <t>666541</t>
  </si>
  <si>
    <t>666506</t>
  </si>
  <si>
    <t>5502391862</t>
  </si>
  <si>
    <t>5502391858</t>
  </si>
  <si>
    <t>5502404928</t>
  </si>
  <si>
    <t>5502404924</t>
  </si>
  <si>
    <t>5502421192</t>
  </si>
  <si>
    <t>5502421188</t>
  </si>
  <si>
    <t>2026-05-27</t>
  </si>
  <si>
    <t>—</t>
  </si>
  <si>
    <t>Parks Family Meats</t>
  </si>
  <si>
    <t>Rasmin</t>
  </si>
  <si>
    <t>Natalie</t>
  </si>
  <si>
    <t>(no batch data)</t>
  </si>
  <si>
    <t>666518</t>
  </si>
  <si>
    <t>5502428786</t>
  </si>
  <si>
    <t>5502428782</t>
  </si>
  <si>
    <t>2026-06-02</t>
  </si>
  <si>
    <t>Harvest Date</t>
  </si>
  <si>
    <t>Lot</t>
  </si>
  <si>
    <t># Inspected</t>
  </si>
  <si>
    <t># Pass</t>
  </si>
  <si>
    <t># Fail</t>
  </si>
  <si>
    <t>Intact</t>
  </si>
  <si>
    <t>1 hole in bowel; 1 label marked for thin area in bowel</t>
  </si>
  <si>
    <t>2026-04-15</t>
  </si>
  <si>
    <t>2 blood clots (moved to non-intact); 2 scrapped for cut in urethra</t>
  </si>
  <si>
    <t>Non-intact</t>
  </si>
  <si>
    <t>3 labels used for thin area in bowel (ran out of labels)</t>
  </si>
  <si>
    <t>Ran out of time (bagging set for later; SH tech start time changed to 8:00–4:30 PM)</t>
  </si>
  <si>
    <t>2026-04-22</t>
  </si>
  <si>
    <t>1 damaged bowel</t>
  </si>
  <si>
    <t>2 damaged after cleaning</t>
  </si>
  <si>
    <t>2 damaged bowel</t>
  </si>
  <si>
    <t>1 damaged urethra</t>
  </si>
  <si>
    <t>2026-05-06</t>
  </si>
  <si>
    <t>3 damaged urethra</t>
  </si>
  <si>
    <t>1 small bladder</t>
  </si>
  <si>
    <t>2026-05-18</t>
  </si>
  <si>
    <t>3 cut urethra; 1 short block</t>
  </si>
  <si>
    <t>2026-05-21</t>
  </si>
  <si>
    <t>2 cut urethra</t>
  </si>
  <si>
    <t>1 deformed ligaments clumped together</t>
  </si>
  <si>
    <t>1 damaged membrane and ureter</t>
  </si>
  <si>
    <t>1 hole in bowel; 2 membrane damage &gt;0.5"</t>
  </si>
  <si>
    <t>4 mesentery length too short in critical zone; 1 bladder damage (internals exposed)</t>
  </si>
  <si>
    <t>2026-06-01</t>
  </si>
  <si>
    <t>2026-06-03</t>
  </si>
  <si>
    <t>2 scrapped urethra</t>
  </si>
  <si>
    <t>1. 666506 = non-intact</t>
  </si>
  <si>
    <t>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</si>
  <si>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2. Different lot suffixes for intact vs non-intact</t>
  </si>
  <si>
    <t>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</si>
  <si>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3. 'Ran out of time' event on 04/20</t>
  </si>
  <si>
    <t>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</si>
  <si>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4. 'Damaged urethra' dominates Visit 3</t>
  </si>
  <si>
    <t>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</si>
  <si>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5. Long truck wait on 05/04 (Visit 3)</t>
  </si>
  <si>
    <t>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</si>
  <si>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6. Source file typos</t>
  </si>
  <si>
    <t>Source tally sheets carry '25026' instead of '2026' in the Date and Kill Date fields (Harvest Date is correct). Not reflected here — clean dates used throughout. One-line correction in the tally-sheet template would fix it going forward.</t>
  </si>
  <si>
    <t>7. Stage-to-stage scope</t>
  </si>
  <si>
    <t>Three lots now have BOTH SH and ATM data: 5502378434, 5502391862, and 5502404928. The 666506 non-intact lots remain untracked at ATM. As lots accumulate, the SH-vs-ATM yield gap is the cleanest available proxy for freeze/thaw/transport damage.</t>
  </si>
  <si>
    <t>9. Lot 5502421192 reused on the 05/27 sheet</t>
  </si>
  <si>
    <t>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</si>
  <si>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10. New slaughterhouse &amp; inspection team (Parks, 05/28)</t>
  </si>
  <si>
    <t>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</si>
  <si>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11. Visit 7 harvest-date split (06/01 vs 06/03)</t>
  </si>
  <si>
    <t>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</si>
  <si>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12. New visits 7 (Martins) &amp; 8 (Parks)</t>
  </si>
  <si>
    <t>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</si>
  <si>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Description</t>
  </si>
  <si>
    <t>Parks</t>
  </si>
  <si>
    <t>GRAND TOTAL</t>
  </si>
  <si>
    <t>Count</t>
  </si>
  <si>
    <t>Metric</t>
  </si>
  <si>
    <t>Defect Atlas — Visual Reference</t>
  </si>
  <si>
    <t>Visual reference for inspector training and supplier feedback. Each section pairs the defect category with the original IQC reference photo. Use the right-hand column to record which canonical defect category each photo maps to.</t>
  </si>
  <si>
    <t>1. Bladder Laceration exposing internal surfaces</t>
  </si>
  <si>
    <t>Reference photo</t>
  </si>
  <si>
    <t>Canonical defect category</t>
  </si>
  <si>
    <t>Inspector notes</t>
  </si>
  <si>
    <t>Per spec 668741-RevD §6.1.2. Right-hand panel shows a normal bladder for contrast. Exposing the inner mucosa is the disqualifier — surface scratches that do not penetrate are acceptable.</t>
  </si>
  <si>
    <t>2. Bladder Length Undersize  +  Urethra Laceration</t>
  </si>
  <si>
    <t>Bladder Length Undersize  /  Urethra Laceration (exposing internal)</t>
  </si>
  <si>
    <t>Top: bladder measured below the lower spec limit (was &lt;3", relaxed to &lt;2" on 2026-03-23). Bottom: urethral laceration that exposes the lumen vs one that does not. Only lumen-exposing lacerations are scrapped.</t>
  </si>
  <si>
    <t>3. Urethra Laceration  +  Mesentery Laceration in critical area</t>
  </si>
  <si>
    <t>Urethra Laceration (exposing internal)  /  Critical Mesentery Hole/Laceration (&gt;0.5")</t>
  </si>
  <si>
    <t>Top-right: a missing urethral segment with a corresponding hole in the vagina — full disqualifier. Bottom: mesenteric membrane perforation in the critical area exceeding 0.5" diameter.</t>
  </si>
  <si>
    <t>4. Mesentery Laceration in critical area</t>
  </si>
  <si>
    <t>Multiple holes visible in the critical zone. Common at Martins early in the period (17 units on 2026-02-23) and again on 2026-03-16 (18 units) and 2026-04-20 (18 units). Pattern suggests harvest tool / technique variability rather than animal variability.</t>
  </si>
  <si>
    <t>5. Mesentery Critical Area — Example 1 (PN 666540 Male)</t>
  </si>
  <si>
    <t>Reference example for the male part. Spec ref: 668741 Rev E §6.1.4 – 6.1.4.1.</t>
  </si>
  <si>
    <t>6. Mesentery Critical Area — Examples 1-1 and 1-2 (PN 666541 Female)</t>
  </si>
  <si>
    <t>Reference examples for the female part, dated 2026-03-18. Spec ref: 668741 Rev E §6.1.4 – 6.1.4.1. Useful for inspector calibration sessions.</t>
  </si>
  <si>
    <t>Pelvic Blocks — Incoming Quality Control Reconstruction</t>
  </si>
  <si>
    <t>Period covered</t>
  </si>
  <si>
    <t>2026-02-09 through 2026-04-20 (11 weeks)</t>
  </si>
  <si>
    <t>Parts in scope</t>
  </si>
  <si>
    <t>666541 DV Tech Pelvic Block (Female – Martins)</t>
  </si>
  <si>
    <t>666540 DV Tech Pelvic Block (Male – Martins)</t>
  </si>
  <si>
    <t>666518 DV Tech Pelvic Block (Female – Parks)</t>
  </si>
  <si>
    <t>Slaughterhouses</t>
  </si>
  <si>
    <t>Martins (NC), Parks (NC)</t>
  </si>
  <si>
    <t>Source</t>
  </si>
  <si>
    <t>Reconstructed from IQC screenshots (CAPA 2026-01 dataset)</t>
  </si>
  <si>
    <t>WORKBOOK MAP</t>
  </si>
  <si>
    <t>Sheet</t>
  </si>
  <si>
    <t>Purpose</t>
  </si>
  <si>
    <t>Receipt Summary</t>
  </si>
  <si>
    <t>One row per receipt event with totals and rejection rate. Sorted by date. Conditional formatting highlights rejection-rate spikes.</t>
  </si>
  <si>
    <t>Master Data</t>
  </si>
  <si>
    <t>Long-format defect log: one row per (date × lot × defect). The single source of truth — every other sheet pivots from this.</t>
  </si>
  <si>
    <t>Defect Pivot 666541-F</t>
  </si>
  <si>
    <t>Defect counts × date for the female part at Martins. Rows = canonical defect; columns = receipt date.</t>
  </si>
  <si>
    <t>Defect Pivot 666540-M</t>
  </si>
  <si>
    <t>Same view for the male part at Martins.</t>
  </si>
  <si>
    <t>Defect Pivot 666518-F</t>
  </si>
  <si>
    <t>Same view for the female part at Parks.</t>
  </si>
  <si>
    <t>Supplier Comparison</t>
  </si>
  <si>
    <t>Martins vs Parks side-by-side: receipts, scrap, rejection rate, top-3 defects per supplier.</t>
  </si>
  <si>
    <t>Defect Atlas</t>
  </si>
  <si>
    <t>Visual reference for each defect category. Use during inspector training and supplier feedback.</t>
  </si>
  <si>
    <t>READING NOTES — IMPORTANT</t>
  </si>
  <si>
    <t>Spec drift</t>
  </si>
  <si>
    <t>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</si>
  <si>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Bladder length</t>
  </si>
  <si>
    <t>Lower spec changed from &lt;3" (Feb-Mar) to &lt;2" (late Mar onward). This will show as a sudden drop in the 'Bladder Length Undersize' line that is NOT a real quality improvement — it is a spec relaxation.</t>
  </si>
  <si>
    <t>New spec</t>
  </si>
  <si>
    <t>'Length of ≤7" of mesentery membrane from bladder neck' first appears 2026-03-30. Not a new defect — a newly-measured one.</t>
  </si>
  <si>
    <t>'Bood Clot'</t>
  </si>
  <si>
    <t>Source spec carries this typo. Normalized to 'Blood Clot' in the canonical category.</t>
  </si>
  <si>
    <t>Lot field</t>
  </si>
  <si>
    <t>Where lot number was not legible on the source screenshot, it is recorded as '(not recorded)'. The 2026-03-02 666541 batch with 160 units is labeled '(batch A)' to distinguish it from the 50-unit lot 5502291197 from the same date.</t>
  </si>
  <si>
    <t>Quality Dashboard — by Tissue Type, Part &amp; Slaughterhouse</t>
  </si>
  <si>
    <t>First-pass yield across all SH-floor incoming inspections (pre-freeze), Apr–Aug 2026. Live from the Inspection Log on the Slaughterhouse IQC tab. FPY = Pass / Inspected; Scrap % = Fail / Inspected.</t>
  </si>
  <si>
    <t>BY TISSUE TYPE</t>
  </si>
  <si>
    <t>Tissue Type</t>
  </si>
  <si>
    <t>First-Pass Yield</t>
  </si>
  <si>
    <t>Scrap %</t>
  </si>
  <si>
    <t>Pelvic</t>
  </si>
  <si>
    <t>Thoracic</t>
  </si>
  <si>
    <t>BY PART</t>
  </si>
  <si>
    <t>Part #</t>
  </si>
  <si>
    <t>Date span</t>
  </si>
  <si>
    <t>Pelvic block, intact</t>
  </si>
  <si>
    <t>Martins / Parks / Nahunta</t>
  </si>
  <si>
    <t>4/13 – 8/17</t>
  </si>
  <si>
    <t>Pelvic block, non-intact</t>
  </si>
  <si>
    <t>Pelvic block, intact (SM)</t>
  </si>
  <si>
    <t>5/28 – 7/30</t>
  </si>
  <si>
    <t>666521</t>
  </si>
  <si>
    <t>Thoracic (lung / heart)</t>
  </si>
  <si>
    <t>Nahunta</t>
  </si>
  <si>
    <t>7/29 – 8/19</t>
  </si>
  <si>
    <t>BY SLAUGHTERHOUSE</t>
  </si>
  <si>
    <t>Tissue / parts</t>
  </si>
  <si>
    <t>Pelvic 541 / 506</t>
  </si>
  <si>
    <t>Pelvic 518 → 541</t>
  </si>
  <si>
    <t>Thoracic 521 + pelvic 541</t>
  </si>
  <si>
    <t>TISSUE / PART READ</t>
  </si>
  <si>
    <t>666541 — Pelvic, intact · ~94% FPY (Martins / Parks / Nahunta)</t>
  </si>
  <si>
    <t>Performance-goal part. Steady ~95% at Martins; Parks now runs 666541 too (from 08/10). A provisional Nahunta 8/12 pelvic line (13/1/12) drags the average — see note 25. Rejects: urethra/bladder &amp; membrane damage, short blocks.</t>
  </si>
  <si>
    <t>666506 — Pelvic, non-intact · ~96% FPY (Martins)</t>
  </si>
  <si>
    <t>Tighter spec, best yield of the group. Rejects: membrane/urethra damage, a couple early blood clots.</t>
  </si>
  <si>
    <t>666518 — Pelvic, intact SM · ~84% FPY (Parks)</t>
  </si>
  <si>
    <t>Batch-less Parks pelvic; Parks transitioned to 666541 by mid-August. Through 07/30 ~84%, driven by short blocks and mesentery/ureter damage. See the Parks deep-dive deck.</t>
  </si>
  <si>
    <t>666521 — Thoracic · ~18% FPY (Nahunta)  — WORSENING</t>
  </si>
  <si>
    <t>Thoracic at Nahunta, declining: 32% (7/29) → 0% (8/5) → 15% (8/12) → 21% (8/19). Right-lung perimeter and now heart lacerations, harvesting-side. Escalated with Ricardo; heart lacerations (inspector-side) now the main gap.</t>
  </si>
  <si>
    <t>SH IQC Inspections — Slaughterhouse-Floor Incoming Quality</t>
  </si>
  <si>
    <t>Post-harvest, pre-freeze inspections at the slaughterhouse — all tissue types and parts. 59 part-inspections across 39 visit-days · 3 slaughterhouses (Martins, Parks, Nahunta) · Apr 13 – Aug 19, 2026. One row per part per harvest date.</t>
  </si>
  <si>
    <t>INSPECTION LOG</t>
  </si>
  <si>
    <t>Scrap reason / notes</t>
  </si>
  <si>
    <t/>
  </si>
  <si>
    <t>Intact (SM)</t>
  </si>
  <si>
    <t>2026-06-08</t>
  </si>
  <si>
    <t>1 short block</t>
  </si>
  <si>
    <t>1 cut urethra</t>
  </si>
  <si>
    <t>2026-06-15</t>
  </si>
  <si>
    <t>5502462845</t>
  </si>
  <si>
    <t>1 damaged bowel (source had two intact tally lines: 13/12/1 + 18/18/0, combined here)</t>
  </si>
  <si>
    <t>2026-06-16</t>
  </si>
  <si>
    <t>1 bladder hole; 1 ureter damage (many blocks failed upstream from miscuts during removal — see notes)</t>
  </si>
  <si>
    <t>2026-06-22</t>
  </si>
  <si>
    <t>1 bladder hole; 2 critical-area lacerations; 2 short blocks</t>
  </si>
  <si>
    <t>2026-06-24</t>
  </si>
  <si>
    <t>1 damaged bladder; 3 damaged membrane</t>
  </si>
  <si>
    <t>2026-06-25</t>
  </si>
  <si>
    <t>1 bladder hole; 1 ureter laceration; 1 short block</t>
  </si>
  <si>
    <t>2026-06-29</t>
  </si>
  <si>
    <t>5502471457</t>
  </si>
  <si>
    <t>2 damaged during bowel cleaning (bowel blockage burst); 2 short blocks; 1 critical-area laceration; 7 urethra/bladder lacerations (cuts near template edge)</t>
  </si>
  <si>
    <t>5502471460</t>
  </si>
  <si>
    <t>2026-07-06</t>
  </si>
  <si>
    <t>1 membrane damage larger than 1.5"</t>
  </si>
  <si>
    <t>2026-07-13</t>
  </si>
  <si>
    <t>5502495104</t>
  </si>
  <si>
    <t>2 damaged during bowel cleaning (bowel blockage burst); 3 short blocks (smaller pigs)</t>
  </si>
  <si>
    <t>5502495107</t>
  </si>
  <si>
    <t>1 damaged membrane; 1 damaged bladder</t>
  </si>
  <si>
    <t>2026-07-16</t>
  </si>
  <si>
    <t>2 short (bowel snapped before cut to length); 2 holes in mesentery critical area</t>
  </si>
  <si>
    <t>2026-07-20</t>
  </si>
  <si>
    <t>1 large membrane damage</t>
  </si>
  <si>
    <t>1 deformed bladder documented; source #Fail cell read 1, but 65 inspected − 63 pass = 2 → 1 reject undocumented (confirm)</t>
  </si>
  <si>
    <t>2026-07-27</t>
  </si>
  <si>
    <t>5502512225</t>
  </si>
  <si>
    <t>1 ureter damage; 1 mesentery hole in critical area &gt;0.5"; 1 bowel-colon separation past critical area</t>
  </si>
  <si>
    <t>5502512228</t>
  </si>
  <si>
    <t>1 damaged membrane larger than 0.5"</t>
  </si>
  <si>
    <t>2026-07-29</t>
  </si>
  <si>
    <t>Kris</t>
  </si>
  <si>
    <t>Jordan</t>
  </si>
  <si>
    <t>Lung / heart</t>
  </si>
  <si>
    <t>5502512218</t>
  </si>
  <si>
    <t>11 right-lung lacerations (mostly along the perimeter); 2 heart damage; 1 accepted with two sub-4cm perimeter lacerations that did not connect. Majority of damage attributed to the harvesting side.</t>
  </si>
  <si>
    <t>2026-07-30</t>
  </si>
  <si>
    <t>1 pelvic block short (majority of pigs received were male → lower numbers)</t>
  </si>
  <si>
    <t>2026-08-03</t>
  </si>
  <si>
    <t>2026-08-05</t>
  </si>
  <si>
    <t>11 right-lung lacerations (mostly along perimeter); 4 heart damage. Majority of damage harvesting-side; two units had no lung laceration but failed on heart.</t>
  </si>
  <si>
    <t>1 damaged membrane; 1 hole in bowel</t>
  </si>
  <si>
    <t>2026-08-10</t>
  </si>
  <si>
    <t>5502523266</t>
  </si>
  <si>
    <t>5502523269</t>
  </si>
  <si>
    <t>2 urethra damage</t>
  </si>
  <si>
    <t>No failures this day.</t>
  </si>
  <si>
    <t>2026-08-12</t>
  </si>
  <si>
    <t>5502523283</t>
  </si>
  <si>
    <t>9 right-lung lacerations; 3 heart damage (breakdown sums to 12 vs 11 recorded). No left-lung damage seen; requested Ricardo shadow next visit.</t>
  </si>
  <si>
    <t>Pelvic deprioritized — Jordan harvests other components first; no per-defect breakdown recorded (PROVISIONAL — confirm)</t>
  </si>
  <si>
    <t>2026-08-14</t>
  </si>
  <si>
    <t>Bowel separated from mesentery past the critical point</t>
  </si>
  <si>
    <t>2026-08-17</t>
  </si>
  <si>
    <t>1 hole in bowel (ran out of pigs, 3-hr wait, truck late)</t>
  </si>
  <si>
    <t>2026-08-19</t>
  </si>
  <si>
    <t>11 right-lung lacerations; 12 heart damage. Ricardo meeting reduced lung lacerations only until first break; heart lacerations (inspector-side) now the next gap.</t>
  </si>
  <si>
    <t>TOTALS BY TISSUE TYPE</t>
  </si>
  <si>
    <t>GRAND TOTAL (all tissue types)</t>
  </si>
  <si>
    <t>ATM RECEIPT COMPARISON</t>
  </si>
  <si>
    <t>Reserved for ATM (post-freeze receipt) inspection data. ATM data is no longer batch/lot-linked, so it will be compared by tissue type / part and time window rather than by lot. Populated when ATM data arrives.</t>
  </si>
  <si>
    <t>NOTES &amp; DATA CONVENTIONS</t>
  </si>
  <si>
    <t>8. Inspection coverage</t>
  </si>
  <si>
    <t>59 part-inspections across 39 visit-days and 3 slaughterhouses (Martins ×23, Parks ×12, Nahunta ×4), Apr 13 – Aug 19 2026. Tissue types: Pelvic (parts 666541/666506/666518) and Thoracic (666521). To extend, append rows to the log; the SUMIF/SUM ranges auto-cover them.</t>
  </si>
  <si>
    <t>13. New visits 9–12 (06/08–06/24)</t>
  </si>
  <si>
    <t>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</si>
  <si>
    <t>14. Lot-number carry-over recurs (Visits 9 &amp; 12)</t>
  </si>
  <si>
    <t>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</si>
  <si>
    <t>15. Visit 10 (06/15) — two intact tally lines combined; no non-intact</t>
  </si>
  <si>
    <t>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</si>
  <si>
    <t>16. Visit 11 (06/16 Parks) — heavy upstream miscut losses</t>
  </si>
  <si>
    <t>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</si>
  <si>
    <t>17. New Parks visits 13 (06/22) &amp; 14 (06/25)</t>
  </si>
  <si>
    <t>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</si>
  <si>
    <t>18. New visits 15–19 (06/29–07/13); two Parks fail-count corrections</t>
  </si>
  <si>
    <t>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the standing Martins inspector.</t>
  </si>
  <si>
    <t>19. Visit 19 (Parks) harvest-date ambiguity</t>
  </si>
  <si>
    <t>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</si>
  <si>
    <t>20. New visits 20–23 (07/20–07/30); first thoracic &amp; new slaughterhouse</t>
  </si>
  <si>
    <t>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</si>
  <si>
    <t>21. Visit 20 (07/20 Martins 666541) count discrepancy</t>
  </si>
  <si>
    <t>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</si>
  <si>
    <t>22. Workbook redesign</t>
  </si>
  <si>
    <t>Single tissue-agnostic inspection log (all tissue types in one chronological table) with tissue-type subtotals and a grand total covering every tissue type; metrics broken out by Tissue Type, Part and Slaughterhouse on the Quality Dashboard. The ATM Tableau tab and the legacy ATM-side analysis tabs (Receipt Summary, Master Data, Defect Pivots, Supplier Comparison, Defect Trends) were removed; ATM receipt data will be re-added in a batch-less format.</t>
  </si>
  <si>
    <t>23. August batch (07/16–08/19) &amp; de-duplication</t>
  </si>
  <si>
    <t>Added 15 new part-inspections across Martins, Parks and Nahunta. Re-sent sheets for 07/20, 07/27, 07/29 (thoracic) and 07/30 were matched to existing rows, not double-counted. Flags: Martins 08/03–08/05 lot recorded 5502512228 (source read '550251228', one digit dropped); Parks 07/16 harvest date taken from the filename/kill date (sheet Date field read 06/13 — typo); Parks 08/10 dated per filename (sheet Date field read 08/14).</t>
  </si>
  <si>
    <t>24. Parks spec transition 666518 → 666541</t>
  </si>
  <si>
    <t>Parks pelvic blocks are now received under PN 666541 (from 08/10); earlier Parks visits used 668518 → 666518. Both are Pelvic tissue; the by-part view now shows 666541 at Martins, Parks and Nahunta.</t>
  </si>
  <si>
    <t>25. Nahunta thoracic (666521) trend &amp; pelvic line</t>
  </si>
  <si>
    <t>First-pass yield fell 32% (7/29) → 0% (8/5) → 15% (8/12) → 21% (8/19); right-lung perimeter and increasingly heart lacerations dominate (harvesting-side; escalated with Ricardo). The 8/12 pelvic 666541 line reads 13/1/12 with no per-defect breakdown (pelvics deprioritized — Jordan harvests other components first); treat as provisional, confirm.</t>
  </si>
  <si>
    <t>Monthly Breakdown — Inspections by Tissue × Slaughterhouse</t>
  </si>
  <si>
    <t>Month-by-month view of every tissue-type / slaughterhouse / part combination: volumes, first-pass yield, and the issues found (scrap reasons normalized into standard defect categories). Apr–Aug 2026. Volume rows are live formulas over the Inspection Log; defect counts are analyst-categorized from the scrap notes (see notes at bottom).</t>
  </si>
  <si>
    <t>OVERVIEW — FIRST-PASS YIELD BY MONTH</t>
  </si>
  <si>
    <t>Tissue @ SH · Part</t>
  </si>
  <si>
    <t>April</t>
  </si>
  <si>
    <t>May</t>
  </si>
  <si>
    <t>June</t>
  </si>
  <si>
    <t>July</t>
  </si>
  <si>
    <t>August</t>
  </si>
  <si>
    <t>Pelvic @ Martins · 666541</t>
  </si>
  <si>
    <t>Pelvic @ Martins · 666506</t>
  </si>
  <si>
    <t>Pelvic @ Parks · 666518</t>
  </si>
  <si>
    <t>Pelvic @ Parks · 666541</t>
  </si>
  <si>
    <t>Pelvic @ Nahunta · 666541</t>
  </si>
  <si>
    <t>Thoracic @ Nahunta · 666521</t>
  </si>
  <si>
    <t>OVERVIEW — ISSUES FOUND (# FAILED) BY MONTH</t>
  </si>
  <si>
    <t>PELVIC @ MARTINS — 666541 (intact)</t>
  </si>
  <si>
    <t>Issues found (defect category counts)</t>
  </si>
  <si>
    <t xml:space="preserve">   Urethra / bladder damage</t>
  </si>
  <si>
    <t xml:space="preserve">   Membrane damage</t>
  </si>
  <si>
    <t xml:space="preserve">   Bowel damage / separation</t>
  </si>
  <si>
    <t xml:space="preserve">   Short block / mesentery length</t>
  </si>
  <si>
    <t xml:space="preserve">   Other / unspecified</t>
  </si>
  <si>
    <t xml:space="preserve">   Total issues</t>
  </si>
  <si>
    <t>PELVIC @ MARTINS — 666506 (non-intact)</t>
  </si>
  <si>
    <t>PELVIC @ PARKS — 666518 (intact, SM)</t>
  </si>
  <si>
    <t xml:space="preserve">   Critical-area laceration</t>
  </si>
  <si>
    <t xml:space="preserve">   Ureter damage</t>
  </si>
  <si>
    <t>PELVIC @ PARKS — 666541 (intact — spec transition, from 08/10)</t>
  </si>
  <si>
    <t>PELVIC @ NAHUNTA — 666541 (intact — side line)</t>
  </si>
  <si>
    <t>THORACIC @ NAHUNTA — 666521 (lung / heart)</t>
  </si>
  <si>
    <t xml:space="preserve">   Lung laceration</t>
  </si>
  <si>
    <t xml:space="preserve">   Heart damage</t>
  </si>
  <si>
    <t>NOTES</t>
  </si>
  <si>
    <t>• Defect categories normalize free-text scrap reasons: blood clots and 'damaged after cleaning' → Other; bowel-cleaning bursts and bowel/colon–mesentery separations → Bowel damage / separation; mesentery holes/lacerations in the critical area → Critical-area laceration; 'small bladder' / 'deformed bladder' → Urethra / bladder. Original wording stays in the Inspection Log.</t>
  </si>
  <si>
    <t>• Volume rows (# Inspected / Pass / Fail, FPY) are live formulas over the Inspection Log (rows 6–64) — they update automatically when the log grows within that range. Defect-category counts are analyst-tagged from scrap notes (static snapshot through 08/19); retag new rows when appending.</t>
  </si>
  <si>
    <t>• Known count caveats: Nahunta thoracic 8/12 defect breakdown sums to 12 vs 11 recorded fails (kept as written, so thoracic categorized issues = 50 vs 49 fails in August). Nahunta pelvic 8/12 (13/1/12) has no defect breakdown and is provisional → all 12 in Other/unspecified. Martins 666541 7/20 includes 1 undocumented reject (Other).</t>
  </si>
  <si>
    <t>• Parks runs as two part lines across the spec transition: 666518 through 07/30, 666541 from 08/10 — shown separately by request. Nahunta pelvic is a side line (thoracic is the primary part there).</t>
  </si>
  <si>
    <t>APRIL 2026 — SH IQC Inspections</t>
  </si>
  <si>
    <t>8 part-inspections across 4 harvest days at Martins. Month totals: 181 inspected / 171 pass / 10 fail — first-pass yield 94.5%. Snapshot from the Inspection Log; defect ranking uses the standard categories (see Monthly Breakdown notes).</t>
  </si>
  <si>
    <t>MONTH SUMMARY — BY TISSUE × SLAUGHTERHOUSE</t>
  </si>
  <si>
    <t>Tissue @ SH</t>
  </si>
  <si>
    <t>Top defect this month</t>
  </si>
  <si>
    <t>Pelvic @ Martins</t>
  </si>
  <si>
    <t>Urethra / bladder damage (2)</t>
  </si>
  <si>
    <t>Bowel damage / separation (2)</t>
  </si>
  <si>
    <t>MOST RECURRING DEFECTS — BY TISSUE × SLAUGHTERHOUSE</t>
  </si>
  <si>
    <t>Pelvic @ Martins · 666541 — 6 fails of 122 inspected</t>
  </si>
  <si>
    <t>Defect category</t>
  </si>
  <si>
    <t>% of fails</t>
  </si>
  <si>
    <t>Urethra / bladder damage</t>
  </si>
  <si>
    <t>Bowel damage / separation</t>
  </si>
  <si>
    <t>Other / unspecified</t>
  </si>
  <si>
    <t>Pelvic @ Martins · 666506 — 4 fails of 59 inspected</t>
  </si>
  <si>
    <t>ALL INSPECTIONS THIS MONTH</t>
  </si>
  <si>
    <t>Tissue</t>
  </si>
  <si>
    <t>FPY</t>
  </si>
  <si>
    <t>MAY 2026 — SH IQC Inspections</t>
  </si>
  <si>
    <t>10 part-inspections across 6 harvest days at Martins, Parks. Month totals: 328 inspected / 304 pass / 24 fail — first-pass yield 92.7%. Snapshot from the Inspection Log; defect ranking uses the standard categories (see Monthly Breakdown notes).</t>
  </si>
  <si>
    <t>Urethra / bladder damage (9)</t>
  </si>
  <si>
    <t>Urethra / bladder damage (4)</t>
  </si>
  <si>
    <t>Pelvic @ Parks</t>
  </si>
  <si>
    <t>Short block / mesentery length (4)</t>
  </si>
  <si>
    <t>Pelvic @ Martins · 666541 — 13 fails of 194 inspected</t>
  </si>
  <si>
    <t>Membrane damage</t>
  </si>
  <si>
    <t>Short block / mesentery length</t>
  </si>
  <si>
    <t>Pelvic @ Martins · 666506 — 6 fails of 118 inspected</t>
  </si>
  <si>
    <t>Pelvic @ Parks · 666518 — 5 fails of 16 inspected</t>
  </si>
  <si>
    <t>JUNE 2026 — SH IQC Inspections</t>
  </si>
  <si>
    <t>15 part-inspections across 10 harvest days at Martins, Parks. Month totals: 333 inspected / 302 pass / 31 fail — first-pass yield 90.7%. Snapshot from the Inspection Log; defect ranking uses the standard categories (see Monthly Breakdown notes).</t>
  </si>
  <si>
    <t>Short block / mesentery length (1)</t>
  </si>
  <si>
    <t>Urethra / bladder damage (10)</t>
  </si>
  <si>
    <t>Pelvic @ Martins · 666541 — 8 fails of 152 inspected</t>
  </si>
  <si>
    <t>Pelvic @ Martins · 666506 — 1 fail of 53 inspected</t>
  </si>
  <si>
    <t>Pelvic @ Parks · 666518 — 22 fails of 128 inspected</t>
  </si>
  <si>
    <t>Critical-area laceration</t>
  </si>
  <si>
    <t>Ureter damage</t>
  </si>
  <si>
    <t>JULY 2026 — SH IQC Inspections</t>
  </si>
  <si>
    <t>14 part-inspections across 7 harvest days at Martins, Nahunta, Parks. Month totals: 373 inspected / 339 pass / 34 fail — first-pass yield 90.9%. Snapshot from the Inspection Log; defect ranking uses the standard categories (see Monthly Breakdown notes).</t>
  </si>
  <si>
    <t>Urethra / bladder damage (3)</t>
  </si>
  <si>
    <t>Membrane damage (2)</t>
  </si>
  <si>
    <t>Short block / mesentery length (6)</t>
  </si>
  <si>
    <t>Pelvic @ Nahunta</t>
  </si>
  <si>
    <t>Thoracic @ Nahunta</t>
  </si>
  <si>
    <t>Lung laceration (11)</t>
  </si>
  <si>
    <t>Pelvic @ Martins · 666541 — 6 fails of 161 inspected</t>
  </si>
  <si>
    <t>Pelvic @ Martins · 666506 — 2 fails of 79 inspected</t>
  </si>
  <si>
    <t>Pelvic @ Parks · 666518 — 13 fails of 113 inspected</t>
  </si>
  <si>
    <t>Pelvic @ Nahunta · 666541 — no fails this month (1 inspected, 100% FPY)</t>
  </si>
  <si>
    <t>Thoracic @ Nahunta · 666521 — 13 fails of 19 inspected</t>
  </si>
  <si>
    <t>Lung laceration</t>
  </si>
  <si>
    <t>Heart damage</t>
  </si>
  <si>
    <t>AUGUST 2026 — SH IQC Inspections</t>
  </si>
  <si>
    <t>12 part-inspections across 7 harvest days at Martins, Nahunta, Parks. Month totals: 253 inspected / 186 pass / 67 fail — first-pass yield 73.5%. Snapshot from the Inspection Log; defect ranking uses the standard categories (see Monthly Breakdown notes).</t>
  </si>
  <si>
    <t>Bowel damage / separation (1)</t>
  </si>
  <si>
    <t>Other / unspecified (12)</t>
  </si>
  <si>
    <t>Lung laceration (31)</t>
  </si>
  <si>
    <t>Pelvic @ Martins · 666541 — 5 fails of 137 inspected</t>
  </si>
  <si>
    <t>Pelvic @ Martins · 666506 — no fails this month (13 inspected, 100% FPY)</t>
  </si>
  <si>
    <t>Pelvic @ Parks · 666541 — 1 fail of 33 inspected</t>
  </si>
  <si>
    <t>Pelvic @ Nahunta · 666541 — 12 fails of 13 inspected</t>
  </si>
  <si>
    <t>Other / unspecified (provisional — no breakdown)</t>
  </si>
  <si>
    <t>Thoracic @ Nahunta · 666521 — 49 fails of 57 inspected</t>
  </si>
  <si>
    <t>SmartAssessment — Pelvic Block Quality (Claude analysis)</t>
  </si>
  <si>
    <t>Author: Claude · Compiled 2026-06-26 · Scope: Slaughterhouse IQC visits 1–14 + ATM receipt data. These are working analyst notes and interpretation — verify with Quality before any external/supplier use.</t>
  </si>
  <si>
    <t>1. OBJECTIVE (as understood)</t>
  </si>
  <si>
    <t>Root-cause pelvic-block defects to their point of origin UPSTREAM — before the harvesting tech consolidates the pelvic block, and ideally back to slaughter/evisceration (handling of the main tissue block and GI). Goal: raise HARVESTING FIRST-PASS YIELD = successful pelvic blocks consolidated ÷ main tissue blocks the harvesting tech receives. Active at BOTH suppliers: Parks (already engaged) and Martins (sampling defective pelvics and bringing them to ATM for evaluation/root-cause). This is a yield-improvement / root-cause program, not a supplier down-select.</t>
  </si>
  <si>
    <t>2. THE QUALITY PIPELINE — WHERE YIELD IS LOST</t>
  </si>
  <si>
    <t>Stage model</t>
  </si>
  <si>
    <t>Stage 0  Upstream: slaughter + evisceration; handling of the main tissue block / GI.
Stage 1  Harvesting: SH tech consolidates the pelvic block  ← first major yield loss, today largely UNMEASURED.
Stage 2  SH-floor IQC: our ATM inspector, PRE-freeze — this is the current '# Inspected / Pass / Fail'.
Stage 3  Freeze.
Stage 4  ATM receipt: POST-freeze — the gate tied to performance goals.</t>
  </si>
  <si>
    <t>Key gap</t>
  </si>
  <si>
    <t>The tally sheets only count blocks that REACH our SH inspector. Blocks lost during harvesting (miscuts before presentation) are NOT in the pass/fail counts. See Parks Visit 11 (06/16): '~100 pigs slaughtered, the majority of blocks failed BEFORE reaching IQC due to miscuts during block removal.' That upstream loss IS the harvesting first-pass yield this program targets — and it is currently invisible. RECOMMEND adding two fields to the tally template: (a) main blocks received by harvesting tech, (b) blocks rejected at harvesting before IQC. Then harvesting FPY can be computed instead of inferred from a note.</t>
  </si>
  <si>
    <t>3. PARKS 05/11 CRITICAL-MESENTERY EVENT — ROOT-CAUSE SUCCESS STORY</t>
  </si>
  <si>
    <t>ATM receipt 05/11 (PN 666518): 220 received, 195 scrapped (88.6% rejection), of which 187 were critical mesentery holes/lacerations. This ONE event is 187 of Parks's 218 total critical-mesentery defects across the entire record — it dominates the Parks picture.</t>
  </si>
  <si>
    <t>Confirmed REAL (per Quality). Root cause: a harvesting cut that was dividing the mesentery from the block, plus bowel-area handling issues the slaughterhouse was unaware of. Corrected via training + monitoring; monthly verification calls ongoing.</t>
  </si>
  <si>
    <t>Post-intervention SH-floor visits (05/28 → 06/25) show NO recurrence of catastrophic rejection — yields 69–100%, steady ~84–88% recently. Residual scrap is now dominated by 'short blocks' and 'critical-area lacerations.' Read: the program fixed the catastrophic failure mode; a residual mesentery-length / critical-zone signal remains and is the next root-cause target at Parks.</t>
  </si>
  <si>
    <t>4. WHERE DEFECTS ORIGINATE (origin tagging for root-cause)</t>
  </si>
  <si>
    <t>• Upstream / harvesting (the target of this program): critical mesentery hole/laceration; the mesentery-dividing cut; mesentery length too short (≤7" / 'short block'); bowel, bladder and urethra lacerations from miscuts; blood clots.
• Freeze/thaw-attributable (per Quality — appear POST-thaw at ATM, not at the SH floor): small lacerations. These should NOT be charged to the harvesting tech's FPY; they explain part of the SH→ATM gap.
• Spec / measurement drift (already in the IQC notes): bladder-length lower spec changed &lt;3"→&lt;2"; 'mesentery ≤7"' first measured 03/30.</t>
  </si>
  <si>
    <t>Recommendation</t>
  </si>
  <si>
    <t>When ATM root-cause data arrives, tag each scrapped unit as harvesting-origin vs freeze/thaw-origin vs spec-drift, so the harvesting-FPY metric is not polluted by freeze/thaw damage.</t>
  </si>
  <si>
    <t>5. SH-FLOOR vs ATM YIELD (the stage gap)</t>
  </si>
  <si>
    <t>SH-floor pass (pre-freeze): Martins 94.4% (640/678), Parks 84.0% (79/94).
ATM receipt (post-freeze, rolling): Martins ~85.4% accepted (2119/2481), Parks ~39.8% (167/420) — Parks dominated by the 05/11 event.
The SH→ATM gap is partly REAL freeze/thaw damage (small lacerations) and partly that ATM is a stricter/later gate.</t>
  </si>
  <si>
    <t>Caveat</t>
  </si>
  <si>
    <t>Only 3 lots currently have BOTH SH and ATM data (5502378434, 5502391862, 5502404928). The cleanest freeze/thaw proxy is the SH-pass → ATM-accept delta on MATCHED lots; we need more matched lots — especially post-intervention Parks — before trusting the gap quantitatively.</t>
  </si>
  <si>
    <t>6. 666541 vs 666506 — SPEC CORRECTION</t>
  </si>
  <si>
    <t>Per Quality (06/26): 666506 = pelvic block with the MORE stringent spec; 666541 = the same part, LESS strict, and tied to ATM performance goals — so protecting 666541's ATM yield is the priority metric.</t>
  </si>
  <si>
    <t>⚠ Supersedes earlier assumption</t>
  </si>
  <si>
    <t>This REVERSES the workbook's earlier framing (Slaughterhouse IQC note 1 / README) that treated 666506 as a 'downgrade/recovery' grade. Naming tension to reconcile: the tally sheets label 666541 'intact' and 666506 'non intact,' and some scrap notes say defective units were 'moved to non-intact' — wording that reads like a downgrade, which is hard to square with 666506 being the TIGHTER spec. Worth a one-line confirmation so labels and spec hierarchy agree. (I have NOT edited the old notes — flagging only.)</t>
  </si>
  <si>
    <t>7. DATA-QUALITY CAVEATS AFFECTING THIS ASSESSMENT</t>
  </si>
  <si>
    <t>• Parks SH sample is small (94 units, 5 visits) — supplier comparisons are directional, not statistical.
• ATM Parks data currently ends 05/11, which PRE-DATES the SH-floor inspections (start 05/28) — so there is no clean post-intervention stage-to-stage comparison for Parks yet.
• Lot-number carry-overs (Visits 5, 9, 12) mean some 'lots' repeat across weeks — see IQC notes 9 &amp; 14.
• Several incoming tally dates are volatile =NOW() captures; hand-entered harvest dates were used as authoritative.
• ATM data will soon lose batch numbers (Tableau) — a separate batch-less sheet is planned.</t>
  </si>
  <si>
    <t>8. RECOMMENDED NEXT STEPS</t>
  </si>
  <si>
    <t>1. Add harvesting-FPY capture to the tally template (main blocks received; blocks rejected pre-IQC) so upstream loss is measured, not inferred.
2. Tag ATM scrap by stage-of-origin (harvesting vs freeze/thaw vs spec-drift); keep freeze/thaw small-lacerations out of the harvesting-FPY denominator.
3. Build a matched-lot SH→ATM tracker as more lots gain both stages — prioritize post-intervention Parks lots to verify the 05/11 fix holds through freeze/thaw.
4. Reconcile the 666506 / 'non-intact' naming vs the tighter-spec definition; once confirmed, update IQC note 1 and the README.
5. Continue monthly supplier calls; trend the residual Parks 'short block' / critical-zone signal and the Martins sampled-defect root-causes.
6. When Tableau ATM data lands, link defect categories to stage-of-origin in the new batch-less sheet.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</si>
</sst>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charset val="1"/>
    </font>
    <font>
      <sz val="11"/>
      <color theme="1"/>
      <name val="Calibri"/>
      <family val="2"/>
      <charset val="1"/>
    </font>
    <font>
      <b/>
      <sz val="16"/>
      <color rgb="FF1F3864"/>
      <name val="Calibri"/>
      <family val="2"/>
      <charset val="1"/>
    </font>
    <font>
      <i/>
      <sz val="9"/>
      <color rgb="FF595959"/>
      <name val="Calibri"/>
      <family val="2"/>
      <charset val="1"/>
    </font>
    <font>
      <b/>
      <sz val="12"/>
      <color rgb="FFFFFFFF"/>
      <name val="Calibri"/>
      <family val="2"/>
      <charset val="1"/>
    </font>
    <font>
      <b/>
      <sz val="11"/>
      <color rgb="FFFFFFFF"/>
      <name val="Calibri"/>
      <family val="2"/>
      <charset val="1"/>
    </font>
    <font>
      <sz val="10"/>
      <name val="Calibri"/>
      <family val="2"/>
      <charset val="1"/>
    </font>
    <font>
      <b/>
      <sz val="10"/>
      <name val="Calibri"/>
      <family val="2"/>
      <charset val="1"/>
    </font>
    <font>
      <i/>
      <sz val="10"/>
      <color rgb="FF595959"/>
      <name val="Calibri"/>
      <family val="2"/>
      <charset val="1"/>
    </font>
    <font>
      <b/>
      <sz val="11"/>
      <color rgb="FFC00000"/>
      <name val="Calibri"/>
      <family val="2"/>
      <charset val="1"/>
    </font>
    <font>
      <b/>
      <sz val="11"/>
      <color rgb="FFFFFFFF"/>
      <name val="Calibri"/>
    </font>
  </fonts>
  <fills count="6">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2A2AD4"/>
        <bgColor rgb="FF2A2AD4"/>
      </patternFill>
    </fill>
  </fills>
  <borders count="17">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BFBFBF"/>
      </right>
      <top style="thin">
        <color rgb="FFBFBFBF"/>
      </top>
      <bottom style="thin">
        <color rgb="FFBFBFBF"/>
      </bottom>
      <diagonal/>
    </border>
    <border>
      <left/>
      <right style="medium">
        <color indexed="64"/>
      </right>
      <top style="thin">
        <color rgb="FFBFBFBF"/>
      </top>
      <bottom style="thin">
        <color rgb="FFBFBFBF"/>
      </bottom>
      <diagonal/>
    </border>
    <border>
      <left/>
      <right style="medium">
        <color indexed="64"/>
      </right>
      <top/>
      <bottom/>
      <diagonal/>
    </border>
    <border>
      <left style="medium">
        <color indexed="64"/>
      </left>
      <right style="thin">
        <color rgb="FFBFBFBF"/>
      </right>
      <top style="thin">
        <color rgb="FFBFBFBF"/>
      </top>
      <bottom style="medium">
        <color indexed="64"/>
      </bottom>
      <diagonal/>
    </border>
    <border>
      <left style="thin">
        <color rgb="FFBFBFBF"/>
      </left>
      <right style="thin">
        <color rgb="FFBFBFBF"/>
      </right>
      <top style="thin">
        <color rgb="FFBFBFBF"/>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rgb="FF404040"/>
      </left>
      <right style="thin">
        <color rgb="FF404040"/>
      </right>
      <top style="thin">
        <color rgb="FF404040"/>
      </top>
      <bottom style="thin">
        <color rgb="FF404040"/>
      </bottom>
      <diagonal/>
    </border>
    <border>
      <left style="thin">
        <color rgb="FF404040"/>
      </left>
      <right style="thin">
        <color rgb="FF404040"/>
      </right>
      <top/>
      <bottom/>
      <diagonal/>
    </border>
    <border>
      <left style="thin">
        <color rgb="FF404040"/>
      </left>
      <right style="thin">
        <color rgb="FF404040"/>
      </right>
      <top/>
      <bottom style="thin">
        <color rgb="FF404040"/>
      </bottom>
      <diagonal/>
    </border>
  </borders>
  <cellStyleXfs count="2">
    <xf numFmtId="0" fontId="0" fillId="0" borderId="0"/>
    <xf numFmtId="0" fontId="1" fillId="0" borderId="0"/>
  </cellStyleXfs>
  <cellXfs count="48">
    <xf numFmtId="0" fontId="0" fillId="0" borderId="0" xfId="0"/>
    <xf numFmtId="0" fontId="6" fillId="0" borderId="0" xfId="0" applyFont="1" applyAlignment="1">
      <alignment vertical="top" wrapText="1"/>
    </xf>
    <xf numFmtId="0" fontId="9" fillId="0" borderId="0" xfId="0" applyFont="1" applyAlignment="1">
      <alignment vertical="top" wrapText="1"/>
    </xf>
    <xf numFmtId="0" fontId="8" fillId="0" borderId="0" xfId="0" applyFont="1" applyAlignment="1">
      <alignment vertical="top" wrapText="1"/>
    </xf>
    <xf numFmtId="0" fontId="6" fillId="0" borderId="1" xfId="0" applyFont="1" applyBorder="1" applyAlignment="1">
      <alignment horizontal="left"/>
    </xf>
    <xf numFmtId="0" fontId="6" fillId="0" borderId="1" xfId="0" applyFont="1" applyBorder="1" applyAlignment="1">
      <alignment horizontal="left" wrapText="1"/>
    </xf>
    <xf numFmtId="0" fontId="5" fillId="3" borderId="1" xfId="0" applyFont="1" applyFill="1" applyBorder="1" applyAlignment="1">
      <alignment horizontal="center" wrapText="1"/>
    </xf>
    <xf numFmtId="0" fontId="6" fillId="0" borderId="1" xfId="0" applyFont="1" applyBorder="1" applyAlignment="1">
      <alignment vertical="top" wrapText="1"/>
    </xf>
    <xf numFmtId="0" fontId="7" fillId="0" borderId="1" xfId="0" applyFont="1" applyBorder="1" applyAlignment="1">
      <alignment vertical="top" wrapText="1"/>
    </xf>
    <xf numFmtId="0" fontId="4" fillId="2" borderId="0" xfId="0" applyFont="1" applyFill="1" applyAlignment="1">
      <alignment horizontal="left" vertical="center" indent="1"/>
    </xf>
    <xf numFmtId="0" fontId="3" fillId="0" borderId="0" xfId="0" applyFont="1" applyAlignment="1">
      <alignment vertical="top" wrapText="1"/>
    </xf>
    <xf numFmtId="0" fontId="0" fillId="0" borderId="0" xfId="0"/>
    <xf numFmtId="0" fontId="2" fillId="0" borderId="0" xfId="0" applyFont="1"/>
    <xf numFmtId="0" fontId="2" fillId="0" borderId="0" xfId="0" applyFont="1"/>
    <xf numFmtId="0" fontId="3" fillId="0" borderId="0" xfId="0" applyFont="1" applyAlignment="1">
      <alignment vertical="top" wrapText="1"/>
    </xf>
    <xf numFmtId="0" fontId="4" fillId="2" borderId="0" xfId="0" applyFont="1" applyFill="1" applyAlignment="1">
      <alignment horizontal="left" vertical="center" indent="1"/>
    </xf>
    <xf numFmtId="0" fontId="6" fillId="0" borderId="1" xfId="0" applyFont="1" applyBorder="1" applyAlignment="1">
      <alignment horizontal="left"/>
    </xf>
    <xf numFmtId="0" fontId="6" fillId="0" borderId="1" xfId="0" applyFont="1" applyBorder="1" applyAlignment="1">
      <alignment horizontal="right"/>
    </xf>
    <xf numFmtId="0" fontId="5" fillId="3" borderId="1" xfId="0" applyFont="1" applyFill="1" applyBorder="1" applyAlignment="1">
      <alignment horizontal="center" wrapText="1"/>
    </xf>
    <xf numFmtId="0" fontId="6" fillId="0" borderId="1" xfId="0" applyFont="1" applyBorder="1"/>
    <xf numFmtId="10" fontId="6" fillId="0" borderId="1" xfId="0" applyNumberFormat="1" applyFont="1" applyBorder="1" applyAlignment="1">
      <alignment horizontal="right"/>
    </xf>
    <xf numFmtId="0" fontId="6" fillId="0" borderId="1" xfId="0" applyFont="1" applyBorder="1" applyAlignment="1">
      <alignment horizontal="left" wrapText="1"/>
    </xf>
    <xf numFmtId="0" fontId="7" fillId="4" borderId="1" xfId="0" applyFont="1" applyFill="1" applyBorder="1"/>
    <xf numFmtId="0" fontId="7" fillId="0" borderId="1" xfId="0" applyFont="1" applyBorder="1" applyAlignment="1">
      <alignment vertical="top" wrapText="1"/>
    </xf>
    <xf numFmtId="0" fontId="6" fillId="0" borderId="1" xfId="0" applyFont="1" applyBorder="1" applyAlignment="1">
      <alignment vertical="top" wrapText="1"/>
    </xf>
    <xf numFmtId="0" fontId="1" fillId="0" borderId="0" xfId="0" applyFont="1"/>
    <xf numFmtId="0" fontId="6" fillId="0" borderId="0" xfId="0" applyFont="1" applyAlignment="1">
      <alignment vertical="top" wrapText="1"/>
    </xf>
    <xf numFmtId="0" fontId="7" fillId="0" borderId="0" xfId="0" applyFont="1" applyAlignment="1">
      <alignment vertical="top" wrapText="1"/>
    </xf>
    <xf numFmtId="0" fontId="5" fillId="3" borderId="2" xfId="0" applyFont="1" applyFill="1" applyBorder="1" applyAlignment="1">
      <alignment horizontal="center" vertical="center" wrapText="1"/>
    </xf>
    <xf numFmtId="0" fontId="0" fillId="0" borderId="3" xfId="0" applyBorder="1" applyAlignment="1">
      <alignment horizontal="center" vertical="center" wrapText="1"/>
    </xf>
    <xf numFmtId="0" fontId="4" fillId="2" borderId="4" xfId="0" applyFont="1" applyFill="1" applyBorder="1" applyAlignment="1">
      <alignment horizontal="left" vertical="center" indent="1"/>
    </xf>
    <xf numFmtId="0" fontId="0" fillId="0" borderId="5" xfId="0" applyBorder="1"/>
    <xf numFmtId="0" fontId="0" fillId="0" borderId="6" xfId="0" applyBorder="1"/>
    <xf numFmtId="0" fontId="5" fillId="3" borderId="7" xfId="0" applyFont="1" applyFill="1" applyBorder="1" applyAlignment="1">
      <alignment horizontal="center" wrapText="1"/>
    </xf>
    <xf numFmtId="0" fontId="0" fillId="0" borderId="8" xfId="0" applyBorder="1" applyAlignment="1">
      <alignment horizontal="center" vertical="center" wrapText="1"/>
    </xf>
    <xf numFmtId="0" fontId="6" fillId="0" borderId="7" xfId="0" applyFont="1" applyBorder="1" applyAlignment="1">
      <alignment horizontal="left"/>
    </xf>
    <xf numFmtId="0" fontId="0" fillId="0" borderId="0" xfId="0" applyBorder="1"/>
    <xf numFmtId="0" fontId="0" fillId="0" borderId="9" xfId="0" applyBorder="1"/>
    <xf numFmtId="0" fontId="6" fillId="0" borderId="10" xfId="0" applyFont="1" applyBorder="1" applyAlignment="1">
      <alignment horizontal="left"/>
    </xf>
    <xf numFmtId="0" fontId="6" fillId="0" borderId="11" xfId="0" applyFont="1" applyBorder="1" applyAlignment="1">
      <alignment horizontal="left"/>
    </xf>
    <xf numFmtId="0" fontId="6" fillId="0" borderId="11" xfId="0" applyFont="1" applyBorder="1" applyAlignment="1">
      <alignment horizontal="right"/>
    </xf>
    <xf numFmtId="10" fontId="6" fillId="0" borderId="11" xfId="0" applyNumberFormat="1" applyFont="1" applyBorder="1" applyAlignment="1">
      <alignment horizontal="right"/>
    </xf>
    <xf numFmtId="0" fontId="6" fillId="0" borderId="11" xfId="0" applyFont="1" applyBorder="1" applyAlignment="1">
      <alignment horizontal="left" wrapText="1"/>
    </xf>
    <xf numFmtId="0" fontId="0" fillId="0" borderId="12" xfId="0" applyBorder="1"/>
    <xf numFmtId="0" fontId="0" fillId="0" borderId="13" xfId="0" applyBorder="1"/>
    <xf numFmtId="0" fontId="10" fillId="5" borderId="14" xfId="0" applyFont="1" applyFill="1" applyBorder="1" applyAlignment="1">
      <alignment horizontal="center" vertical="center"/>
    </xf>
    <xf numFmtId="0" fontId="0" fillId="0" borderId="15" xfId="0" applyBorder="1" applyAlignment="1">
      <alignment vertical="center" wrapText="1"/>
    </xf>
    <xf numFmtId="0" fontId="0" fillId="0" borderId="16" xfId="0" applyBorder="1" applyAlignment="1">
      <alignment vertical="center" wrapText="1"/>
    </xf>
  </cellXfs>
  <cellStyles count="2">
    <cellStyle name="Normal" xfId="0" builtinId="0"/>
    <cellStyle name="Normal 2" xfId="1" xr:uid="{00000000-0005-0000-0000-00000600000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 Id="rId16" Type="http://schemas.openxmlformats.org/officeDocument/2006/relationships/worksheet" Target="worksheets/sheet12.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4</xdr:row>
      <xdr:rowOff>130680</xdr:rowOff>
    </xdr:from>
    <xdr:to>
      <xdr:col>0</xdr:col>
      <xdr:colOff>2602440</xdr:colOff>
      <xdr:row>12</xdr:row>
      <xdr:rowOff>51120</xdr:rowOff>
    </xdr:to>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6"/>
        <a:stretch/>
      </xdr:blipFill>
      <xdr:spPr>
        <a:xfrm>
          <a:off x="0" y="26162640"/>
          <a:ext cx="2602440" cy="262548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0"/>
  <sheetViews>
    <sheetView workbookViewId="0">
      <pane ySplit="5" topLeftCell="A6" activePane="bottomLeft" state="frozen"/>
      <selection pane="bottomLeft" activeCell="A6" sqref="A6"/>
    </sheetView>
  </sheetViews>
  <sheetFormatPr defaultRowHeight="14.4" x14ac:dyDescent="0.3"/>
  <cols>
    <col min="1" max="1" width="11" customWidth="1"/>
    <col min="2" max="2" width="15" customWidth="1"/>
    <col min="3" max="3" width="13" customWidth="1"/>
    <col min="4" max="4" width="12" customWidth="1"/>
    <col min="5" max="5" width="11" customWidth="1"/>
    <col min="6" max="6" width="8" customWidth="1"/>
    <col min="7" max="8" width="13" customWidth="1"/>
    <col min="9" max="11" width="9" customWidth="1"/>
    <col min="12" max="12" width="10" customWidth="1"/>
    <col min="13" max="13" width="55" customWidth="1"/>
  </cols>
  <sheetData>
    <row r="1" spans="1:13" ht="22.05" customHeight="1" x14ac:dyDescent="0.4">
      <c r="A1" s="12" t="s">
        <v>185</v>
      </c>
      <c r="B1" s="11"/>
      <c r="C1" s="11"/>
      <c r="D1" s="11"/>
      <c r="E1" s="11"/>
      <c r="F1" s="11"/>
      <c r="G1" s="11"/>
      <c r="H1" s="11"/>
      <c r="I1" s="11"/>
      <c r="J1" s="11"/>
      <c r="K1" s="11"/>
      <c r="L1" s="11"/>
      <c r="M1" s="11"/>
    </row>
    <row r="2" spans="1:13" ht="43.95" customHeight="1" x14ac:dyDescent="0.3">
      <c r="A2" s="10" t="s">
        <v>186</v>
      </c>
      <c r="B2" s="11"/>
      <c r="C2" s="11"/>
      <c r="D2" s="11"/>
      <c r="E2" s="11"/>
      <c r="F2" s="11"/>
      <c r="G2" s="11"/>
      <c r="H2" s="11"/>
      <c r="I2" s="11"/>
      <c r="J2" s="11"/>
      <c r="K2" s="11"/>
      <c r="L2" s="11"/>
      <c r="M2" s="11"/>
    </row>
    <row r="4" spans="1:13" ht="18" customHeight="1" x14ac:dyDescent="0.3">
      <c r="A4" s="9" t="s">
        <v>187</v>
      </c>
      <c r="B4" s="11"/>
      <c r="C4" s="11"/>
      <c r="D4" s="11"/>
      <c r="E4" s="11"/>
      <c r="F4" s="11"/>
      <c r="G4" s="11"/>
      <c r="H4" s="11"/>
      <c r="I4" s="11"/>
      <c r="J4" s="11"/>
      <c r="K4" s="11"/>
      <c r="L4" s="11"/>
      <c r="M4" s="11"/>
    </row>
    <row r="5" spans="1:13" ht="43.2" x14ac:dyDescent="0.3">
      <c r="A5" s="18" t="s">
        <v>34</v>
      </c>
      <c r="B5" s="18" t="s">
        <v>8</v>
      </c>
      <c r="C5" s="18" t="s">
        <v>9</v>
      </c>
      <c r="D5" s="18" t="s">
        <v>10</v>
      </c>
      <c r="E5" s="18" t="s">
        <v>153</v>
      </c>
      <c r="F5" s="18" t="s">
        <v>159</v>
      </c>
      <c r="G5" s="18" t="s">
        <v>87</v>
      </c>
      <c r="H5" s="18" t="s">
        <v>35</v>
      </c>
      <c r="I5" s="18" t="s">
        <v>36</v>
      </c>
      <c r="J5" s="18" t="s">
        <v>37</v>
      </c>
      <c r="K5" s="18" t="s">
        <v>38</v>
      </c>
      <c r="L5" s="18" t="s">
        <v>154</v>
      </c>
      <c r="M5" s="18" t="s">
        <v>188</v>
      </c>
    </row>
    <row r="6" spans="1:13" ht="27" customHeight="1" x14ac:dyDescent="0.3">
      <c r="A6" s="16" t="s">
        <v>0</v>
      </c>
      <c r="B6" s="16" t="s">
        <v>11</v>
      </c>
      <c r="C6" s="16" t="s">
        <v>12</v>
      </c>
      <c r="D6" s="16" t="s">
        <v>13</v>
      </c>
      <c r="E6" s="16" t="s">
        <v>156</v>
      </c>
      <c r="F6" s="16" t="s">
        <v>17</v>
      </c>
      <c r="G6" s="16" t="s">
        <v>43</v>
      </c>
      <c r="H6" s="16" t="s">
        <v>15</v>
      </c>
      <c r="I6" s="17">
        <v>3</v>
      </c>
      <c r="J6" s="17">
        <v>3</v>
      </c>
      <c r="K6" s="17">
        <v>0</v>
      </c>
      <c r="L6" s="20">
        <f t="shared" ref="L6:L37" si="0">IFERROR(J6/I6,0)</f>
        <v>1</v>
      </c>
      <c r="M6" s="21" t="s">
        <v>44</v>
      </c>
    </row>
    <row r="7" spans="1:13" ht="27" customHeight="1" x14ac:dyDescent="0.3">
      <c r="A7" s="16" t="s">
        <v>0</v>
      </c>
      <c r="B7" s="16" t="s">
        <v>11</v>
      </c>
      <c r="C7" s="16" t="s">
        <v>12</v>
      </c>
      <c r="D7" s="16" t="s">
        <v>13</v>
      </c>
      <c r="E7" s="16" t="s">
        <v>156</v>
      </c>
      <c r="F7" s="16" t="s">
        <v>16</v>
      </c>
      <c r="G7" s="16" t="s">
        <v>39</v>
      </c>
      <c r="H7" s="16" t="s">
        <v>14</v>
      </c>
      <c r="I7" s="17">
        <v>48</v>
      </c>
      <c r="J7" s="17">
        <v>47</v>
      </c>
      <c r="K7" s="17">
        <v>1</v>
      </c>
      <c r="L7" s="20">
        <f t="shared" si="0"/>
        <v>0.97916666666666663</v>
      </c>
      <c r="M7" s="21" t="s">
        <v>40</v>
      </c>
    </row>
    <row r="8" spans="1:13" ht="13.5" customHeight="1" x14ac:dyDescent="0.3">
      <c r="A8" s="16" t="s">
        <v>41</v>
      </c>
      <c r="B8" s="16" t="s">
        <v>11</v>
      </c>
      <c r="C8" s="16" t="s">
        <v>12</v>
      </c>
      <c r="D8" s="16" t="s">
        <v>13</v>
      </c>
      <c r="E8" s="16" t="s">
        <v>156</v>
      </c>
      <c r="F8" s="16" t="s">
        <v>17</v>
      </c>
      <c r="G8" s="16" t="s">
        <v>43</v>
      </c>
      <c r="H8" s="16" t="s">
        <v>15</v>
      </c>
      <c r="I8" s="17">
        <v>4</v>
      </c>
      <c r="J8" s="17">
        <v>4</v>
      </c>
      <c r="K8" s="17">
        <v>0</v>
      </c>
      <c r="L8" s="20">
        <f t="shared" si="0"/>
        <v>1</v>
      </c>
      <c r="M8" s="21" t="s">
        <v>189</v>
      </c>
    </row>
    <row r="9" spans="1:13" ht="27" customHeight="1" x14ac:dyDescent="0.3">
      <c r="A9" s="16" t="s">
        <v>41</v>
      </c>
      <c r="B9" s="16" t="s">
        <v>11</v>
      </c>
      <c r="C9" s="16" t="s">
        <v>12</v>
      </c>
      <c r="D9" s="16" t="s">
        <v>13</v>
      </c>
      <c r="E9" s="16" t="s">
        <v>156</v>
      </c>
      <c r="F9" s="16" t="s">
        <v>16</v>
      </c>
      <c r="G9" s="16" t="s">
        <v>39</v>
      </c>
      <c r="H9" s="16" t="s">
        <v>14</v>
      </c>
      <c r="I9" s="17">
        <v>17</v>
      </c>
      <c r="J9" s="17">
        <v>13</v>
      </c>
      <c r="K9" s="17">
        <v>4</v>
      </c>
      <c r="L9" s="20">
        <f t="shared" si="0"/>
        <v>0.76470588235294112</v>
      </c>
      <c r="M9" s="21" t="s">
        <v>42</v>
      </c>
    </row>
    <row r="10" spans="1:13" ht="13.5" customHeight="1" x14ac:dyDescent="0.3">
      <c r="A10" s="16" t="s">
        <v>1</v>
      </c>
      <c r="B10" s="16" t="s">
        <v>11</v>
      </c>
      <c r="C10" s="16" t="s">
        <v>12</v>
      </c>
      <c r="D10" s="16" t="s">
        <v>13</v>
      </c>
      <c r="E10" s="16" t="s">
        <v>156</v>
      </c>
      <c r="F10" s="16" t="s">
        <v>17</v>
      </c>
      <c r="G10" s="16" t="s">
        <v>43</v>
      </c>
      <c r="H10" s="16" t="s">
        <v>19</v>
      </c>
      <c r="I10" s="17">
        <v>31</v>
      </c>
      <c r="J10" s="17">
        <v>29</v>
      </c>
      <c r="K10" s="17">
        <v>2</v>
      </c>
      <c r="L10" s="20">
        <f t="shared" si="0"/>
        <v>0.93548387096774188</v>
      </c>
      <c r="M10" s="21" t="s">
        <v>48</v>
      </c>
    </row>
    <row r="11" spans="1:13" ht="27" customHeight="1" x14ac:dyDescent="0.3">
      <c r="A11" s="16" t="s">
        <v>1</v>
      </c>
      <c r="B11" s="16" t="s">
        <v>11</v>
      </c>
      <c r="C11" s="16" t="s">
        <v>12</v>
      </c>
      <c r="D11" s="16" t="s">
        <v>13</v>
      </c>
      <c r="E11" s="16" t="s">
        <v>156</v>
      </c>
      <c r="F11" s="16" t="s">
        <v>16</v>
      </c>
      <c r="G11" s="16" t="s">
        <v>39</v>
      </c>
      <c r="H11" s="16" t="s">
        <v>18</v>
      </c>
      <c r="I11" s="17">
        <v>0</v>
      </c>
      <c r="J11" s="17">
        <v>0</v>
      </c>
      <c r="K11" s="17">
        <v>0</v>
      </c>
      <c r="L11" s="20">
        <f t="shared" si="0"/>
        <v>0</v>
      </c>
      <c r="M11" s="21" t="s">
        <v>45</v>
      </c>
    </row>
    <row r="12" spans="1:13" ht="13.5" customHeight="1" x14ac:dyDescent="0.3">
      <c r="A12" s="16" t="s">
        <v>46</v>
      </c>
      <c r="B12" s="16" t="s">
        <v>11</v>
      </c>
      <c r="C12" s="16" t="s">
        <v>12</v>
      </c>
      <c r="D12" s="16" t="s">
        <v>13</v>
      </c>
      <c r="E12" s="16" t="s">
        <v>156</v>
      </c>
      <c r="F12" s="16" t="s">
        <v>17</v>
      </c>
      <c r="G12" s="16" t="s">
        <v>43</v>
      </c>
      <c r="H12" s="16" t="s">
        <v>19</v>
      </c>
      <c r="I12" s="17">
        <v>21</v>
      </c>
      <c r="J12" s="17">
        <v>19</v>
      </c>
      <c r="K12" s="17">
        <v>2</v>
      </c>
      <c r="L12" s="20">
        <f t="shared" si="0"/>
        <v>0.90476190476190477</v>
      </c>
      <c r="M12" s="21" t="s">
        <v>49</v>
      </c>
    </row>
    <row r="13" spans="1:13" ht="13.5" customHeight="1" x14ac:dyDescent="0.3">
      <c r="A13" s="16" t="s">
        <v>46</v>
      </c>
      <c r="B13" s="16" t="s">
        <v>11</v>
      </c>
      <c r="C13" s="16" t="s">
        <v>12</v>
      </c>
      <c r="D13" s="16" t="s">
        <v>13</v>
      </c>
      <c r="E13" s="16" t="s">
        <v>156</v>
      </c>
      <c r="F13" s="16" t="s">
        <v>16</v>
      </c>
      <c r="G13" s="16" t="s">
        <v>39</v>
      </c>
      <c r="H13" s="16" t="s">
        <v>18</v>
      </c>
      <c r="I13" s="17">
        <v>57</v>
      </c>
      <c r="J13" s="17">
        <v>56</v>
      </c>
      <c r="K13" s="17">
        <v>1</v>
      </c>
      <c r="L13" s="20">
        <f t="shared" si="0"/>
        <v>0.98245614035087714</v>
      </c>
      <c r="M13" s="21" t="s">
        <v>47</v>
      </c>
    </row>
    <row r="14" spans="1:13" ht="13.5" customHeight="1" x14ac:dyDescent="0.3">
      <c r="A14" s="16" t="s">
        <v>2</v>
      </c>
      <c r="B14" s="16" t="s">
        <v>11</v>
      </c>
      <c r="C14" s="16" t="s">
        <v>12</v>
      </c>
      <c r="D14" s="16" t="s">
        <v>13</v>
      </c>
      <c r="E14" s="16" t="s">
        <v>156</v>
      </c>
      <c r="F14" s="16" t="s">
        <v>17</v>
      </c>
      <c r="G14" s="16" t="s">
        <v>43</v>
      </c>
      <c r="H14" s="16" t="s">
        <v>21</v>
      </c>
      <c r="I14" s="17">
        <v>16</v>
      </c>
      <c r="J14" s="17">
        <v>13</v>
      </c>
      <c r="K14" s="17">
        <v>3</v>
      </c>
      <c r="L14" s="20">
        <f t="shared" si="0"/>
        <v>0.8125</v>
      </c>
      <c r="M14" s="21" t="s">
        <v>52</v>
      </c>
    </row>
    <row r="15" spans="1:13" ht="13.5" customHeight="1" x14ac:dyDescent="0.3">
      <c r="A15" s="16" t="s">
        <v>2</v>
      </c>
      <c r="B15" s="16" t="s">
        <v>11</v>
      </c>
      <c r="C15" s="16" t="s">
        <v>12</v>
      </c>
      <c r="D15" s="16" t="s">
        <v>13</v>
      </c>
      <c r="E15" s="16" t="s">
        <v>156</v>
      </c>
      <c r="F15" s="16" t="s">
        <v>16</v>
      </c>
      <c r="G15" s="16" t="s">
        <v>39</v>
      </c>
      <c r="H15" s="16" t="s">
        <v>20</v>
      </c>
      <c r="I15" s="17">
        <v>37</v>
      </c>
      <c r="J15" s="17">
        <v>36</v>
      </c>
      <c r="K15" s="17">
        <v>1</v>
      </c>
      <c r="L15" s="20">
        <f t="shared" si="0"/>
        <v>0.97297297297297303</v>
      </c>
      <c r="M15" s="21" t="s">
        <v>50</v>
      </c>
    </row>
    <row r="16" spans="1:13" ht="13.5" customHeight="1" x14ac:dyDescent="0.3">
      <c r="A16" s="16" t="s">
        <v>51</v>
      </c>
      <c r="B16" s="16" t="s">
        <v>11</v>
      </c>
      <c r="C16" s="16" t="s">
        <v>12</v>
      </c>
      <c r="D16" s="16" t="s">
        <v>13</v>
      </c>
      <c r="E16" s="16" t="s">
        <v>156</v>
      </c>
      <c r="F16" s="16" t="s">
        <v>17</v>
      </c>
      <c r="G16" s="16" t="s">
        <v>43</v>
      </c>
      <c r="H16" s="16" t="s">
        <v>21</v>
      </c>
      <c r="I16" s="17">
        <v>29</v>
      </c>
      <c r="J16" s="17">
        <v>28</v>
      </c>
      <c r="K16" s="17">
        <v>1</v>
      </c>
      <c r="L16" s="20">
        <f t="shared" si="0"/>
        <v>0.96551724137931039</v>
      </c>
      <c r="M16" s="21" t="s">
        <v>53</v>
      </c>
    </row>
    <row r="17" spans="1:13" ht="13.5" customHeight="1" x14ac:dyDescent="0.3">
      <c r="A17" s="16" t="s">
        <v>51</v>
      </c>
      <c r="B17" s="16" t="s">
        <v>11</v>
      </c>
      <c r="C17" s="16" t="s">
        <v>12</v>
      </c>
      <c r="D17" s="16" t="s">
        <v>13</v>
      </c>
      <c r="E17" s="16" t="s">
        <v>156</v>
      </c>
      <c r="F17" s="16" t="s">
        <v>16</v>
      </c>
      <c r="G17" s="16" t="s">
        <v>39</v>
      </c>
      <c r="H17" s="16" t="s">
        <v>20</v>
      </c>
      <c r="I17" s="17">
        <v>25</v>
      </c>
      <c r="J17" s="17">
        <v>22</v>
      </c>
      <c r="K17" s="17">
        <v>3</v>
      </c>
      <c r="L17" s="20">
        <f t="shared" si="0"/>
        <v>0.88</v>
      </c>
      <c r="M17" s="21" t="s">
        <v>52</v>
      </c>
    </row>
    <row r="18" spans="1:13" ht="13.5" customHeight="1" x14ac:dyDescent="0.3">
      <c r="A18" s="16" t="s">
        <v>54</v>
      </c>
      <c r="B18" s="16" t="s">
        <v>11</v>
      </c>
      <c r="C18" s="16" t="s">
        <v>12</v>
      </c>
      <c r="D18" s="16" t="s">
        <v>13</v>
      </c>
      <c r="E18" s="16" t="s">
        <v>156</v>
      </c>
      <c r="F18" s="16" t="s">
        <v>17</v>
      </c>
      <c r="G18" s="16" t="s">
        <v>43</v>
      </c>
      <c r="H18" s="16" t="s">
        <v>23</v>
      </c>
      <c r="I18" s="17">
        <v>43</v>
      </c>
      <c r="J18" s="17">
        <v>42</v>
      </c>
      <c r="K18" s="17">
        <v>1</v>
      </c>
      <c r="L18" s="20">
        <f t="shared" si="0"/>
        <v>0.97674418604651159</v>
      </c>
      <c r="M18" s="21" t="s">
        <v>58</v>
      </c>
    </row>
    <row r="19" spans="1:13" ht="13.5" customHeight="1" x14ac:dyDescent="0.3">
      <c r="A19" s="16" t="s">
        <v>54</v>
      </c>
      <c r="B19" s="16" t="s">
        <v>11</v>
      </c>
      <c r="C19" s="16" t="s">
        <v>12</v>
      </c>
      <c r="D19" s="16" t="s">
        <v>13</v>
      </c>
      <c r="E19" s="16" t="s">
        <v>156</v>
      </c>
      <c r="F19" s="16" t="s">
        <v>16</v>
      </c>
      <c r="G19" s="16" t="s">
        <v>39</v>
      </c>
      <c r="H19" s="16" t="s">
        <v>22</v>
      </c>
      <c r="I19" s="17">
        <v>62</v>
      </c>
      <c r="J19" s="17">
        <v>58</v>
      </c>
      <c r="K19" s="17">
        <v>4</v>
      </c>
      <c r="L19" s="20">
        <f t="shared" si="0"/>
        <v>0.93548387096774188</v>
      </c>
      <c r="M19" s="21" t="s">
        <v>55</v>
      </c>
    </row>
    <row r="20" spans="1:13" ht="13.5" customHeight="1" x14ac:dyDescent="0.3">
      <c r="A20" s="16" t="s">
        <v>56</v>
      </c>
      <c r="B20" s="16" t="s">
        <v>11</v>
      </c>
      <c r="C20" s="16" t="s">
        <v>12</v>
      </c>
      <c r="D20" s="16" t="s">
        <v>13</v>
      </c>
      <c r="E20" s="16" t="s">
        <v>156</v>
      </c>
      <c r="F20" s="16" t="s">
        <v>17</v>
      </c>
      <c r="G20" s="16" t="s">
        <v>43</v>
      </c>
      <c r="H20" s="16" t="s">
        <v>23</v>
      </c>
      <c r="I20" s="17">
        <v>30</v>
      </c>
      <c r="J20" s="17">
        <v>29</v>
      </c>
      <c r="K20" s="17">
        <v>1</v>
      </c>
      <c r="L20" s="20">
        <f t="shared" si="0"/>
        <v>0.96666666666666667</v>
      </c>
      <c r="M20" s="21" t="s">
        <v>59</v>
      </c>
    </row>
    <row r="21" spans="1:13" ht="13.5" customHeight="1" x14ac:dyDescent="0.3">
      <c r="A21" s="16" t="s">
        <v>56</v>
      </c>
      <c r="B21" s="16" t="s">
        <v>11</v>
      </c>
      <c r="C21" s="16" t="s">
        <v>12</v>
      </c>
      <c r="D21" s="16" t="s">
        <v>13</v>
      </c>
      <c r="E21" s="16" t="s">
        <v>156</v>
      </c>
      <c r="F21" s="16" t="s">
        <v>16</v>
      </c>
      <c r="G21" s="16" t="s">
        <v>39</v>
      </c>
      <c r="H21" s="16" t="s">
        <v>22</v>
      </c>
      <c r="I21" s="17">
        <v>31</v>
      </c>
      <c r="J21" s="17">
        <v>29</v>
      </c>
      <c r="K21" s="17">
        <v>2</v>
      </c>
      <c r="L21" s="20">
        <f t="shared" si="0"/>
        <v>0.93548387096774188</v>
      </c>
      <c r="M21" s="21" t="s">
        <v>57</v>
      </c>
    </row>
    <row r="22" spans="1:13" ht="13.5" customHeight="1" x14ac:dyDescent="0.3">
      <c r="A22" s="16" t="s">
        <v>24</v>
      </c>
      <c r="B22" s="16" t="s">
        <v>11</v>
      </c>
      <c r="C22" s="16" t="s">
        <v>12</v>
      </c>
      <c r="D22" s="16" t="s">
        <v>13</v>
      </c>
      <c r="E22" s="16" t="s">
        <v>156</v>
      </c>
      <c r="F22" s="16" t="s">
        <v>16</v>
      </c>
      <c r="G22" s="16" t="s">
        <v>39</v>
      </c>
      <c r="H22" s="16" t="s">
        <v>22</v>
      </c>
      <c r="I22" s="17">
        <v>39</v>
      </c>
      <c r="J22" s="17">
        <v>36</v>
      </c>
      <c r="K22" s="17">
        <v>3</v>
      </c>
      <c r="L22" s="20">
        <f t="shared" si="0"/>
        <v>0.92307692307692313</v>
      </c>
      <c r="M22" s="21" t="s">
        <v>60</v>
      </c>
    </row>
    <row r="23" spans="1:13" ht="27" customHeight="1" x14ac:dyDescent="0.3">
      <c r="A23" s="16" t="s">
        <v>3</v>
      </c>
      <c r="B23" s="16" t="s">
        <v>26</v>
      </c>
      <c r="C23" s="16" t="s">
        <v>27</v>
      </c>
      <c r="D23" s="16" t="s">
        <v>28</v>
      </c>
      <c r="E23" s="16" t="s">
        <v>156</v>
      </c>
      <c r="F23" s="16" t="s">
        <v>30</v>
      </c>
      <c r="G23" s="16" t="s">
        <v>190</v>
      </c>
      <c r="H23" s="16" t="s">
        <v>29</v>
      </c>
      <c r="I23" s="17">
        <v>16</v>
      </c>
      <c r="J23" s="17">
        <v>11</v>
      </c>
      <c r="K23" s="17">
        <v>5</v>
      </c>
      <c r="L23" s="20">
        <f t="shared" si="0"/>
        <v>0.6875</v>
      </c>
      <c r="M23" s="21" t="s">
        <v>61</v>
      </c>
    </row>
    <row r="24" spans="1:13" ht="13.5" customHeight="1" x14ac:dyDescent="0.3">
      <c r="A24" s="16" t="s">
        <v>62</v>
      </c>
      <c r="B24" s="16" t="s">
        <v>11</v>
      </c>
      <c r="C24" s="16" t="s">
        <v>12</v>
      </c>
      <c r="D24" s="16" t="s">
        <v>13</v>
      </c>
      <c r="E24" s="16" t="s">
        <v>156</v>
      </c>
      <c r="F24" s="16" t="s">
        <v>17</v>
      </c>
      <c r="G24" s="16" t="s">
        <v>43</v>
      </c>
      <c r="H24" s="16" t="s">
        <v>32</v>
      </c>
      <c r="I24" s="17">
        <v>7</v>
      </c>
      <c r="J24" s="17">
        <v>7</v>
      </c>
      <c r="K24" s="17">
        <v>0</v>
      </c>
      <c r="L24" s="20">
        <f t="shared" si="0"/>
        <v>1</v>
      </c>
      <c r="M24" s="21" t="s">
        <v>189</v>
      </c>
    </row>
    <row r="25" spans="1:13" ht="13.5" customHeight="1" x14ac:dyDescent="0.3">
      <c r="A25" s="16" t="s">
        <v>62</v>
      </c>
      <c r="B25" s="16" t="s">
        <v>11</v>
      </c>
      <c r="C25" s="16" t="s">
        <v>12</v>
      </c>
      <c r="D25" s="16" t="s">
        <v>13</v>
      </c>
      <c r="E25" s="16" t="s">
        <v>156</v>
      </c>
      <c r="F25" s="16" t="s">
        <v>16</v>
      </c>
      <c r="G25" s="16" t="s">
        <v>39</v>
      </c>
      <c r="H25" s="16" t="s">
        <v>31</v>
      </c>
      <c r="I25" s="17">
        <v>9</v>
      </c>
      <c r="J25" s="17">
        <v>9</v>
      </c>
      <c r="K25" s="17">
        <v>0</v>
      </c>
      <c r="L25" s="20">
        <f t="shared" si="0"/>
        <v>1</v>
      </c>
      <c r="M25" s="21" t="s">
        <v>189</v>
      </c>
    </row>
    <row r="26" spans="1:13" ht="13.5" customHeight="1" x14ac:dyDescent="0.3">
      <c r="A26" s="16" t="s">
        <v>33</v>
      </c>
      <c r="B26" s="16" t="s">
        <v>26</v>
      </c>
      <c r="C26" s="16" t="s">
        <v>27</v>
      </c>
      <c r="D26" s="16" t="s">
        <v>28</v>
      </c>
      <c r="E26" s="16" t="s">
        <v>156</v>
      </c>
      <c r="F26" s="16" t="s">
        <v>30</v>
      </c>
      <c r="G26" s="16" t="s">
        <v>190</v>
      </c>
      <c r="H26" s="16" t="s">
        <v>29</v>
      </c>
      <c r="I26" s="17">
        <v>7</v>
      </c>
      <c r="J26" s="17">
        <v>7</v>
      </c>
      <c r="K26" s="17">
        <v>0</v>
      </c>
      <c r="L26" s="20">
        <f t="shared" si="0"/>
        <v>1</v>
      </c>
      <c r="M26" s="21" t="s">
        <v>189</v>
      </c>
    </row>
    <row r="27" spans="1:13" ht="13.5" customHeight="1" x14ac:dyDescent="0.3">
      <c r="A27" s="16" t="s">
        <v>63</v>
      </c>
      <c r="B27" s="16" t="s">
        <v>11</v>
      </c>
      <c r="C27" s="16" t="s">
        <v>12</v>
      </c>
      <c r="D27" s="16" t="s">
        <v>13</v>
      </c>
      <c r="E27" s="16" t="s">
        <v>156</v>
      </c>
      <c r="F27" s="16" t="s">
        <v>17</v>
      </c>
      <c r="G27" s="16" t="s">
        <v>43</v>
      </c>
      <c r="H27" s="16" t="s">
        <v>32</v>
      </c>
      <c r="I27" s="17">
        <v>29</v>
      </c>
      <c r="J27" s="17">
        <v>29</v>
      </c>
      <c r="K27" s="17">
        <v>0</v>
      </c>
      <c r="L27" s="20">
        <f t="shared" si="0"/>
        <v>1</v>
      </c>
      <c r="M27" s="21" t="s">
        <v>189</v>
      </c>
    </row>
    <row r="28" spans="1:13" ht="13.5" customHeight="1" x14ac:dyDescent="0.3">
      <c r="A28" s="16" t="s">
        <v>63</v>
      </c>
      <c r="B28" s="16" t="s">
        <v>11</v>
      </c>
      <c r="C28" s="16" t="s">
        <v>12</v>
      </c>
      <c r="D28" s="16" t="s">
        <v>13</v>
      </c>
      <c r="E28" s="16" t="s">
        <v>156</v>
      </c>
      <c r="F28" s="16" t="s">
        <v>16</v>
      </c>
      <c r="G28" s="16" t="s">
        <v>39</v>
      </c>
      <c r="H28" s="16" t="s">
        <v>31</v>
      </c>
      <c r="I28" s="17">
        <v>45</v>
      </c>
      <c r="J28" s="17">
        <v>43</v>
      </c>
      <c r="K28" s="17">
        <v>2</v>
      </c>
      <c r="L28" s="20">
        <f t="shared" si="0"/>
        <v>0.9555555555555556</v>
      </c>
      <c r="M28" s="21" t="s">
        <v>64</v>
      </c>
    </row>
    <row r="29" spans="1:13" ht="13.5" customHeight="1" x14ac:dyDescent="0.3">
      <c r="A29" s="16" t="s">
        <v>191</v>
      </c>
      <c r="B29" s="16" t="s">
        <v>11</v>
      </c>
      <c r="C29" s="16" t="s">
        <v>12</v>
      </c>
      <c r="D29" s="16" t="s">
        <v>13</v>
      </c>
      <c r="E29" s="16" t="s">
        <v>156</v>
      </c>
      <c r="F29" s="16" t="s">
        <v>17</v>
      </c>
      <c r="G29" s="16" t="s">
        <v>43</v>
      </c>
      <c r="H29" s="16" t="s">
        <v>32</v>
      </c>
      <c r="I29" s="17">
        <v>13</v>
      </c>
      <c r="J29" s="17">
        <v>12</v>
      </c>
      <c r="K29" s="17">
        <v>1</v>
      </c>
      <c r="L29" s="20">
        <f t="shared" si="0"/>
        <v>0.92307692307692313</v>
      </c>
      <c r="M29" s="21" t="s">
        <v>192</v>
      </c>
    </row>
    <row r="30" spans="1:13" ht="13.5" customHeight="1" x14ac:dyDescent="0.3">
      <c r="A30" s="16" t="s">
        <v>191</v>
      </c>
      <c r="B30" s="16" t="s">
        <v>11</v>
      </c>
      <c r="C30" s="16" t="s">
        <v>12</v>
      </c>
      <c r="D30" s="16" t="s">
        <v>13</v>
      </c>
      <c r="E30" s="16" t="s">
        <v>156</v>
      </c>
      <c r="F30" s="16" t="s">
        <v>16</v>
      </c>
      <c r="G30" s="16" t="s">
        <v>39</v>
      </c>
      <c r="H30" s="16" t="s">
        <v>31</v>
      </c>
      <c r="I30" s="17">
        <v>17</v>
      </c>
      <c r="J30" s="17">
        <v>16</v>
      </c>
      <c r="K30" s="17">
        <v>1</v>
      </c>
      <c r="L30" s="20">
        <f t="shared" si="0"/>
        <v>0.94117647058823528</v>
      </c>
      <c r="M30" s="21" t="s">
        <v>193</v>
      </c>
    </row>
    <row r="31" spans="1:13" ht="27" customHeight="1" x14ac:dyDescent="0.3">
      <c r="A31" s="16" t="s">
        <v>194</v>
      </c>
      <c r="B31" s="16" t="s">
        <v>11</v>
      </c>
      <c r="C31" s="16" t="s">
        <v>12</v>
      </c>
      <c r="D31" s="16" t="s">
        <v>13</v>
      </c>
      <c r="E31" s="16" t="s">
        <v>156</v>
      </c>
      <c r="F31" s="16" t="s">
        <v>16</v>
      </c>
      <c r="G31" s="16" t="s">
        <v>39</v>
      </c>
      <c r="H31" s="16" t="s">
        <v>195</v>
      </c>
      <c r="I31" s="17">
        <v>31</v>
      </c>
      <c r="J31" s="17">
        <v>30</v>
      </c>
      <c r="K31" s="17">
        <v>1</v>
      </c>
      <c r="L31" s="20">
        <f t="shared" si="0"/>
        <v>0.967741935483871</v>
      </c>
      <c r="M31" s="21" t="s">
        <v>196</v>
      </c>
    </row>
    <row r="32" spans="1:13" ht="27" customHeight="1" x14ac:dyDescent="0.3">
      <c r="A32" s="16" t="s">
        <v>197</v>
      </c>
      <c r="B32" s="16" t="s">
        <v>26</v>
      </c>
      <c r="C32" s="16" t="s">
        <v>27</v>
      </c>
      <c r="D32" s="16" t="s">
        <v>28</v>
      </c>
      <c r="E32" s="16" t="s">
        <v>156</v>
      </c>
      <c r="F32" s="16" t="s">
        <v>30</v>
      </c>
      <c r="G32" s="16" t="s">
        <v>190</v>
      </c>
      <c r="H32" s="16" t="s">
        <v>29</v>
      </c>
      <c r="I32" s="17">
        <v>16</v>
      </c>
      <c r="J32" s="17">
        <v>14</v>
      </c>
      <c r="K32" s="17">
        <v>2</v>
      </c>
      <c r="L32" s="20">
        <f t="shared" si="0"/>
        <v>0.875</v>
      </c>
      <c r="M32" s="21" t="s">
        <v>198</v>
      </c>
    </row>
    <row r="33" spans="1:13" ht="27" customHeight="1" x14ac:dyDescent="0.3">
      <c r="A33" s="16" t="s">
        <v>199</v>
      </c>
      <c r="B33" s="16" t="s">
        <v>26</v>
      </c>
      <c r="C33" s="16" t="s">
        <v>27</v>
      </c>
      <c r="D33" s="16" t="s">
        <v>28</v>
      </c>
      <c r="E33" s="16" t="s">
        <v>156</v>
      </c>
      <c r="F33" s="16" t="s">
        <v>30</v>
      </c>
      <c r="G33" s="16" t="s">
        <v>190</v>
      </c>
      <c r="H33" s="16" t="s">
        <v>29</v>
      </c>
      <c r="I33" s="17">
        <v>36</v>
      </c>
      <c r="J33" s="17">
        <v>31</v>
      </c>
      <c r="K33" s="17">
        <v>5</v>
      </c>
      <c r="L33" s="20">
        <f t="shared" si="0"/>
        <v>0.86111111111111116</v>
      </c>
      <c r="M33" s="21" t="s">
        <v>200</v>
      </c>
    </row>
    <row r="34" spans="1:13" ht="13.5" customHeight="1" x14ac:dyDescent="0.3">
      <c r="A34" s="16" t="s">
        <v>201</v>
      </c>
      <c r="B34" s="16" t="s">
        <v>11</v>
      </c>
      <c r="C34" s="16" t="s">
        <v>12</v>
      </c>
      <c r="D34" s="16" t="s">
        <v>13</v>
      </c>
      <c r="E34" s="16" t="s">
        <v>156</v>
      </c>
      <c r="F34" s="16" t="s">
        <v>16</v>
      </c>
      <c r="G34" s="16" t="s">
        <v>39</v>
      </c>
      <c r="H34" s="16" t="s">
        <v>195</v>
      </c>
      <c r="I34" s="17">
        <v>34</v>
      </c>
      <c r="J34" s="17">
        <v>30</v>
      </c>
      <c r="K34" s="17">
        <v>4</v>
      </c>
      <c r="L34" s="20">
        <f t="shared" si="0"/>
        <v>0.88235294117647056</v>
      </c>
      <c r="M34" s="21" t="s">
        <v>202</v>
      </c>
    </row>
    <row r="35" spans="1:13" ht="13.5" customHeight="1" x14ac:dyDescent="0.3">
      <c r="A35" s="16" t="s">
        <v>203</v>
      </c>
      <c r="B35" s="16" t="s">
        <v>26</v>
      </c>
      <c r="C35" s="16" t="s">
        <v>27</v>
      </c>
      <c r="D35" s="16" t="s">
        <v>28</v>
      </c>
      <c r="E35" s="16" t="s">
        <v>156</v>
      </c>
      <c r="F35" s="16" t="s">
        <v>30</v>
      </c>
      <c r="G35" s="16" t="s">
        <v>190</v>
      </c>
      <c r="H35" s="16" t="s">
        <v>29</v>
      </c>
      <c r="I35" s="17">
        <v>19</v>
      </c>
      <c r="J35" s="17">
        <v>16</v>
      </c>
      <c r="K35" s="17">
        <v>3</v>
      </c>
      <c r="L35" s="20">
        <f t="shared" si="0"/>
        <v>0.84210526315789469</v>
      </c>
      <c r="M35" s="21" t="s">
        <v>204</v>
      </c>
    </row>
    <row r="36" spans="1:13" ht="13.5" customHeight="1" x14ac:dyDescent="0.3">
      <c r="A36" s="16" t="s">
        <v>205</v>
      </c>
      <c r="B36" s="16" t="s">
        <v>11</v>
      </c>
      <c r="C36" s="16" t="s">
        <v>12</v>
      </c>
      <c r="D36" s="16" t="s">
        <v>13</v>
      </c>
      <c r="E36" s="16" t="s">
        <v>156</v>
      </c>
      <c r="F36" s="16" t="s">
        <v>17</v>
      </c>
      <c r="G36" s="16" t="s">
        <v>43</v>
      </c>
      <c r="H36" s="16" t="s">
        <v>206</v>
      </c>
      <c r="I36" s="17">
        <v>4</v>
      </c>
      <c r="J36" s="17">
        <v>4</v>
      </c>
      <c r="K36" s="17">
        <v>0</v>
      </c>
      <c r="L36" s="20">
        <f t="shared" si="0"/>
        <v>1</v>
      </c>
      <c r="M36" s="21" t="s">
        <v>189</v>
      </c>
    </row>
    <row r="37" spans="1:13" ht="40.049999999999997" customHeight="1" x14ac:dyDescent="0.3">
      <c r="A37" s="16" t="s">
        <v>205</v>
      </c>
      <c r="B37" s="16" t="s">
        <v>26</v>
      </c>
      <c r="C37" s="16" t="s">
        <v>27</v>
      </c>
      <c r="D37" s="16" t="s">
        <v>28</v>
      </c>
      <c r="E37" s="16" t="s">
        <v>156</v>
      </c>
      <c r="F37" s="16" t="s">
        <v>30</v>
      </c>
      <c r="G37" s="16" t="s">
        <v>190</v>
      </c>
      <c r="H37" s="16" t="s">
        <v>29</v>
      </c>
      <c r="I37" s="17">
        <v>50</v>
      </c>
      <c r="J37" s="17">
        <v>38</v>
      </c>
      <c r="K37" s="17">
        <v>12</v>
      </c>
      <c r="L37" s="20">
        <f t="shared" si="0"/>
        <v>0.76</v>
      </c>
      <c r="M37" s="21" t="s">
        <v>207</v>
      </c>
    </row>
    <row r="38" spans="1:13" ht="13.5" customHeight="1" x14ac:dyDescent="0.3">
      <c r="A38" s="16" t="s">
        <v>205</v>
      </c>
      <c r="B38" s="16" t="s">
        <v>11</v>
      </c>
      <c r="C38" s="16" t="s">
        <v>12</v>
      </c>
      <c r="D38" s="16" t="s">
        <v>13</v>
      </c>
      <c r="E38" s="16" t="s">
        <v>156</v>
      </c>
      <c r="F38" s="16" t="s">
        <v>16</v>
      </c>
      <c r="G38" s="16" t="s">
        <v>39</v>
      </c>
      <c r="H38" s="16" t="s">
        <v>208</v>
      </c>
      <c r="I38" s="17">
        <v>16</v>
      </c>
      <c r="J38" s="17">
        <v>16</v>
      </c>
      <c r="K38" s="17">
        <v>0</v>
      </c>
      <c r="L38" s="20">
        <f t="shared" ref="L38:L64" si="1">IFERROR(J38/I38,0)</f>
        <v>1</v>
      </c>
      <c r="M38" s="21" t="s">
        <v>189</v>
      </c>
    </row>
    <row r="39" spans="1:13" ht="13.5" customHeight="1" x14ac:dyDescent="0.3">
      <c r="A39" s="16" t="s">
        <v>209</v>
      </c>
      <c r="B39" s="16" t="s">
        <v>11</v>
      </c>
      <c r="C39" s="16" t="s">
        <v>12</v>
      </c>
      <c r="D39" s="16" t="s">
        <v>13</v>
      </c>
      <c r="E39" s="16" t="s">
        <v>156</v>
      </c>
      <c r="F39" s="16" t="s">
        <v>17</v>
      </c>
      <c r="G39" s="16" t="s">
        <v>43</v>
      </c>
      <c r="H39" s="16" t="s">
        <v>206</v>
      </c>
      <c r="I39" s="17">
        <v>10</v>
      </c>
      <c r="J39" s="17">
        <v>9</v>
      </c>
      <c r="K39" s="17">
        <v>1</v>
      </c>
      <c r="L39" s="20">
        <f t="shared" si="1"/>
        <v>0.9</v>
      </c>
      <c r="M39" s="21" t="s">
        <v>210</v>
      </c>
    </row>
    <row r="40" spans="1:13" ht="13.5" customHeight="1" x14ac:dyDescent="0.3">
      <c r="A40" s="16" t="s">
        <v>209</v>
      </c>
      <c r="B40" s="16" t="s">
        <v>11</v>
      </c>
      <c r="C40" s="16" t="s">
        <v>12</v>
      </c>
      <c r="D40" s="16" t="s">
        <v>13</v>
      </c>
      <c r="E40" s="16" t="s">
        <v>156</v>
      </c>
      <c r="F40" s="16" t="s">
        <v>16</v>
      </c>
      <c r="G40" s="16" t="s">
        <v>39</v>
      </c>
      <c r="H40" s="16" t="s">
        <v>208</v>
      </c>
      <c r="I40" s="17">
        <v>12</v>
      </c>
      <c r="J40" s="17">
        <v>11</v>
      </c>
      <c r="K40" s="17">
        <v>1</v>
      </c>
      <c r="L40" s="20">
        <f t="shared" si="1"/>
        <v>0.91666666666666663</v>
      </c>
      <c r="M40" s="21" t="s">
        <v>50</v>
      </c>
    </row>
    <row r="41" spans="1:13" ht="13.5" customHeight="1" x14ac:dyDescent="0.3">
      <c r="A41" s="16" t="s">
        <v>211</v>
      </c>
      <c r="B41" s="16" t="s">
        <v>11</v>
      </c>
      <c r="C41" s="16" t="s">
        <v>12</v>
      </c>
      <c r="D41" s="16" t="s">
        <v>13</v>
      </c>
      <c r="E41" s="16" t="s">
        <v>156</v>
      </c>
      <c r="F41" s="16" t="s">
        <v>17</v>
      </c>
      <c r="G41" s="16" t="s">
        <v>43</v>
      </c>
      <c r="H41" s="16" t="s">
        <v>212</v>
      </c>
      <c r="I41" s="17">
        <v>14</v>
      </c>
      <c r="J41" s="17">
        <v>14</v>
      </c>
      <c r="K41" s="17">
        <v>0</v>
      </c>
      <c r="L41" s="20">
        <f t="shared" si="1"/>
        <v>1</v>
      </c>
      <c r="M41" s="21" t="s">
        <v>189</v>
      </c>
    </row>
    <row r="42" spans="1:13" ht="27" customHeight="1" x14ac:dyDescent="0.3">
      <c r="A42" s="16" t="s">
        <v>211</v>
      </c>
      <c r="B42" s="16" t="s">
        <v>26</v>
      </c>
      <c r="C42" s="16" t="s">
        <v>27</v>
      </c>
      <c r="D42" s="16" t="s">
        <v>28</v>
      </c>
      <c r="E42" s="16" t="s">
        <v>156</v>
      </c>
      <c r="F42" s="16" t="s">
        <v>30</v>
      </c>
      <c r="G42" s="16" t="s">
        <v>190</v>
      </c>
      <c r="H42" s="16" t="s">
        <v>29</v>
      </c>
      <c r="I42" s="17">
        <v>34</v>
      </c>
      <c r="J42" s="17">
        <v>29</v>
      </c>
      <c r="K42" s="17">
        <v>5</v>
      </c>
      <c r="L42" s="20">
        <f t="shared" si="1"/>
        <v>0.8529411764705882</v>
      </c>
      <c r="M42" s="21" t="s">
        <v>213</v>
      </c>
    </row>
    <row r="43" spans="1:13" ht="13.5" customHeight="1" x14ac:dyDescent="0.3">
      <c r="A43" s="16" t="s">
        <v>211</v>
      </c>
      <c r="B43" s="16" t="s">
        <v>11</v>
      </c>
      <c r="C43" s="16" t="s">
        <v>12</v>
      </c>
      <c r="D43" s="16" t="s">
        <v>13</v>
      </c>
      <c r="E43" s="16" t="s">
        <v>156</v>
      </c>
      <c r="F43" s="16" t="s">
        <v>16</v>
      </c>
      <c r="G43" s="16" t="s">
        <v>39</v>
      </c>
      <c r="H43" s="16" t="s">
        <v>214</v>
      </c>
      <c r="I43" s="17">
        <v>38</v>
      </c>
      <c r="J43" s="17">
        <v>36</v>
      </c>
      <c r="K43" s="17">
        <v>2</v>
      </c>
      <c r="L43" s="20">
        <f t="shared" si="1"/>
        <v>0.94736842105263153</v>
      </c>
      <c r="M43" s="21" t="s">
        <v>215</v>
      </c>
    </row>
    <row r="44" spans="1:13" ht="27" customHeight="1" x14ac:dyDescent="0.3">
      <c r="A44" s="16" t="s">
        <v>216</v>
      </c>
      <c r="B44" s="16" t="s">
        <v>26</v>
      </c>
      <c r="C44" s="16" t="s">
        <v>27</v>
      </c>
      <c r="D44" s="16" t="s">
        <v>28</v>
      </c>
      <c r="E44" s="16" t="s">
        <v>156</v>
      </c>
      <c r="F44" s="16" t="s">
        <v>30</v>
      </c>
      <c r="G44" s="16" t="s">
        <v>190</v>
      </c>
      <c r="H44" s="16" t="s">
        <v>29</v>
      </c>
      <c r="I44" s="17">
        <v>24</v>
      </c>
      <c r="J44" s="17">
        <v>20</v>
      </c>
      <c r="K44" s="17">
        <v>4</v>
      </c>
      <c r="L44" s="20">
        <f t="shared" si="1"/>
        <v>0.83333333333333337</v>
      </c>
      <c r="M44" s="21" t="s">
        <v>217</v>
      </c>
    </row>
    <row r="45" spans="1:13" ht="13.5" customHeight="1" x14ac:dyDescent="0.3">
      <c r="A45" s="16" t="s">
        <v>218</v>
      </c>
      <c r="B45" s="16" t="s">
        <v>11</v>
      </c>
      <c r="C45" s="16" t="s">
        <v>12</v>
      </c>
      <c r="D45" s="16" t="s">
        <v>13</v>
      </c>
      <c r="E45" s="16" t="s">
        <v>156</v>
      </c>
      <c r="F45" s="16" t="s">
        <v>17</v>
      </c>
      <c r="G45" s="16" t="s">
        <v>43</v>
      </c>
      <c r="H45" s="16" t="s">
        <v>212</v>
      </c>
      <c r="I45" s="17">
        <v>30</v>
      </c>
      <c r="J45" s="17">
        <v>29</v>
      </c>
      <c r="K45" s="17">
        <v>1</v>
      </c>
      <c r="L45" s="20">
        <f t="shared" si="1"/>
        <v>0.96666666666666667</v>
      </c>
      <c r="M45" s="21" t="s">
        <v>219</v>
      </c>
    </row>
    <row r="46" spans="1:13" ht="40.049999999999997" customHeight="1" x14ac:dyDescent="0.3">
      <c r="A46" s="16" t="s">
        <v>218</v>
      </c>
      <c r="B46" s="16" t="s">
        <v>11</v>
      </c>
      <c r="C46" s="16" t="s">
        <v>12</v>
      </c>
      <c r="D46" s="16" t="s">
        <v>13</v>
      </c>
      <c r="E46" s="16" t="s">
        <v>156</v>
      </c>
      <c r="F46" s="16" t="s">
        <v>16</v>
      </c>
      <c r="G46" s="16" t="s">
        <v>39</v>
      </c>
      <c r="H46" s="16" t="s">
        <v>214</v>
      </c>
      <c r="I46" s="17">
        <v>65</v>
      </c>
      <c r="J46" s="17">
        <v>63</v>
      </c>
      <c r="K46" s="17">
        <v>2</v>
      </c>
      <c r="L46" s="20">
        <f t="shared" si="1"/>
        <v>0.96923076923076923</v>
      </c>
      <c r="M46" s="21" t="s">
        <v>220</v>
      </c>
    </row>
    <row r="47" spans="1:13" ht="13.5" customHeight="1" x14ac:dyDescent="0.3">
      <c r="A47" s="16" t="s">
        <v>221</v>
      </c>
      <c r="B47" s="16" t="s">
        <v>11</v>
      </c>
      <c r="C47" s="16" t="s">
        <v>12</v>
      </c>
      <c r="D47" s="16" t="s">
        <v>13</v>
      </c>
      <c r="E47" s="16" t="s">
        <v>156</v>
      </c>
      <c r="F47" s="16" t="s">
        <v>17</v>
      </c>
      <c r="G47" s="16" t="s">
        <v>43</v>
      </c>
      <c r="H47" s="16" t="s">
        <v>222</v>
      </c>
      <c r="I47" s="17">
        <v>25</v>
      </c>
      <c r="J47" s="17">
        <v>25</v>
      </c>
      <c r="K47" s="17">
        <v>0</v>
      </c>
      <c r="L47" s="20">
        <f t="shared" si="1"/>
        <v>1</v>
      </c>
      <c r="M47" s="21" t="s">
        <v>189</v>
      </c>
    </row>
    <row r="48" spans="1:13" ht="27" customHeight="1" x14ac:dyDescent="0.3">
      <c r="A48" s="16" t="s">
        <v>221</v>
      </c>
      <c r="B48" s="16" t="s">
        <v>26</v>
      </c>
      <c r="C48" s="16" t="s">
        <v>27</v>
      </c>
      <c r="D48" s="16" t="s">
        <v>28</v>
      </c>
      <c r="E48" s="16" t="s">
        <v>156</v>
      </c>
      <c r="F48" s="16" t="s">
        <v>30</v>
      </c>
      <c r="G48" s="16" t="s">
        <v>190</v>
      </c>
      <c r="H48" s="16" t="s">
        <v>29</v>
      </c>
      <c r="I48" s="17">
        <v>45</v>
      </c>
      <c r="J48" s="17">
        <v>42</v>
      </c>
      <c r="K48" s="17">
        <v>3</v>
      </c>
      <c r="L48" s="20">
        <f t="shared" si="1"/>
        <v>0.93333333333333335</v>
      </c>
      <c r="M48" s="21" t="s">
        <v>223</v>
      </c>
    </row>
    <row r="49" spans="1:13" ht="13.5" customHeight="1" x14ac:dyDescent="0.3">
      <c r="A49" s="16" t="s">
        <v>221</v>
      </c>
      <c r="B49" s="16" t="s">
        <v>11</v>
      </c>
      <c r="C49" s="16" t="s">
        <v>12</v>
      </c>
      <c r="D49" s="16" t="s">
        <v>13</v>
      </c>
      <c r="E49" s="16" t="s">
        <v>156</v>
      </c>
      <c r="F49" s="16" t="s">
        <v>16</v>
      </c>
      <c r="G49" s="16" t="s">
        <v>39</v>
      </c>
      <c r="H49" s="16" t="s">
        <v>224</v>
      </c>
      <c r="I49" s="17">
        <v>46</v>
      </c>
      <c r="J49" s="17">
        <v>45</v>
      </c>
      <c r="K49" s="17">
        <v>1</v>
      </c>
      <c r="L49" s="20">
        <f t="shared" si="1"/>
        <v>0.97826086956521741</v>
      </c>
      <c r="M49" s="21" t="s">
        <v>225</v>
      </c>
    </row>
    <row r="50" spans="1:13" ht="54" customHeight="1" x14ac:dyDescent="0.3">
      <c r="A50" s="16" t="s">
        <v>226</v>
      </c>
      <c r="B50" s="16" t="s">
        <v>169</v>
      </c>
      <c r="C50" s="16" t="s">
        <v>227</v>
      </c>
      <c r="D50" s="16" t="s">
        <v>228</v>
      </c>
      <c r="E50" s="16" t="s">
        <v>157</v>
      </c>
      <c r="F50" s="16" t="s">
        <v>167</v>
      </c>
      <c r="G50" s="16" t="s">
        <v>229</v>
      </c>
      <c r="H50" s="16" t="s">
        <v>230</v>
      </c>
      <c r="I50" s="17">
        <v>19</v>
      </c>
      <c r="J50" s="17">
        <v>6</v>
      </c>
      <c r="K50" s="17">
        <v>13</v>
      </c>
      <c r="L50" s="20">
        <f t="shared" si="1"/>
        <v>0.31578947368421051</v>
      </c>
      <c r="M50" s="21" t="s">
        <v>231</v>
      </c>
    </row>
    <row r="51" spans="1:13" ht="13.5" customHeight="1" x14ac:dyDescent="0.3">
      <c r="A51" s="16" t="s">
        <v>226</v>
      </c>
      <c r="B51" s="16" t="s">
        <v>169</v>
      </c>
      <c r="C51" s="16" t="s">
        <v>227</v>
      </c>
      <c r="D51" s="16" t="s">
        <v>228</v>
      </c>
      <c r="E51" s="16" t="s">
        <v>156</v>
      </c>
      <c r="F51" s="16" t="s">
        <v>16</v>
      </c>
      <c r="G51" s="16" t="s">
        <v>39</v>
      </c>
      <c r="H51" s="16" t="s">
        <v>230</v>
      </c>
      <c r="I51" s="17">
        <v>1</v>
      </c>
      <c r="J51" s="17">
        <v>1</v>
      </c>
      <c r="K51" s="17">
        <v>0</v>
      </c>
      <c r="L51" s="20">
        <f t="shared" si="1"/>
        <v>1</v>
      </c>
      <c r="M51" s="21" t="s">
        <v>189</v>
      </c>
    </row>
    <row r="52" spans="1:13" ht="27" customHeight="1" x14ac:dyDescent="0.3">
      <c r="A52" s="16" t="s">
        <v>232</v>
      </c>
      <c r="B52" s="16" t="s">
        <v>26</v>
      </c>
      <c r="C52" s="16" t="s">
        <v>27</v>
      </c>
      <c r="D52" s="16" t="s">
        <v>28</v>
      </c>
      <c r="E52" s="16" t="s">
        <v>156</v>
      </c>
      <c r="F52" s="16" t="s">
        <v>30</v>
      </c>
      <c r="G52" s="16" t="s">
        <v>190</v>
      </c>
      <c r="H52" s="16" t="s">
        <v>29</v>
      </c>
      <c r="I52" s="17">
        <v>10</v>
      </c>
      <c r="J52" s="17">
        <v>9</v>
      </c>
      <c r="K52" s="17">
        <v>1</v>
      </c>
      <c r="L52" s="20">
        <f t="shared" si="1"/>
        <v>0.9</v>
      </c>
      <c r="M52" s="21" t="s">
        <v>233</v>
      </c>
    </row>
    <row r="53" spans="1:13" ht="13.5" customHeight="1" x14ac:dyDescent="0.3">
      <c r="A53" s="16" t="s">
        <v>234</v>
      </c>
      <c r="B53" s="16" t="s">
        <v>11</v>
      </c>
      <c r="C53" s="16" t="s">
        <v>12</v>
      </c>
      <c r="D53" s="16" t="s">
        <v>13</v>
      </c>
      <c r="E53" s="16" t="s">
        <v>156</v>
      </c>
      <c r="F53" s="16" t="s">
        <v>16</v>
      </c>
      <c r="G53" s="16" t="s">
        <v>39</v>
      </c>
      <c r="H53" s="16" t="s">
        <v>224</v>
      </c>
      <c r="I53" s="17">
        <v>44</v>
      </c>
      <c r="J53" s="17">
        <v>44</v>
      </c>
      <c r="K53" s="17">
        <v>0</v>
      </c>
      <c r="L53" s="20">
        <f t="shared" si="1"/>
        <v>1</v>
      </c>
      <c r="M53" s="21" t="s">
        <v>189</v>
      </c>
    </row>
    <row r="54" spans="1:13" ht="54" customHeight="1" x14ac:dyDescent="0.3">
      <c r="A54" s="16" t="s">
        <v>235</v>
      </c>
      <c r="B54" s="16" t="s">
        <v>169</v>
      </c>
      <c r="C54" s="16" t="s">
        <v>227</v>
      </c>
      <c r="D54" s="16" t="s">
        <v>228</v>
      </c>
      <c r="E54" s="16" t="s">
        <v>157</v>
      </c>
      <c r="F54" s="16" t="s">
        <v>167</v>
      </c>
      <c r="G54" s="16" t="s">
        <v>229</v>
      </c>
      <c r="H54" s="16" t="s">
        <v>230</v>
      </c>
      <c r="I54" s="17">
        <v>15</v>
      </c>
      <c r="J54" s="17">
        <v>0</v>
      </c>
      <c r="K54" s="17">
        <v>15</v>
      </c>
      <c r="L54" s="20">
        <f t="shared" si="1"/>
        <v>0</v>
      </c>
      <c r="M54" s="21" t="s">
        <v>236</v>
      </c>
    </row>
    <row r="55" spans="1:13" ht="13.5" customHeight="1" x14ac:dyDescent="0.3">
      <c r="A55" s="16" t="s">
        <v>235</v>
      </c>
      <c r="B55" s="16" t="s">
        <v>11</v>
      </c>
      <c r="C55" s="16" t="s">
        <v>12</v>
      </c>
      <c r="D55" s="16" t="s">
        <v>13</v>
      </c>
      <c r="E55" s="16" t="s">
        <v>156</v>
      </c>
      <c r="F55" s="16" t="s">
        <v>16</v>
      </c>
      <c r="G55" s="16" t="s">
        <v>39</v>
      </c>
      <c r="H55" s="16" t="s">
        <v>224</v>
      </c>
      <c r="I55" s="17">
        <v>35</v>
      </c>
      <c r="J55" s="17">
        <v>33</v>
      </c>
      <c r="K55" s="17">
        <v>2</v>
      </c>
      <c r="L55" s="20">
        <f t="shared" si="1"/>
        <v>0.94285714285714284</v>
      </c>
      <c r="M55" s="21" t="s">
        <v>237</v>
      </c>
    </row>
    <row r="56" spans="1:13" ht="13.5" customHeight="1" x14ac:dyDescent="0.3">
      <c r="A56" s="16" t="s">
        <v>238</v>
      </c>
      <c r="B56" s="16" t="s">
        <v>11</v>
      </c>
      <c r="C56" s="16" t="s">
        <v>12</v>
      </c>
      <c r="D56" s="16" t="s">
        <v>13</v>
      </c>
      <c r="E56" s="16" t="s">
        <v>156</v>
      </c>
      <c r="F56" s="16" t="s">
        <v>17</v>
      </c>
      <c r="G56" s="16" t="s">
        <v>43</v>
      </c>
      <c r="H56" s="16" t="s">
        <v>239</v>
      </c>
      <c r="I56" s="17">
        <v>8</v>
      </c>
      <c r="J56" s="17">
        <v>8</v>
      </c>
      <c r="K56" s="17">
        <v>0</v>
      </c>
      <c r="L56" s="20">
        <f t="shared" si="1"/>
        <v>1</v>
      </c>
      <c r="M56" s="21" t="s">
        <v>189</v>
      </c>
    </row>
    <row r="57" spans="1:13" ht="13.5" customHeight="1" x14ac:dyDescent="0.3">
      <c r="A57" s="16" t="s">
        <v>238</v>
      </c>
      <c r="B57" s="16" t="s">
        <v>11</v>
      </c>
      <c r="C57" s="16" t="s">
        <v>12</v>
      </c>
      <c r="D57" s="16" t="s">
        <v>13</v>
      </c>
      <c r="E57" s="16" t="s">
        <v>156</v>
      </c>
      <c r="F57" s="16" t="s">
        <v>16</v>
      </c>
      <c r="G57" s="16" t="s">
        <v>39</v>
      </c>
      <c r="H57" s="16" t="s">
        <v>240</v>
      </c>
      <c r="I57" s="17">
        <v>43</v>
      </c>
      <c r="J57" s="17">
        <v>41</v>
      </c>
      <c r="K57" s="17">
        <v>2</v>
      </c>
      <c r="L57" s="20">
        <f t="shared" si="1"/>
        <v>0.95348837209302328</v>
      </c>
      <c r="M57" s="21" t="s">
        <v>241</v>
      </c>
    </row>
    <row r="58" spans="1:13" ht="13.5" customHeight="1" x14ac:dyDescent="0.3">
      <c r="A58" s="16" t="s">
        <v>238</v>
      </c>
      <c r="B58" s="16" t="s">
        <v>26</v>
      </c>
      <c r="C58" s="16" t="s">
        <v>27</v>
      </c>
      <c r="D58" s="16" t="s">
        <v>28</v>
      </c>
      <c r="E58" s="16" t="s">
        <v>156</v>
      </c>
      <c r="F58" s="16" t="s">
        <v>16</v>
      </c>
      <c r="G58" s="16" t="s">
        <v>39</v>
      </c>
      <c r="H58" s="16" t="s">
        <v>29</v>
      </c>
      <c r="I58" s="17">
        <v>10</v>
      </c>
      <c r="J58" s="17">
        <v>10</v>
      </c>
      <c r="K58" s="17">
        <v>0</v>
      </c>
      <c r="L58" s="20">
        <f t="shared" si="1"/>
        <v>1</v>
      </c>
      <c r="M58" s="21" t="s">
        <v>242</v>
      </c>
    </row>
    <row r="59" spans="1:13" ht="40.049999999999997" customHeight="1" x14ac:dyDescent="0.3">
      <c r="A59" s="16" t="s">
        <v>243</v>
      </c>
      <c r="B59" s="16" t="s">
        <v>169</v>
      </c>
      <c r="C59" s="16" t="s">
        <v>227</v>
      </c>
      <c r="D59" s="16" t="s">
        <v>228</v>
      </c>
      <c r="E59" s="16" t="s">
        <v>157</v>
      </c>
      <c r="F59" s="16" t="s">
        <v>167</v>
      </c>
      <c r="G59" s="16" t="s">
        <v>229</v>
      </c>
      <c r="H59" s="16" t="s">
        <v>244</v>
      </c>
      <c r="I59" s="17">
        <v>13</v>
      </c>
      <c r="J59" s="17">
        <v>2</v>
      </c>
      <c r="K59" s="17">
        <v>11</v>
      </c>
      <c r="L59" s="20">
        <f t="shared" si="1"/>
        <v>0.15384615384615385</v>
      </c>
      <c r="M59" s="21" t="s">
        <v>245</v>
      </c>
    </row>
    <row r="60" spans="1:13" ht="40.049999999999997" customHeight="1" x14ac:dyDescent="0.3">
      <c r="A60" s="16" t="s">
        <v>243</v>
      </c>
      <c r="B60" s="16" t="s">
        <v>169</v>
      </c>
      <c r="C60" s="16" t="s">
        <v>227</v>
      </c>
      <c r="D60" s="16" t="s">
        <v>228</v>
      </c>
      <c r="E60" s="16" t="s">
        <v>156</v>
      </c>
      <c r="F60" s="16" t="s">
        <v>16</v>
      </c>
      <c r="G60" s="16" t="s">
        <v>39</v>
      </c>
      <c r="H60" s="16" t="s">
        <v>244</v>
      </c>
      <c r="I60" s="17">
        <v>13</v>
      </c>
      <c r="J60" s="17">
        <v>1</v>
      </c>
      <c r="K60" s="17">
        <v>12</v>
      </c>
      <c r="L60" s="20">
        <f t="shared" si="1"/>
        <v>7.6923076923076927E-2</v>
      </c>
      <c r="M60" s="21" t="s">
        <v>246</v>
      </c>
    </row>
    <row r="61" spans="1:13" ht="27" customHeight="1" x14ac:dyDescent="0.3">
      <c r="A61" s="16" t="s">
        <v>247</v>
      </c>
      <c r="B61" s="16" t="s">
        <v>26</v>
      </c>
      <c r="C61" s="16" t="s">
        <v>27</v>
      </c>
      <c r="D61" s="16" t="s">
        <v>28</v>
      </c>
      <c r="E61" s="16" t="s">
        <v>156</v>
      </c>
      <c r="F61" s="16" t="s">
        <v>16</v>
      </c>
      <c r="G61" s="16" t="s">
        <v>39</v>
      </c>
      <c r="H61" s="16" t="s">
        <v>29</v>
      </c>
      <c r="I61" s="17">
        <v>23</v>
      </c>
      <c r="J61" s="17">
        <v>22</v>
      </c>
      <c r="K61" s="17">
        <v>1</v>
      </c>
      <c r="L61" s="20">
        <f t="shared" si="1"/>
        <v>0.95652173913043481</v>
      </c>
      <c r="M61" s="21" t="s">
        <v>248</v>
      </c>
    </row>
    <row r="62" spans="1:13" ht="13.5" customHeight="1" x14ac:dyDescent="0.3">
      <c r="A62" s="16" t="s">
        <v>249</v>
      </c>
      <c r="B62" s="16" t="s">
        <v>11</v>
      </c>
      <c r="C62" s="16" t="s">
        <v>12</v>
      </c>
      <c r="D62" s="16" t="s">
        <v>13</v>
      </c>
      <c r="E62" s="16" t="s">
        <v>156</v>
      </c>
      <c r="F62" s="16" t="s">
        <v>17</v>
      </c>
      <c r="G62" s="16" t="s">
        <v>43</v>
      </c>
      <c r="H62" s="16" t="s">
        <v>239</v>
      </c>
      <c r="I62" s="17">
        <v>5</v>
      </c>
      <c r="J62" s="17">
        <v>5</v>
      </c>
      <c r="K62" s="17">
        <v>0</v>
      </c>
      <c r="L62" s="20">
        <f t="shared" si="1"/>
        <v>1</v>
      </c>
      <c r="M62" s="21" t="s">
        <v>189</v>
      </c>
    </row>
    <row r="63" spans="1:13" ht="27" customHeight="1" x14ac:dyDescent="0.3">
      <c r="A63" s="16" t="s">
        <v>249</v>
      </c>
      <c r="B63" s="16" t="s">
        <v>11</v>
      </c>
      <c r="C63" s="16" t="s">
        <v>12</v>
      </c>
      <c r="D63" s="16" t="s">
        <v>13</v>
      </c>
      <c r="E63" s="16" t="s">
        <v>156</v>
      </c>
      <c r="F63" s="16" t="s">
        <v>16</v>
      </c>
      <c r="G63" s="16" t="s">
        <v>39</v>
      </c>
      <c r="H63" s="16" t="s">
        <v>240</v>
      </c>
      <c r="I63" s="17">
        <v>15</v>
      </c>
      <c r="J63" s="17">
        <v>14</v>
      </c>
      <c r="K63" s="17">
        <v>1</v>
      </c>
      <c r="L63" s="20">
        <f t="shared" si="1"/>
        <v>0.93333333333333335</v>
      </c>
      <c r="M63" s="21" t="s">
        <v>250</v>
      </c>
    </row>
    <row r="64" spans="1:13" ht="54" customHeight="1" x14ac:dyDescent="0.3">
      <c r="A64" s="16" t="s">
        <v>251</v>
      </c>
      <c r="B64" s="16" t="s">
        <v>169</v>
      </c>
      <c r="C64" s="16" t="s">
        <v>227</v>
      </c>
      <c r="D64" s="16" t="s">
        <v>228</v>
      </c>
      <c r="E64" s="16" t="s">
        <v>157</v>
      </c>
      <c r="F64" s="16" t="s">
        <v>167</v>
      </c>
      <c r="G64" s="16" t="s">
        <v>229</v>
      </c>
      <c r="H64" s="16" t="s">
        <v>244</v>
      </c>
      <c r="I64" s="17">
        <v>29</v>
      </c>
      <c r="J64" s="17">
        <v>6</v>
      </c>
      <c r="K64" s="17">
        <v>23</v>
      </c>
      <c r="L64" s="20">
        <f t="shared" si="1"/>
        <v>0.20689655172413793</v>
      </c>
      <c r="M64" s="21" t="s">
        <v>252</v>
      </c>
    </row>
    <row r="66" spans="1:13" ht="18" customHeight="1" x14ac:dyDescent="0.3">
      <c r="A66" s="9" t="s">
        <v>253</v>
      </c>
      <c r="B66" s="11"/>
      <c r="C66" s="11"/>
      <c r="D66" s="11"/>
      <c r="E66" s="11"/>
      <c r="F66" s="11"/>
      <c r="G66" s="11"/>
      <c r="H66" s="11"/>
      <c r="I66" s="11"/>
      <c r="J66" s="11"/>
      <c r="K66" s="11"/>
      <c r="L66" s="11"/>
      <c r="M66" s="11"/>
    </row>
    <row r="67" spans="1:13" ht="43.2" x14ac:dyDescent="0.3">
      <c r="A67" s="18" t="s">
        <v>153</v>
      </c>
      <c r="I67" s="18" t="s">
        <v>36</v>
      </c>
      <c r="J67" s="18" t="s">
        <v>37</v>
      </c>
      <c r="K67" s="18" t="s">
        <v>38</v>
      </c>
      <c r="L67" s="18" t="s">
        <v>154</v>
      </c>
    </row>
    <row r="68" spans="1:13" x14ac:dyDescent="0.3">
      <c r="A68" s="19" t="s">
        <v>156</v>
      </c>
      <c r="I68" s="17">
        <f>SUMIF($E$6:$E$64,"Pelvic",$I$6:$I$64)</f>
        <v>1392</v>
      </c>
      <c r="J68" s="17">
        <f>SUMIF($E$6:$E$64,"Pelvic",$J$6:$J$64)</f>
        <v>1288</v>
      </c>
      <c r="K68" s="17">
        <f>SUMIF($E$6:$E$64,"Pelvic",$K$6:$K$64)</f>
        <v>104</v>
      </c>
      <c r="L68" s="20">
        <f>IFERROR(J68/I68,0)</f>
        <v>0.92528735632183912</v>
      </c>
    </row>
    <row r="69" spans="1:13" x14ac:dyDescent="0.3">
      <c r="A69" s="19" t="s">
        <v>157</v>
      </c>
      <c r="I69" s="17">
        <f>SUMIF($E$6:$E$64,"Thoracic",$I$6:$I$64)</f>
        <v>76</v>
      </c>
      <c r="J69" s="17">
        <f>SUMIF($E$6:$E$64,"Thoracic",$J$6:$J$64)</f>
        <v>14</v>
      </c>
      <c r="K69" s="17">
        <f>SUMIF($E$6:$E$64,"Thoracic",$K$6:$K$64)</f>
        <v>62</v>
      </c>
      <c r="L69" s="20">
        <f>IFERROR(J69/I69,0)</f>
        <v>0.18421052631578946</v>
      </c>
    </row>
    <row r="70" spans="1:13" x14ac:dyDescent="0.3">
      <c r="A70" s="19" t="s">
        <v>254</v>
      </c>
      <c r="I70" s="17">
        <f>SUM($I$6:$I$64)</f>
        <v>1468</v>
      </c>
      <c r="J70" s="17">
        <f>SUM($J$6:$J$64)</f>
        <v>1302</v>
      </c>
      <c r="K70" s="17">
        <f>SUM($K$6:$K$64)</f>
        <v>166</v>
      </c>
      <c r="L70" s="20">
        <f>IFERROR(J70/I70,0)</f>
        <v>0.88692098092643057</v>
      </c>
    </row>
    <row r="72" spans="1:13" ht="18" customHeight="1" x14ac:dyDescent="0.3">
      <c r="A72" s="9" t="s">
        <v>255</v>
      </c>
      <c r="B72" s="11"/>
      <c r="C72" s="11"/>
      <c r="D72" s="11"/>
      <c r="E72" s="11"/>
      <c r="F72" s="11"/>
      <c r="G72" s="11"/>
      <c r="H72" s="11"/>
      <c r="I72" s="11"/>
      <c r="J72" s="11"/>
      <c r="K72" s="11"/>
      <c r="L72" s="11"/>
      <c r="M72" s="11"/>
    </row>
    <row r="73" spans="1:13" ht="30" customHeight="1" x14ac:dyDescent="0.3">
      <c r="A73" s="7" t="s">
        <v>256</v>
      </c>
      <c r="B73" s="11"/>
      <c r="C73" s="11"/>
      <c r="D73" s="11"/>
      <c r="E73" s="11"/>
      <c r="F73" s="11"/>
      <c r="G73" s="11"/>
      <c r="H73" s="11"/>
      <c r="I73" s="11"/>
      <c r="J73" s="11"/>
      <c r="K73" s="11"/>
      <c r="L73" s="11"/>
      <c r="M73" s="11"/>
    </row>
    <row r="75" spans="1:13" ht="18" customHeight="1" x14ac:dyDescent="0.3">
      <c r="A75" s="9" t="s">
        <v>257</v>
      </c>
      <c r="B75" s="11"/>
      <c r="C75" s="11"/>
      <c r="D75" s="11"/>
      <c r="E75" s="11"/>
      <c r="F75" s="11"/>
      <c r="G75" s="11"/>
      <c r="H75" s="11"/>
      <c r="I75" s="11"/>
      <c r="J75" s="11"/>
      <c r="K75" s="11"/>
      <c r="L75" s="11"/>
      <c r="M75" s="11"/>
    </row>
    <row r="76" spans="1:13" ht="60" customHeight="1" x14ac:dyDescent="0.3">
      <c r="A76" s="23" t="s">
        <v>65</v>
      </c>
      <c r="B76" s="7" t="s">
        <v>66</v>
      </c>
      <c r="C76" s="11"/>
      <c r="D76" s="11"/>
      <c r="E76" s="11"/>
      <c r="F76" s="11"/>
      <c r="G76" s="11"/>
      <c r="H76" s="11"/>
      <c r="I76" s="11"/>
      <c r="J76" s="11"/>
      <c r="K76" s="11"/>
      <c r="L76" s="11"/>
      <c r="M76" s="11"/>
    </row>
    <row r="77" spans="1:13" ht="60" customHeight="1" x14ac:dyDescent="0.3">
      <c r="A77" s="23" t="s">
        <v>67</v>
      </c>
      <c r="B77" s="7" t="s">
        <v>68</v>
      </c>
      <c r="C77" s="11"/>
      <c r="D77" s="11"/>
      <c r="E77" s="11"/>
      <c r="F77" s="11"/>
      <c r="G77" s="11"/>
      <c r="H77" s="11"/>
      <c r="I77" s="11"/>
      <c r="J77" s="11"/>
      <c r="K77" s="11"/>
      <c r="L77" s="11"/>
      <c r="M77" s="11"/>
    </row>
    <row r="78" spans="1:13" ht="60" customHeight="1" x14ac:dyDescent="0.3">
      <c r="A78" s="23" t="s">
        <v>69</v>
      </c>
      <c r="B78" s="7" t="s">
        <v>70</v>
      </c>
      <c r="C78" s="11"/>
      <c r="D78" s="11"/>
      <c r="E78" s="11"/>
      <c r="F78" s="11"/>
      <c r="G78" s="11"/>
      <c r="H78" s="11"/>
      <c r="I78" s="11"/>
      <c r="J78" s="11"/>
      <c r="K78" s="11"/>
      <c r="L78" s="11"/>
      <c r="M78" s="11"/>
    </row>
    <row r="79" spans="1:13" ht="60" customHeight="1" x14ac:dyDescent="0.3">
      <c r="A79" s="23" t="s">
        <v>71</v>
      </c>
      <c r="B79" s="7" t="s">
        <v>72</v>
      </c>
      <c r="C79" s="11"/>
      <c r="D79" s="11"/>
      <c r="E79" s="11"/>
      <c r="F79" s="11"/>
      <c r="G79" s="11"/>
      <c r="H79" s="11"/>
      <c r="I79" s="11"/>
      <c r="J79" s="11"/>
      <c r="K79" s="11"/>
      <c r="L79" s="11"/>
      <c r="M79" s="11"/>
    </row>
    <row r="80" spans="1:13" ht="60" customHeight="1" x14ac:dyDescent="0.3">
      <c r="A80" s="23" t="s">
        <v>73</v>
      </c>
      <c r="B80" s="7" t="s">
        <v>74</v>
      </c>
      <c r="C80" s="11"/>
      <c r="D80" s="11"/>
      <c r="E80" s="11"/>
      <c r="F80" s="11"/>
      <c r="G80" s="11"/>
      <c r="H80" s="11"/>
      <c r="I80" s="11"/>
      <c r="J80" s="11"/>
      <c r="K80" s="11"/>
      <c r="L80" s="11"/>
      <c r="M80" s="11"/>
    </row>
    <row r="81" spans="1:13" ht="60" customHeight="1" x14ac:dyDescent="0.3">
      <c r="A81" s="23" t="s">
        <v>75</v>
      </c>
      <c r="B81" s="7" t="s">
        <v>76</v>
      </c>
      <c r="C81" s="11"/>
      <c r="D81" s="11"/>
      <c r="E81" s="11"/>
      <c r="F81" s="11"/>
      <c r="G81" s="11"/>
      <c r="H81" s="11"/>
      <c r="I81" s="11"/>
      <c r="J81" s="11"/>
      <c r="K81" s="11"/>
      <c r="L81" s="11"/>
      <c r="M81" s="11"/>
    </row>
    <row r="82" spans="1:13" ht="60" customHeight="1" x14ac:dyDescent="0.3">
      <c r="A82" s="23" t="s">
        <v>77</v>
      </c>
      <c r="B82" s="7" t="s">
        <v>78</v>
      </c>
      <c r="C82" s="11"/>
      <c r="D82" s="11"/>
      <c r="E82" s="11"/>
      <c r="F82" s="11"/>
      <c r="G82" s="11"/>
      <c r="H82" s="11"/>
      <c r="I82" s="11"/>
      <c r="J82" s="11"/>
      <c r="K82" s="11"/>
      <c r="L82" s="11"/>
      <c r="M82" s="11"/>
    </row>
    <row r="83" spans="1:13" ht="60" customHeight="1" x14ac:dyDescent="0.3">
      <c r="A83" s="23" t="s">
        <v>258</v>
      </c>
      <c r="B83" s="7" t="s">
        <v>259</v>
      </c>
      <c r="C83" s="11"/>
      <c r="D83" s="11"/>
      <c r="E83" s="11"/>
      <c r="F83" s="11"/>
      <c r="G83" s="11"/>
      <c r="H83" s="11"/>
      <c r="I83" s="11"/>
      <c r="J83" s="11"/>
      <c r="K83" s="11"/>
      <c r="L83" s="11"/>
      <c r="M83" s="11"/>
    </row>
    <row r="84" spans="1:13" ht="60" customHeight="1" x14ac:dyDescent="0.3">
      <c r="A84" s="23" t="s">
        <v>79</v>
      </c>
      <c r="B84" s="7" t="s">
        <v>80</v>
      </c>
      <c r="C84" s="11"/>
      <c r="D84" s="11"/>
      <c r="E84" s="11"/>
      <c r="F84" s="11"/>
      <c r="G84" s="11"/>
      <c r="H84" s="11"/>
      <c r="I84" s="11"/>
      <c r="J84" s="11"/>
      <c r="K84" s="11"/>
      <c r="L84" s="11"/>
      <c r="M84" s="11"/>
    </row>
    <row r="85" spans="1:13" ht="60" customHeight="1" x14ac:dyDescent="0.3">
      <c r="A85" s="23" t="s">
        <v>81</v>
      </c>
      <c r="B85" s="7" t="s">
        <v>82</v>
      </c>
      <c r="C85" s="11"/>
      <c r="D85" s="11"/>
      <c r="E85" s="11"/>
      <c r="F85" s="11"/>
      <c r="G85" s="11"/>
      <c r="H85" s="11"/>
      <c r="I85" s="11"/>
      <c r="J85" s="11"/>
      <c r="K85" s="11"/>
      <c r="L85" s="11"/>
      <c r="M85" s="11"/>
    </row>
    <row r="86" spans="1:13" ht="60" customHeight="1" x14ac:dyDescent="0.3">
      <c r="A86" s="23" t="s">
        <v>83</v>
      </c>
      <c r="B86" s="7" t="s">
        <v>84</v>
      </c>
      <c r="C86" s="11"/>
      <c r="D86" s="11"/>
      <c r="E86" s="11"/>
      <c r="F86" s="11"/>
      <c r="G86" s="11"/>
      <c r="H86" s="11"/>
      <c r="I86" s="11"/>
      <c r="J86" s="11"/>
      <c r="K86" s="11"/>
      <c r="L86" s="11"/>
      <c r="M86" s="11"/>
    </row>
    <row r="87" spans="1:13" ht="60" customHeight="1" x14ac:dyDescent="0.3">
      <c r="A87" s="23" t="s">
        <v>85</v>
      </c>
      <c r="B87" s="7" t="s">
        <v>86</v>
      </c>
      <c r="C87" s="11"/>
      <c r="D87" s="11"/>
      <c r="E87" s="11"/>
      <c r="F87" s="11"/>
      <c r="G87" s="11"/>
      <c r="H87" s="11"/>
      <c r="I87" s="11"/>
      <c r="J87" s="11"/>
      <c r="K87" s="11"/>
      <c r="L87" s="11"/>
      <c r="M87" s="11"/>
    </row>
    <row r="88" spans="1:13" ht="60" customHeight="1" x14ac:dyDescent="0.3">
      <c r="A88" s="23" t="s">
        <v>260</v>
      </c>
      <c r="B88" s="7" t="s">
        <v>261</v>
      </c>
      <c r="C88" s="11"/>
      <c r="D88" s="11"/>
      <c r="E88" s="11"/>
      <c r="F88" s="11"/>
      <c r="G88" s="11"/>
      <c r="H88" s="11"/>
      <c r="I88" s="11"/>
      <c r="J88" s="11"/>
      <c r="K88" s="11"/>
      <c r="L88" s="11"/>
      <c r="M88" s="11"/>
    </row>
    <row r="89" spans="1:13" ht="60" customHeight="1" x14ac:dyDescent="0.3">
      <c r="A89" s="23" t="s">
        <v>262</v>
      </c>
      <c r="B89" s="7" t="s">
        <v>263</v>
      </c>
      <c r="C89" s="11"/>
      <c r="D89" s="11"/>
      <c r="E89" s="11"/>
      <c r="F89" s="11"/>
      <c r="G89" s="11"/>
      <c r="H89" s="11"/>
      <c r="I89" s="11"/>
      <c r="J89" s="11"/>
      <c r="K89" s="11"/>
      <c r="L89" s="11"/>
      <c r="M89" s="11"/>
    </row>
    <row r="90" spans="1:13" ht="60" customHeight="1" x14ac:dyDescent="0.3">
      <c r="A90" s="23" t="s">
        <v>264</v>
      </c>
      <c r="B90" s="7" t="s">
        <v>265</v>
      </c>
      <c r="C90" s="11"/>
      <c r="D90" s="11"/>
      <c r="E90" s="11"/>
      <c r="F90" s="11"/>
      <c r="G90" s="11"/>
      <c r="H90" s="11"/>
      <c r="I90" s="11"/>
      <c r="J90" s="11"/>
      <c r="K90" s="11"/>
      <c r="L90" s="11"/>
      <c r="M90" s="11"/>
    </row>
    <row r="91" spans="1:13" ht="60" customHeight="1" x14ac:dyDescent="0.3">
      <c r="A91" s="23" t="s">
        <v>266</v>
      </c>
      <c r="B91" s="7" t="s">
        <v>267</v>
      </c>
      <c r="C91" s="11"/>
      <c r="D91" s="11"/>
      <c r="E91" s="11"/>
      <c r="F91" s="11"/>
      <c r="G91" s="11"/>
      <c r="H91" s="11"/>
      <c r="I91" s="11"/>
      <c r="J91" s="11"/>
      <c r="K91" s="11"/>
      <c r="L91" s="11"/>
      <c r="M91" s="11"/>
    </row>
    <row r="92" spans="1:13" ht="60" customHeight="1" x14ac:dyDescent="0.3">
      <c r="A92" s="23" t="s">
        <v>268</v>
      </c>
      <c r="B92" s="7" t="s">
        <v>269</v>
      </c>
      <c r="C92" s="11"/>
      <c r="D92" s="11"/>
      <c r="E92" s="11"/>
      <c r="F92" s="11"/>
      <c r="G92" s="11"/>
      <c r="H92" s="11"/>
      <c r="I92" s="11"/>
      <c r="J92" s="11"/>
      <c r="K92" s="11"/>
      <c r="L92" s="11"/>
      <c r="M92" s="11"/>
    </row>
    <row r="93" spans="1:13" ht="60" customHeight="1" x14ac:dyDescent="0.3">
      <c r="A93" s="23" t="s">
        <v>270</v>
      </c>
      <c r="B93" s="7" t="s">
        <v>271</v>
      </c>
      <c r="C93" s="11"/>
      <c r="D93" s="11"/>
      <c r="E93" s="11"/>
      <c r="F93" s="11"/>
      <c r="G93" s="11"/>
      <c r="H93" s="11"/>
      <c r="I93" s="11"/>
      <c r="J93" s="11"/>
      <c r="K93" s="11"/>
      <c r="L93" s="11"/>
      <c r="M93" s="11"/>
    </row>
    <row r="94" spans="1:13" ht="60" customHeight="1" x14ac:dyDescent="0.3">
      <c r="A94" s="23" t="s">
        <v>272</v>
      </c>
      <c r="B94" s="7" t="s">
        <v>273</v>
      </c>
      <c r="C94" s="11"/>
      <c r="D94" s="11"/>
      <c r="E94" s="11"/>
      <c r="F94" s="11"/>
      <c r="G94" s="11"/>
      <c r="H94" s="11"/>
      <c r="I94" s="11"/>
      <c r="J94" s="11"/>
      <c r="K94" s="11"/>
      <c r="L94" s="11"/>
      <c r="M94" s="11"/>
    </row>
    <row r="95" spans="1:13" ht="60" customHeight="1" x14ac:dyDescent="0.3">
      <c r="A95" s="23" t="s">
        <v>274</v>
      </c>
      <c r="B95" s="7" t="s">
        <v>275</v>
      </c>
      <c r="C95" s="11"/>
      <c r="D95" s="11"/>
      <c r="E95" s="11"/>
      <c r="F95" s="11"/>
      <c r="G95" s="11"/>
      <c r="H95" s="11"/>
      <c r="I95" s="11"/>
      <c r="J95" s="11"/>
      <c r="K95" s="11"/>
      <c r="L95" s="11"/>
      <c r="M95" s="11"/>
    </row>
    <row r="96" spans="1:13" ht="60" customHeight="1" x14ac:dyDescent="0.3">
      <c r="A96" s="23" t="s">
        <v>276</v>
      </c>
      <c r="B96" s="7" t="s">
        <v>277</v>
      </c>
      <c r="C96" s="11"/>
      <c r="D96" s="11"/>
      <c r="E96" s="11"/>
      <c r="F96" s="11"/>
      <c r="G96" s="11"/>
      <c r="H96" s="11"/>
      <c r="I96" s="11"/>
      <c r="J96" s="11"/>
      <c r="K96" s="11"/>
      <c r="L96" s="11"/>
      <c r="M96" s="11"/>
    </row>
    <row r="97" spans="1:13" ht="60" customHeight="1" x14ac:dyDescent="0.3">
      <c r="A97" s="23" t="s">
        <v>278</v>
      </c>
      <c r="B97" s="7" t="s">
        <v>279</v>
      </c>
      <c r="C97" s="11"/>
      <c r="D97" s="11"/>
      <c r="E97" s="11"/>
      <c r="F97" s="11"/>
      <c r="G97" s="11"/>
      <c r="H97" s="11"/>
      <c r="I97" s="11"/>
      <c r="J97" s="11"/>
      <c r="K97" s="11"/>
      <c r="L97" s="11"/>
      <c r="M97" s="11"/>
    </row>
    <row r="98" spans="1:13" ht="60" customHeight="1" x14ac:dyDescent="0.3">
      <c r="A98" s="23" t="s">
        <v>280</v>
      </c>
      <c r="B98" s="7" t="s">
        <v>281</v>
      </c>
      <c r="C98" s="11"/>
      <c r="D98" s="11"/>
      <c r="E98" s="11"/>
      <c r="F98" s="11"/>
      <c r="G98" s="11"/>
      <c r="H98" s="11"/>
      <c r="I98" s="11"/>
      <c r="J98" s="11"/>
      <c r="K98" s="11"/>
      <c r="L98" s="11"/>
      <c r="M98" s="11"/>
    </row>
    <row r="99" spans="1:13" ht="46.05" customHeight="1" x14ac:dyDescent="0.3">
      <c r="A99" s="23" t="s">
        <v>282</v>
      </c>
      <c r="B99" s="7" t="s">
        <v>283</v>
      </c>
      <c r="C99" s="11"/>
      <c r="D99" s="11"/>
      <c r="E99" s="11"/>
      <c r="F99" s="11"/>
      <c r="G99" s="11"/>
      <c r="H99" s="11"/>
      <c r="I99" s="11"/>
      <c r="J99" s="11"/>
      <c r="K99" s="11"/>
      <c r="L99" s="11"/>
      <c r="M99" s="11"/>
    </row>
    <row r="100" spans="1:13" ht="60" customHeight="1" x14ac:dyDescent="0.3">
      <c r="A100" s="23" t="s">
        <v>284</v>
      </c>
      <c r="B100" s="7" t="s">
        <v>285</v>
      </c>
      <c r="C100" s="11"/>
      <c r="D100" s="11"/>
      <c r="E100" s="11"/>
      <c r="F100" s="11"/>
      <c r="G100" s="11"/>
      <c r="H100" s="11"/>
      <c r="I100" s="11"/>
      <c r="J100" s="11"/>
      <c r="K100" s="11"/>
      <c r="L100" s="11"/>
      <c r="M100" s="11"/>
    </row>
  </sheetData>
  <mergeCells count="32">
    <mergeCell ref="B99:M99"/>
    <mergeCell ref="B100:M100"/>
    <mergeCell ref="B94:M94"/>
    <mergeCell ref="B95:M95"/>
    <mergeCell ref="B96:M96"/>
    <mergeCell ref="B97:M97"/>
    <mergeCell ref="B98:M98"/>
    <mergeCell ref="B89:M89"/>
    <mergeCell ref="B90:M90"/>
    <mergeCell ref="B91:M91"/>
    <mergeCell ref="B92:M92"/>
    <mergeCell ref="B93:M93"/>
    <mergeCell ref="B84:M84"/>
    <mergeCell ref="B85:M85"/>
    <mergeCell ref="B86:M86"/>
    <mergeCell ref="B87:M87"/>
    <mergeCell ref="B88:M88"/>
    <mergeCell ref="B79:M79"/>
    <mergeCell ref="B80:M80"/>
    <mergeCell ref="B81:M81"/>
    <mergeCell ref="B82:M82"/>
    <mergeCell ref="B83:M83"/>
    <mergeCell ref="A73:M73"/>
    <mergeCell ref="A75:M75"/>
    <mergeCell ref="B76:M76"/>
    <mergeCell ref="B77:M77"/>
    <mergeCell ref="B78:M78"/>
    <mergeCell ref="A1:M1"/>
    <mergeCell ref="A2:M2"/>
    <mergeCell ref="A4:M4"/>
    <mergeCell ref="A66:M66"/>
    <mergeCell ref="A72:M72"/>
  </mergeCells>
  <conditionalFormatting sqref="L6:L64">
    <cfRule type="colorScale" priority="1">
      <colorScale>
        <cfvo type="num" val="0.6"/>
        <cfvo type="num" val="0.85"/>
        <cfvo type="num" val="1"/>
        <color rgb="FFF8696B"/>
        <color rgb="FFFFEB84"/>
        <color rgb="FF63BE7B"/>
      </colorScale>
    </cfRule>
  </conditionalFormatting>
  <pageMargins left="0.5" right="0.5" top="0.6" bottom="0.6"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31"/>
  <sheetViews>
    <sheetView workbookViewId="0">
      <selection sqref="A1:I1"/>
    </sheetView>
  </sheetViews>
  <sheetFormatPr defaultRowHeight="14.4" x14ac:dyDescent="0.3"/>
  <cols>
    <col min="1" max="1" width="12" customWidth="1"/>
    <col min="2" max="2" width="26" customWidth="1"/>
    <col min="3" max="3" width="22" customWidth="1"/>
    <col min="4" max="6" width="11" customWidth="1"/>
    <col min="7" max="7" width="15" customWidth="1"/>
    <col min="8" max="8" width="11" customWidth="1"/>
    <col min="9" max="9" width="13" customWidth="1"/>
  </cols>
  <sheetData>
    <row r="1" spans="1:9" ht="22.05" customHeight="1" x14ac:dyDescent="0.4">
      <c r="A1" s="12" t="s">
        <v>150</v>
      </c>
      <c r="B1" s="11"/>
      <c r="C1" s="11"/>
      <c r="D1" s="11"/>
      <c r="E1" s="11"/>
      <c r="F1" s="11"/>
      <c r="G1" s="11"/>
      <c r="H1" s="11"/>
      <c r="I1" s="11"/>
    </row>
    <row r="2" spans="1:9" ht="43.95" customHeight="1" x14ac:dyDescent="0.3">
      <c r="A2" s="10" t="s">
        <v>151</v>
      </c>
      <c r="B2" s="11"/>
      <c r="C2" s="11"/>
      <c r="D2" s="11"/>
      <c r="E2" s="11"/>
      <c r="F2" s="11"/>
      <c r="G2" s="11"/>
      <c r="H2" s="11"/>
      <c r="I2" s="11"/>
    </row>
    <row r="4" spans="1:9" ht="18" customHeight="1" x14ac:dyDescent="0.3">
      <c r="A4" s="9" t="s">
        <v>152</v>
      </c>
      <c r="B4" s="11"/>
      <c r="C4" s="11"/>
      <c r="D4" s="11"/>
      <c r="E4" s="11"/>
      <c r="F4" s="11"/>
      <c r="G4" s="11"/>
      <c r="H4" s="11"/>
      <c r="I4" s="11"/>
    </row>
    <row r="5" spans="1:9" ht="28.8" x14ac:dyDescent="0.3">
      <c r="A5" s="18" t="s">
        <v>153</v>
      </c>
      <c r="B5" s="18" t="s">
        <v>36</v>
      </c>
      <c r="C5" s="18" t="s">
        <v>37</v>
      </c>
      <c r="D5" s="18" t="s">
        <v>38</v>
      </c>
      <c r="E5" s="18" t="s">
        <v>154</v>
      </c>
      <c r="F5" s="18" t="s">
        <v>155</v>
      </c>
    </row>
    <row r="6" spans="1:9" x14ac:dyDescent="0.3">
      <c r="A6" s="16" t="s">
        <v>156</v>
      </c>
      <c r="B6" s="17">
        <f>SUMIF('Slaughterhouse IQC'!$E$6:$E$64,"Pelvic",'Slaughterhouse IQC'!$I$6:$I$64)</f>
        <v>1392</v>
      </c>
      <c r="C6" s="17">
        <f>SUMIF('Slaughterhouse IQC'!$E$6:$E$64,"Pelvic",'Slaughterhouse IQC'!$J$6:$J$64)</f>
        <v>1288</v>
      </c>
      <c r="D6" s="17">
        <f>SUMIF('Slaughterhouse IQC'!$E$6:$E$64,"Pelvic",'Slaughterhouse IQC'!$K$6:$K$64)</f>
        <v>104</v>
      </c>
      <c r="E6" s="20">
        <f>IFERROR(C6/B6,0)</f>
        <v>0.92528735632183912</v>
      </c>
      <c r="F6" s="20">
        <f>IFERROR(D6/B6,0)</f>
        <v>7.4712643678160925E-2</v>
      </c>
    </row>
    <row r="7" spans="1:9" x14ac:dyDescent="0.3">
      <c r="A7" s="16" t="s">
        <v>157</v>
      </c>
      <c r="B7" s="17">
        <f>SUMIF('Slaughterhouse IQC'!$E$6:$E$64,"Thoracic",'Slaughterhouse IQC'!$I$6:$I$64)</f>
        <v>76</v>
      </c>
      <c r="C7" s="17">
        <f>SUMIF('Slaughterhouse IQC'!$E$6:$E$64,"Thoracic",'Slaughterhouse IQC'!$J$6:$J$64)</f>
        <v>14</v>
      </c>
      <c r="D7" s="17">
        <f>SUMIF('Slaughterhouse IQC'!$E$6:$E$64,"Thoracic",'Slaughterhouse IQC'!$K$6:$K$64)</f>
        <v>62</v>
      </c>
      <c r="E7" s="20">
        <f>IFERROR(C7/B7,0)</f>
        <v>0.18421052631578946</v>
      </c>
      <c r="F7" s="20">
        <f>IFERROR(D7/B7,0)</f>
        <v>0.81578947368421051</v>
      </c>
    </row>
    <row r="8" spans="1:9" x14ac:dyDescent="0.3">
      <c r="A8" s="19" t="s">
        <v>89</v>
      </c>
      <c r="B8" s="17">
        <f>SUM(B6:B7)</f>
        <v>1468</v>
      </c>
      <c r="C8" s="17">
        <f>SUM(C6:C7)</f>
        <v>1302</v>
      </c>
      <c r="D8" s="17">
        <f>SUM(D6:D7)</f>
        <v>166</v>
      </c>
      <c r="E8" s="20">
        <f>IFERROR(C8/B8,0)</f>
        <v>0.88692098092643057</v>
      </c>
      <c r="F8" s="20">
        <f>IFERROR(D8/B8,0)</f>
        <v>0.11307901907356949</v>
      </c>
    </row>
    <row r="10" spans="1:9" ht="18" customHeight="1" x14ac:dyDescent="0.3">
      <c r="A10" s="9" t="s">
        <v>158</v>
      </c>
      <c r="B10" s="11"/>
      <c r="C10" s="11"/>
      <c r="D10" s="11"/>
      <c r="E10" s="11"/>
      <c r="F10" s="11"/>
      <c r="G10" s="11"/>
      <c r="H10" s="11"/>
      <c r="I10" s="11"/>
    </row>
    <row r="11" spans="1:9" x14ac:dyDescent="0.3">
      <c r="A11" s="18" t="s">
        <v>159</v>
      </c>
      <c r="B11" s="18" t="s">
        <v>87</v>
      </c>
      <c r="C11" s="18" t="s">
        <v>8</v>
      </c>
      <c r="D11" s="18" t="s">
        <v>36</v>
      </c>
      <c r="E11" s="18" t="s">
        <v>37</v>
      </c>
      <c r="F11" s="18" t="s">
        <v>38</v>
      </c>
      <c r="G11" s="18" t="s">
        <v>154</v>
      </c>
      <c r="H11" s="18" t="s">
        <v>155</v>
      </c>
      <c r="I11" s="18" t="s">
        <v>160</v>
      </c>
    </row>
    <row r="12" spans="1:9" x14ac:dyDescent="0.3">
      <c r="A12" s="16" t="s">
        <v>16</v>
      </c>
      <c r="B12" s="16" t="s">
        <v>161</v>
      </c>
      <c r="C12" s="16" t="s">
        <v>162</v>
      </c>
      <c r="D12" s="17">
        <f>SUMIF('Slaughterhouse IQC'!$F$6:$F$64,"666541",'Slaughterhouse IQC'!$I$6:$I$64)</f>
        <v>813</v>
      </c>
      <c r="E12" s="17">
        <f>SUMIF('Slaughterhouse IQC'!$F$6:$F$64,"666541",'Slaughterhouse IQC'!$J$6:$J$64)</f>
        <v>762</v>
      </c>
      <c r="F12" s="17">
        <f>SUMIF('Slaughterhouse IQC'!$F$6:$F$64,"666541",'Slaughterhouse IQC'!$K$6:$K$64)</f>
        <v>51</v>
      </c>
      <c r="G12" s="20">
        <f>IFERROR(E12/D12,0)</f>
        <v>0.9372693726937269</v>
      </c>
      <c r="H12" s="20">
        <f>IFERROR(F12/D12,0)</f>
        <v>6.273062730627306E-2</v>
      </c>
      <c r="I12" s="16" t="s">
        <v>163</v>
      </c>
    </row>
    <row r="13" spans="1:9" x14ac:dyDescent="0.3">
      <c r="A13" s="16" t="s">
        <v>17</v>
      </c>
      <c r="B13" s="16" t="s">
        <v>164</v>
      </c>
      <c r="C13" s="16" t="s">
        <v>11</v>
      </c>
      <c r="D13" s="17">
        <f>SUMIF('Slaughterhouse IQC'!$F$6:$F$64,"666506",'Slaughterhouse IQC'!$I$6:$I$64)</f>
        <v>322</v>
      </c>
      <c r="E13" s="17">
        <f>SUMIF('Slaughterhouse IQC'!$F$6:$F$64,"666506",'Slaughterhouse IQC'!$J$6:$J$64)</f>
        <v>309</v>
      </c>
      <c r="F13" s="17">
        <f>SUMIF('Slaughterhouse IQC'!$F$6:$F$64,"666506",'Slaughterhouse IQC'!$K$6:$K$64)</f>
        <v>13</v>
      </c>
      <c r="G13" s="20">
        <f>IFERROR(E13/D13,0)</f>
        <v>0.95962732919254656</v>
      </c>
      <c r="H13" s="20">
        <f>IFERROR(F13/D13,0)</f>
        <v>4.0372670807453416E-2</v>
      </c>
      <c r="I13" s="16" t="s">
        <v>163</v>
      </c>
    </row>
    <row r="14" spans="1:9" x14ac:dyDescent="0.3">
      <c r="A14" s="16" t="s">
        <v>30</v>
      </c>
      <c r="B14" s="16" t="s">
        <v>165</v>
      </c>
      <c r="C14" s="16" t="s">
        <v>88</v>
      </c>
      <c r="D14" s="17">
        <f>SUMIF('Slaughterhouse IQC'!$F$6:$F$64,"666518",'Slaughterhouse IQC'!$I$6:$I$64)</f>
        <v>257</v>
      </c>
      <c r="E14" s="17">
        <f>SUMIF('Slaughterhouse IQC'!$F$6:$F$64,"666518",'Slaughterhouse IQC'!$J$6:$J$64)</f>
        <v>217</v>
      </c>
      <c r="F14" s="17">
        <f>SUMIF('Slaughterhouse IQC'!$F$6:$F$64,"666518",'Slaughterhouse IQC'!$K$6:$K$64)</f>
        <v>40</v>
      </c>
      <c r="G14" s="20">
        <f>IFERROR(E14/D14,0)</f>
        <v>0.8443579766536965</v>
      </c>
      <c r="H14" s="20">
        <f>IFERROR(F14/D14,0)</f>
        <v>0.1556420233463035</v>
      </c>
      <c r="I14" s="16" t="s">
        <v>166</v>
      </c>
    </row>
    <row r="15" spans="1:9" x14ac:dyDescent="0.3">
      <c r="A15" s="16" t="s">
        <v>167</v>
      </c>
      <c r="B15" s="16" t="s">
        <v>168</v>
      </c>
      <c r="C15" s="16" t="s">
        <v>169</v>
      </c>
      <c r="D15" s="17">
        <f>SUMIF('Slaughterhouse IQC'!$F$6:$F$64,"666521",'Slaughterhouse IQC'!$I$6:$I$64)</f>
        <v>76</v>
      </c>
      <c r="E15" s="17">
        <f>SUMIF('Slaughterhouse IQC'!$F$6:$F$64,"666521",'Slaughterhouse IQC'!$J$6:$J$64)</f>
        <v>14</v>
      </c>
      <c r="F15" s="17">
        <f>SUMIF('Slaughterhouse IQC'!$F$6:$F$64,"666521",'Slaughterhouse IQC'!$K$6:$K$64)</f>
        <v>62</v>
      </c>
      <c r="G15" s="20">
        <f>IFERROR(E15/D15,0)</f>
        <v>0.18421052631578946</v>
      </c>
      <c r="H15" s="20">
        <f>IFERROR(F15/D15,0)</f>
        <v>0.81578947368421051</v>
      </c>
      <c r="I15" s="16" t="s">
        <v>170</v>
      </c>
    </row>
    <row r="17" spans="1:9" ht="18" customHeight="1" x14ac:dyDescent="0.3">
      <c r="A17" s="9" t="s">
        <v>171</v>
      </c>
      <c r="B17" s="11"/>
      <c r="C17" s="11"/>
      <c r="D17" s="11"/>
      <c r="E17" s="11"/>
      <c r="F17" s="11"/>
      <c r="G17" s="11"/>
      <c r="H17" s="11"/>
      <c r="I17" s="11"/>
    </row>
    <row r="18" spans="1:9" ht="28.8" x14ac:dyDescent="0.3">
      <c r="A18" s="18" t="s">
        <v>8</v>
      </c>
      <c r="B18" s="18" t="s">
        <v>172</v>
      </c>
      <c r="C18" s="18" t="s">
        <v>36</v>
      </c>
      <c r="D18" s="18" t="s">
        <v>37</v>
      </c>
      <c r="E18" s="18" t="s">
        <v>38</v>
      </c>
      <c r="F18" s="18" t="s">
        <v>154</v>
      </c>
      <c r="G18" s="18" t="s">
        <v>155</v>
      </c>
    </row>
    <row r="19" spans="1:9" x14ac:dyDescent="0.3">
      <c r="A19" s="16" t="s">
        <v>11</v>
      </c>
      <c r="B19" s="16" t="s">
        <v>173</v>
      </c>
      <c r="C19" s="17">
        <f>SUMIF('Slaughterhouse IQC'!$B$6:$B$64,"Martins",'Slaughterhouse IQC'!$I$6:$I$64)</f>
        <v>1088</v>
      </c>
      <c r="D19" s="17">
        <f>SUMIF('Slaughterhouse IQC'!$B$6:$B$64,"Martins",'Slaughterhouse IQC'!$J$6:$J$64)</f>
        <v>1037</v>
      </c>
      <c r="E19" s="17">
        <f>SUMIF('Slaughterhouse IQC'!$B$6:$B$64,"Martins",'Slaughterhouse IQC'!$K$6:$K$64)</f>
        <v>51</v>
      </c>
      <c r="F19" s="20">
        <f>IFERROR(D19/C19,0)</f>
        <v>0.953125</v>
      </c>
      <c r="G19" s="20">
        <f>IFERROR(E19/C19,0)</f>
        <v>4.6875E-2</v>
      </c>
    </row>
    <row r="20" spans="1:9" x14ac:dyDescent="0.3">
      <c r="A20" s="16" t="s">
        <v>26</v>
      </c>
      <c r="B20" s="16" t="s">
        <v>174</v>
      </c>
      <c r="C20" s="17">
        <f>SUMIF('Slaughterhouse IQC'!$B$6:$B$64,"Parks Family Meats",'Slaughterhouse IQC'!$I$6:$I$64)</f>
        <v>290</v>
      </c>
      <c r="D20" s="17">
        <f>SUMIF('Slaughterhouse IQC'!$B$6:$B$64,"Parks Family Meats",'Slaughterhouse IQC'!$J$6:$J$64)</f>
        <v>249</v>
      </c>
      <c r="E20" s="17">
        <f>SUMIF('Slaughterhouse IQC'!$B$6:$B$64,"Parks Family Meats",'Slaughterhouse IQC'!$K$6:$K$64)</f>
        <v>41</v>
      </c>
      <c r="F20" s="20">
        <f>IFERROR(D20/C20,0)</f>
        <v>0.85862068965517246</v>
      </c>
      <c r="G20" s="20">
        <f>IFERROR(E20/C20,0)</f>
        <v>0.14137931034482759</v>
      </c>
    </row>
    <row r="21" spans="1:9" x14ac:dyDescent="0.3">
      <c r="A21" s="16" t="s">
        <v>169</v>
      </c>
      <c r="B21" s="16" t="s">
        <v>175</v>
      </c>
      <c r="C21" s="17">
        <f>SUMIF('Slaughterhouse IQC'!$B$6:$B$64,"Nahunta",'Slaughterhouse IQC'!$I$6:$I$64)</f>
        <v>90</v>
      </c>
      <c r="D21" s="17">
        <f>SUMIF('Slaughterhouse IQC'!$B$6:$B$64,"Nahunta",'Slaughterhouse IQC'!$J$6:$J$64)</f>
        <v>16</v>
      </c>
      <c r="E21" s="17">
        <f>SUMIF('Slaughterhouse IQC'!$B$6:$B$64,"Nahunta",'Slaughterhouse IQC'!$K$6:$K$64)</f>
        <v>74</v>
      </c>
      <c r="F21" s="20">
        <f>IFERROR(D21/C21,0)</f>
        <v>0.17777777777777778</v>
      </c>
      <c r="G21" s="20">
        <f>IFERROR(E21/C21,0)</f>
        <v>0.82222222222222219</v>
      </c>
    </row>
    <row r="23" spans="1:9" ht="18" customHeight="1" x14ac:dyDescent="0.3">
      <c r="A23" s="9" t="s">
        <v>176</v>
      </c>
      <c r="B23" s="11"/>
      <c r="C23" s="11"/>
      <c r="D23" s="11"/>
      <c r="E23" s="11"/>
      <c r="F23" s="11"/>
      <c r="G23" s="11"/>
      <c r="H23" s="11"/>
      <c r="I23" s="11"/>
    </row>
    <row r="24" spans="1:9" ht="16.05" customHeight="1" x14ac:dyDescent="0.3">
      <c r="A24" s="8" t="s">
        <v>177</v>
      </c>
      <c r="B24" s="11"/>
      <c r="C24" s="11"/>
      <c r="D24" s="11"/>
      <c r="E24" s="11"/>
      <c r="F24" s="11"/>
      <c r="G24" s="11"/>
      <c r="H24" s="11"/>
      <c r="I24" s="11"/>
    </row>
    <row r="25" spans="1:9" ht="43.95" customHeight="1" x14ac:dyDescent="0.3">
      <c r="A25" s="7" t="s">
        <v>178</v>
      </c>
      <c r="B25" s="11"/>
      <c r="C25" s="11"/>
      <c r="D25" s="11"/>
      <c r="E25" s="11"/>
      <c r="F25" s="11"/>
      <c r="G25" s="11"/>
      <c r="H25" s="11"/>
      <c r="I25" s="11"/>
    </row>
    <row r="26" spans="1:9" ht="16.05" customHeight="1" x14ac:dyDescent="0.3">
      <c r="A26" s="8" t="s">
        <v>179</v>
      </c>
      <c r="B26" s="11"/>
      <c r="C26" s="11"/>
      <c r="D26" s="11"/>
      <c r="E26" s="11"/>
      <c r="F26" s="11"/>
      <c r="G26" s="11"/>
      <c r="H26" s="11"/>
      <c r="I26" s="11"/>
    </row>
    <row r="27" spans="1:9" ht="43.95" customHeight="1" x14ac:dyDescent="0.3">
      <c r="A27" s="7" t="s">
        <v>180</v>
      </c>
      <c r="B27" s="11"/>
      <c r="C27" s="11"/>
      <c r="D27" s="11"/>
      <c r="E27" s="11"/>
      <c r="F27" s="11"/>
      <c r="G27" s="11"/>
      <c r="H27" s="11"/>
      <c r="I27" s="11"/>
    </row>
    <row r="28" spans="1:9" ht="16.05" customHeight="1" x14ac:dyDescent="0.3">
      <c r="A28" s="8" t="s">
        <v>181</v>
      </c>
      <c r="B28" s="11"/>
      <c r="C28" s="11"/>
      <c r="D28" s="11"/>
      <c r="E28" s="11"/>
      <c r="F28" s="11"/>
      <c r="G28" s="11"/>
      <c r="H28" s="11"/>
      <c r="I28" s="11"/>
    </row>
    <row r="29" spans="1:9" ht="43.95" customHeight="1" x14ac:dyDescent="0.3">
      <c r="A29" s="7" t="s">
        <v>182</v>
      </c>
      <c r="B29" s="11"/>
      <c r="C29" s="11"/>
      <c r="D29" s="11"/>
      <c r="E29" s="11"/>
      <c r="F29" s="11"/>
      <c r="G29" s="11"/>
      <c r="H29" s="11"/>
      <c r="I29" s="11"/>
    </row>
    <row r="30" spans="1:9" ht="16.05" customHeight="1" x14ac:dyDescent="0.3">
      <c r="A30" s="8" t="s">
        <v>183</v>
      </c>
      <c r="B30" s="11"/>
      <c r="C30" s="11"/>
      <c r="D30" s="11"/>
      <c r="E30" s="11"/>
      <c r="F30" s="11"/>
      <c r="G30" s="11"/>
      <c r="H30" s="11"/>
      <c r="I30" s="11"/>
    </row>
    <row r="31" spans="1:9" ht="43.95" customHeight="1" x14ac:dyDescent="0.3">
      <c r="A31" s="7" t="s">
        <v>184</v>
      </c>
      <c r="B31" s="11"/>
      <c r="C31" s="11"/>
      <c r="D31" s="11"/>
      <c r="E31" s="11"/>
      <c r="F31" s="11"/>
      <c r="G31" s="11"/>
      <c r="H31" s="11"/>
      <c r="I31" s="11"/>
    </row>
  </sheetData>
  <mergeCells count="14">
    <mergeCell ref="A28:I28"/>
    <mergeCell ref="A29:I29"/>
    <mergeCell ref="A30:I30"/>
    <mergeCell ref="A31:I31"/>
    <mergeCell ref="A23:I23"/>
    <mergeCell ref="A24:I24"/>
    <mergeCell ref="A25:I25"/>
    <mergeCell ref="A26:I26"/>
    <mergeCell ref="A27:I27"/>
    <mergeCell ref="A1:I1"/>
    <mergeCell ref="A2:I2"/>
    <mergeCell ref="A4:I4"/>
    <mergeCell ref="A10:I10"/>
    <mergeCell ref="A17:I17"/>
  </mergeCells>
  <conditionalFormatting sqref="E6:E8 F19:F21 G12:G15">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9"/>
  <sheetViews>
    <sheetView topLeftCell="A38" workbookViewId="0">
      <selection activeCell="I68" sqref="I68"/>
    </sheetView>
  </sheetViews>
  <sheetFormatPr defaultRowHeight="14.4" x14ac:dyDescent="0.3"/>
  <cols>
    <col min="1" max="1" width="34" customWidth="1"/>
    <col min="2" max="6" width="10" customWidth="1"/>
    <col min="7" max="7" width="11" customWidth="1"/>
  </cols>
  <sheetData>
    <row r="1" spans="1:7" ht="22.05" customHeight="1" x14ac:dyDescent="0.4">
      <c r="A1" s="12" t="s">
        <v>286</v>
      </c>
      <c r="B1" s="11"/>
      <c r="C1" s="11"/>
      <c r="D1" s="11"/>
      <c r="E1" s="11"/>
      <c r="F1" s="11"/>
      <c r="G1" s="11"/>
    </row>
    <row r="2" spans="1:7" ht="58.05" customHeight="1" x14ac:dyDescent="0.3">
      <c r="A2" s="10" t="s">
        <v>287</v>
      </c>
      <c r="B2" s="11"/>
      <c r="C2" s="11"/>
      <c r="D2" s="11"/>
      <c r="E2" s="11"/>
      <c r="F2" s="11"/>
      <c r="G2" s="11"/>
    </row>
    <row r="4" spans="1:7" ht="18" customHeight="1" x14ac:dyDescent="0.3">
      <c r="A4" s="9" t="s">
        <v>288</v>
      </c>
      <c r="B4" s="11"/>
      <c r="C4" s="11"/>
      <c r="D4" s="11"/>
      <c r="E4" s="11"/>
      <c r="F4" s="11"/>
      <c r="G4" s="11"/>
    </row>
    <row r="5" spans="1:7" x14ac:dyDescent="0.3">
      <c r="A5" s="18" t="s">
        <v>289</v>
      </c>
      <c r="B5" s="18" t="s">
        <v>290</v>
      </c>
      <c r="C5" s="18" t="s">
        <v>291</v>
      </c>
      <c r="D5" s="18" t="s">
        <v>292</v>
      </c>
      <c r="E5" s="18" t="s">
        <v>293</v>
      </c>
      <c r="F5" s="18" t="s">
        <v>294</v>
      </c>
      <c r="G5" s="18" t="s">
        <v>4</v>
      </c>
    </row>
    <row r="6" spans="1:7" x14ac:dyDescent="0.3">
      <c r="A6" s="16" t="s">
        <v>295</v>
      </c>
      <c r="B6" s="20">
        <f>IF(SUMPRODUCT((LEFT('Slaughterhouse IQC'!$A$6:$A$64,7)="2026-04")*('Slaughterhouse IQC'!$B$6:$B$64="Martins")*('Slaughterhouse IQC'!$F$6:$F$64="666541")*'Slaughterhouse IQC'!$I$6:$I$64)=0,"",SUMPRODUCT((LEFT('Slaughterhouse IQC'!$A$6:$A$64,7)="2026-04")*('Slaughterhouse IQC'!$B$6:$B$64="Martins")*('Slaughterhouse IQC'!$F$6:$F$64="666541")*'Slaughterhouse IQC'!$J$6:$J$64)/SUMPRODUCT((LEFT('Slaughterhouse IQC'!$A$6:$A$64,7)="2026-04")*('Slaughterhouse IQC'!$B$6:$B$64="Martins")*('Slaughterhouse IQC'!$F$6:$F$64="666541")*'Slaughterhouse IQC'!$I$6:$I$64))</f>
        <v>0.95081967213114749</v>
      </c>
      <c r="C6" s="20">
        <f>IF(SUMPRODUCT((LEFT('Slaughterhouse IQC'!$A$6:$A$64,7)="2026-05")*('Slaughterhouse IQC'!$B$6:$B$64="Martins")*('Slaughterhouse IQC'!$F$6:$F$64="666541")*'Slaughterhouse IQC'!$I$6:$I$64)=0,"",SUMPRODUCT((LEFT('Slaughterhouse IQC'!$A$6:$A$64,7)="2026-05")*('Slaughterhouse IQC'!$B$6:$B$64="Martins")*('Slaughterhouse IQC'!$F$6:$F$64="666541")*'Slaughterhouse IQC'!$J$6:$J$64)/SUMPRODUCT((LEFT('Slaughterhouse IQC'!$A$6:$A$64,7)="2026-05")*('Slaughterhouse IQC'!$B$6:$B$64="Martins")*('Slaughterhouse IQC'!$F$6:$F$64="666541")*'Slaughterhouse IQC'!$I$6:$I$64))</f>
        <v>0.9329896907216495</v>
      </c>
      <c r="D6" s="20">
        <f>IF(SUMPRODUCT((LEFT('Slaughterhouse IQC'!$A$6:$A$64,7)="2026-06")*('Slaughterhouse IQC'!$B$6:$B$64="Martins")*('Slaughterhouse IQC'!$F$6:$F$64="666541")*'Slaughterhouse IQC'!$I$6:$I$64)=0,"",SUMPRODUCT((LEFT('Slaughterhouse IQC'!$A$6:$A$64,7)="2026-06")*('Slaughterhouse IQC'!$B$6:$B$64="Martins")*('Slaughterhouse IQC'!$F$6:$F$64="666541")*'Slaughterhouse IQC'!$J$6:$J$64)/SUMPRODUCT((LEFT('Slaughterhouse IQC'!$A$6:$A$64,7)="2026-06")*('Slaughterhouse IQC'!$B$6:$B$64="Martins")*('Slaughterhouse IQC'!$F$6:$F$64="666541")*'Slaughterhouse IQC'!$I$6:$I$64))</f>
        <v>0.94736842105263153</v>
      </c>
      <c r="E6" s="20">
        <f>IF(SUMPRODUCT((LEFT('Slaughterhouse IQC'!$A$6:$A$64,7)="2026-07")*('Slaughterhouse IQC'!$B$6:$B$64="Martins")*('Slaughterhouse IQC'!$F$6:$F$64="666541")*'Slaughterhouse IQC'!$I$6:$I$64)=0,"",SUMPRODUCT((LEFT('Slaughterhouse IQC'!$A$6:$A$64,7)="2026-07")*('Slaughterhouse IQC'!$B$6:$B$64="Martins")*('Slaughterhouse IQC'!$F$6:$F$64="666541")*'Slaughterhouse IQC'!$J$6:$J$64)/SUMPRODUCT((LEFT('Slaughterhouse IQC'!$A$6:$A$64,7)="2026-07")*('Slaughterhouse IQC'!$B$6:$B$64="Martins")*('Slaughterhouse IQC'!$F$6:$F$64="666541")*'Slaughterhouse IQC'!$I$6:$I$64))</f>
        <v>0.96273291925465843</v>
      </c>
      <c r="F6" s="20">
        <f>IF(SUMPRODUCT((LEFT('Slaughterhouse IQC'!$A$6:$A$64,7)="2026-08")*('Slaughterhouse IQC'!$B$6:$B$64="Martins")*('Slaughterhouse IQC'!$F$6:$F$64="666541")*'Slaughterhouse IQC'!$I$6:$I$64)=0,"",SUMPRODUCT((LEFT('Slaughterhouse IQC'!$A$6:$A$64,7)="2026-08")*('Slaughterhouse IQC'!$B$6:$B$64="Martins")*('Slaughterhouse IQC'!$F$6:$F$64="666541")*'Slaughterhouse IQC'!$J$6:$J$64)/SUMPRODUCT((LEFT('Slaughterhouse IQC'!$A$6:$A$64,7)="2026-08")*('Slaughterhouse IQC'!$B$6:$B$64="Martins")*('Slaughterhouse IQC'!$F$6:$F$64="666541")*'Slaughterhouse IQC'!$I$6:$I$64))</f>
        <v>0.96350364963503654</v>
      </c>
      <c r="G6" s="20">
        <f>IF(SUMPRODUCT(('Slaughterhouse IQC'!$B$6:$B$64="Martins")*('Slaughterhouse IQC'!$F$6:$F$64="666541")*'Slaughterhouse IQC'!$I$6:$I$64)=0,"",SUMPRODUCT(('Slaughterhouse IQC'!$B$6:$B$64="Martins")*('Slaughterhouse IQC'!$F$6:$F$64="666541")*'Slaughterhouse IQC'!$J$6:$J$64)/SUMPRODUCT(('Slaughterhouse IQC'!$B$6:$B$64="Martins")*('Slaughterhouse IQC'!$F$6:$F$64="666541")*'Slaughterhouse IQC'!$I$6:$I$64))</f>
        <v>0.95039164490861616</v>
      </c>
    </row>
    <row r="7" spans="1:7" x14ac:dyDescent="0.3">
      <c r="A7" s="16" t="s">
        <v>296</v>
      </c>
      <c r="B7" s="20">
        <f>IF(SUMPRODUCT((LEFT('Slaughterhouse IQC'!$A$6:$A$64,7)="2026-04")*('Slaughterhouse IQC'!$B$6:$B$64="Martins")*('Slaughterhouse IQC'!$F$6:$F$64="666506")*'Slaughterhouse IQC'!$I$6:$I$64)=0,"",SUMPRODUCT((LEFT('Slaughterhouse IQC'!$A$6:$A$64,7)="2026-04")*('Slaughterhouse IQC'!$B$6:$B$64="Martins")*('Slaughterhouse IQC'!$F$6:$F$64="666506")*'Slaughterhouse IQC'!$J$6:$J$64)/SUMPRODUCT((LEFT('Slaughterhouse IQC'!$A$6:$A$64,7)="2026-04")*('Slaughterhouse IQC'!$B$6:$B$64="Martins")*('Slaughterhouse IQC'!$F$6:$F$64="666506")*'Slaughterhouse IQC'!$I$6:$I$64))</f>
        <v>0.93220338983050843</v>
      </c>
      <c r="C7" s="20">
        <f>IF(SUMPRODUCT((LEFT('Slaughterhouse IQC'!$A$6:$A$64,7)="2026-05")*('Slaughterhouse IQC'!$B$6:$B$64="Martins")*('Slaughterhouse IQC'!$F$6:$F$64="666506")*'Slaughterhouse IQC'!$I$6:$I$64)=0,"",SUMPRODUCT((LEFT('Slaughterhouse IQC'!$A$6:$A$64,7)="2026-05")*('Slaughterhouse IQC'!$B$6:$B$64="Martins")*('Slaughterhouse IQC'!$F$6:$F$64="666506")*'Slaughterhouse IQC'!$J$6:$J$64)/SUMPRODUCT((LEFT('Slaughterhouse IQC'!$A$6:$A$64,7)="2026-05")*('Slaughterhouse IQC'!$B$6:$B$64="Martins")*('Slaughterhouse IQC'!$F$6:$F$64="666506")*'Slaughterhouse IQC'!$I$6:$I$64))</f>
        <v>0.94915254237288138</v>
      </c>
      <c r="D7" s="20">
        <f>IF(SUMPRODUCT((LEFT('Slaughterhouse IQC'!$A$6:$A$64,7)="2026-06")*('Slaughterhouse IQC'!$B$6:$B$64="Martins")*('Slaughterhouse IQC'!$F$6:$F$64="666506")*'Slaughterhouse IQC'!$I$6:$I$64)=0,"",SUMPRODUCT((LEFT('Slaughterhouse IQC'!$A$6:$A$64,7)="2026-06")*('Slaughterhouse IQC'!$B$6:$B$64="Martins")*('Slaughterhouse IQC'!$F$6:$F$64="666506")*'Slaughterhouse IQC'!$J$6:$J$64)/SUMPRODUCT((LEFT('Slaughterhouse IQC'!$A$6:$A$64,7)="2026-06")*('Slaughterhouse IQC'!$B$6:$B$64="Martins")*('Slaughterhouse IQC'!$F$6:$F$64="666506")*'Slaughterhouse IQC'!$I$6:$I$64))</f>
        <v>0.98113207547169812</v>
      </c>
      <c r="E7" s="20">
        <f>IF(SUMPRODUCT((LEFT('Slaughterhouse IQC'!$A$6:$A$64,7)="2026-07")*('Slaughterhouse IQC'!$B$6:$B$64="Martins")*('Slaughterhouse IQC'!$F$6:$F$64="666506")*'Slaughterhouse IQC'!$I$6:$I$64)=0,"",SUMPRODUCT((LEFT('Slaughterhouse IQC'!$A$6:$A$64,7)="2026-07")*('Slaughterhouse IQC'!$B$6:$B$64="Martins")*('Slaughterhouse IQC'!$F$6:$F$64="666506")*'Slaughterhouse IQC'!$J$6:$J$64)/SUMPRODUCT((LEFT('Slaughterhouse IQC'!$A$6:$A$64,7)="2026-07")*('Slaughterhouse IQC'!$B$6:$B$64="Martins")*('Slaughterhouse IQC'!$F$6:$F$64="666506")*'Slaughterhouse IQC'!$I$6:$I$64))</f>
        <v>0.97468354430379744</v>
      </c>
      <c r="F7" s="20">
        <f>IF(SUMPRODUCT((LEFT('Slaughterhouse IQC'!$A$6:$A$64,7)="2026-08")*('Slaughterhouse IQC'!$B$6:$B$64="Martins")*('Slaughterhouse IQC'!$F$6:$F$64="666506")*'Slaughterhouse IQC'!$I$6:$I$64)=0,"",SUMPRODUCT((LEFT('Slaughterhouse IQC'!$A$6:$A$64,7)="2026-08")*('Slaughterhouse IQC'!$B$6:$B$64="Martins")*('Slaughterhouse IQC'!$F$6:$F$64="666506")*'Slaughterhouse IQC'!$J$6:$J$64)/SUMPRODUCT((LEFT('Slaughterhouse IQC'!$A$6:$A$64,7)="2026-08")*('Slaughterhouse IQC'!$B$6:$B$64="Martins")*('Slaughterhouse IQC'!$F$6:$F$64="666506")*'Slaughterhouse IQC'!$I$6:$I$64))</f>
        <v>1</v>
      </c>
      <c r="G7" s="20">
        <f>IF(SUMPRODUCT(('Slaughterhouse IQC'!$B$6:$B$64="Martins")*('Slaughterhouse IQC'!$F$6:$F$64="666506")*'Slaughterhouse IQC'!$I$6:$I$64)=0,"",SUMPRODUCT(('Slaughterhouse IQC'!$B$6:$B$64="Martins")*('Slaughterhouse IQC'!$F$6:$F$64="666506")*'Slaughterhouse IQC'!$J$6:$J$64)/SUMPRODUCT(('Slaughterhouse IQC'!$B$6:$B$64="Martins")*('Slaughterhouse IQC'!$F$6:$F$64="666506")*'Slaughterhouse IQC'!$I$6:$I$64))</f>
        <v>0.95962732919254656</v>
      </c>
    </row>
    <row r="8" spans="1:7" x14ac:dyDescent="0.3">
      <c r="A8" s="16" t="s">
        <v>297</v>
      </c>
      <c r="B8" s="20" t="str">
        <f>IF(SUMPRODUCT((LEFT('Slaughterhouse IQC'!$A$6:$A$64,7)="2026-04")*('Slaughterhouse IQC'!$B$6:$B$64="Parks Family Meats")*('Slaughterhouse IQC'!$F$6:$F$64="666518")*'Slaughterhouse IQC'!$I$6:$I$64)=0,"",SUMPRODUCT((LEFT('Slaughterhouse IQC'!$A$6:$A$64,7)="2026-04")*('Slaughterhouse IQC'!$B$6:$B$64="Parks Family Meats")*('Slaughterhouse IQC'!$F$6:$F$64="666518")*'Slaughterhouse IQC'!$J$6:$J$64)/SUMPRODUCT((LEFT('Slaughterhouse IQC'!$A$6:$A$64,7)="2026-04")*('Slaughterhouse IQC'!$B$6:$B$64="Parks Family Meats")*('Slaughterhouse IQC'!$F$6:$F$64="666518")*'Slaughterhouse IQC'!$I$6:$I$64))</f>
        <v/>
      </c>
      <c r="C8" s="20">
        <f>IF(SUMPRODUCT((LEFT('Slaughterhouse IQC'!$A$6:$A$64,7)="2026-05")*('Slaughterhouse IQC'!$B$6:$B$64="Parks Family Meats")*('Slaughterhouse IQC'!$F$6:$F$64="666518")*'Slaughterhouse IQC'!$I$6:$I$64)=0,"",SUMPRODUCT((LEFT('Slaughterhouse IQC'!$A$6:$A$64,7)="2026-05")*('Slaughterhouse IQC'!$B$6:$B$64="Parks Family Meats")*('Slaughterhouse IQC'!$F$6:$F$64="666518")*'Slaughterhouse IQC'!$J$6:$J$64)/SUMPRODUCT((LEFT('Slaughterhouse IQC'!$A$6:$A$64,7)="2026-05")*('Slaughterhouse IQC'!$B$6:$B$64="Parks Family Meats")*('Slaughterhouse IQC'!$F$6:$F$64="666518")*'Slaughterhouse IQC'!$I$6:$I$64))</f>
        <v>0.6875</v>
      </c>
      <c r="D8" s="20">
        <f>IF(SUMPRODUCT((LEFT('Slaughterhouse IQC'!$A$6:$A$64,7)="2026-06")*('Slaughterhouse IQC'!$B$6:$B$64="Parks Family Meats")*('Slaughterhouse IQC'!$F$6:$F$64="666518")*'Slaughterhouse IQC'!$I$6:$I$64)=0,"",SUMPRODUCT((LEFT('Slaughterhouse IQC'!$A$6:$A$64,7)="2026-06")*('Slaughterhouse IQC'!$B$6:$B$64="Parks Family Meats")*('Slaughterhouse IQC'!$F$6:$F$64="666518")*'Slaughterhouse IQC'!$J$6:$J$64)/SUMPRODUCT((LEFT('Slaughterhouse IQC'!$A$6:$A$64,7)="2026-06")*('Slaughterhouse IQC'!$B$6:$B$64="Parks Family Meats")*('Slaughterhouse IQC'!$F$6:$F$64="666518")*'Slaughterhouse IQC'!$I$6:$I$64))</f>
        <v>0.828125</v>
      </c>
      <c r="E8" s="20">
        <f>IF(SUMPRODUCT((LEFT('Slaughterhouse IQC'!$A$6:$A$64,7)="2026-07")*('Slaughterhouse IQC'!$B$6:$B$64="Parks Family Meats")*('Slaughterhouse IQC'!$F$6:$F$64="666518")*'Slaughterhouse IQC'!$I$6:$I$64)=0,"",SUMPRODUCT((LEFT('Slaughterhouse IQC'!$A$6:$A$64,7)="2026-07")*('Slaughterhouse IQC'!$B$6:$B$64="Parks Family Meats")*('Slaughterhouse IQC'!$F$6:$F$64="666518")*'Slaughterhouse IQC'!$J$6:$J$64)/SUMPRODUCT((LEFT('Slaughterhouse IQC'!$A$6:$A$64,7)="2026-07")*('Slaughterhouse IQC'!$B$6:$B$64="Parks Family Meats")*('Slaughterhouse IQC'!$F$6:$F$64="666518")*'Slaughterhouse IQC'!$I$6:$I$64))</f>
        <v>0.88495575221238942</v>
      </c>
      <c r="F8" s="20" t="str">
        <f>IF(SUMPRODUCT((LEFT('Slaughterhouse IQC'!$A$6:$A$64,7)="2026-08")*('Slaughterhouse IQC'!$B$6:$B$64="Parks Family Meats")*('Slaughterhouse IQC'!$F$6:$F$64="666518")*'Slaughterhouse IQC'!$I$6:$I$64)=0,"",SUMPRODUCT((LEFT('Slaughterhouse IQC'!$A$6:$A$64,7)="2026-08")*('Slaughterhouse IQC'!$B$6:$B$64="Parks Family Meats")*('Slaughterhouse IQC'!$F$6:$F$64="666518")*'Slaughterhouse IQC'!$J$6:$J$64)/SUMPRODUCT((LEFT('Slaughterhouse IQC'!$A$6:$A$64,7)="2026-08")*('Slaughterhouse IQC'!$B$6:$B$64="Parks Family Meats")*('Slaughterhouse IQC'!$F$6:$F$64="666518")*'Slaughterhouse IQC'!$I$6:$I$64))</f>
        <v/>
      </c>
      <c r="G8" s="20">
        <f>IF(SUMPRODUCT(('Slaughterhouse IQC'!$B$6:$B$64="Parks Family Meats")*('Slaughterhouse IQC'!$F$6:$F$64="666518")*'Slaughterhouse IQC'!$I$6:$I$64)=0,"",SUMPRODUCT(('Slaughterhouse IQC'!$B$6:$B$64="Parks Family Meats")*('Slaughterhouse IQC'!$F$6:$F$64="666518")*'Slaughterhouse IQC'!$J$6:$J$64)/SUMPRODUCT(('Slaughterhouse IQC'!$B$6:$B$64="Parks Family Meats")*('Slaughterhouse IQC'!$F$6:$F$64="666518")*'Slaughterhouse IQC'!$I$6:$I$64))</f>
        <v>0.8443579766536965</v>
      </c>
    </row>
    <row r="9" spans="1:7" x14ac:dyDescent="0.3">
      <c r="A9" s="16" t="s">
        <v>298</v>
      </c>
      <c r="B9" s="20" t="str">
        <f>IF(SUMPRODUCT((LEFT('Slaughterhouse IQC'!$A$6:$A$64,7)="2026-04")*('Slaughterhouse IQC'!$B$6:$B$64="Parks Family Meats")*('Slaughterhouse IQC'!$F$6:$F$64="666541")*'Slaughterhouse IQC'!$I$6:$I$64)=0,"",SUMPRODUCT((LEFT('Slaughterhouse IQC'!$A$6:$A$64,7)="2026-04")*('Slaughterhouse IQC'!$B$6:$B$64="Parks Family Meats")*('Slaughterhouse IQC'!$F$6:$F$64="666541")*'Slaughterhouse IQC'!$J$6:$J$64)/SUMPRODUCT((LEFT('Slaughterhouse IQC'!$A$6:$A$64,7)="2026-04")*('Slaughterhouse IQC'!$B$6:$B$64="Parks Family Meats")*('Slaughterhouse IQC'!$F$6:$F$64="666541")*'Slaughterhouse IQC'!$I$6:$I$64))</f>
        <v/>
      </c>
      <c r="C9" s="20" t="str">
        <f>IF(SUMPRODUCT((LEFT('Slaughterhouse IQC'!$A$6:$A$64,7)="2026-05")*('Slaughterhouse IQC'!$B$6:$B$64="Parks Family Meats")*('Slaughterhouse IQC'!$F$6:$F$64="666541")*'Slaughterhouse IQC'!$I$6:$I$64)=0,"",SUMPRODUCT((LEFT('Slaughterhouse IQC'!$A$6:$A$64,7)="2026-05")*('Slaughterhouse IQC'!$B$6:$B$64="Parks Family Meats")*('Slaughterhouse IQC'!$F$6:$F$64="666541")*'Slaughterhouse IQC'!$J$6:$J$64)/SUMPRODUCT((LEFT('Slaughterhouse IQC'!$A$6:$A$64,7)="2026-05")*('Slaughterhouse IQC'!$B$6:$B$64="Parks Family Meats")*('Slaughterhouse IQC'!$F$6:$F$64="666541")*'Slaughterhouse IQC'!$I$6:$I$64))</f>
        <v/>
      </c>
      <c r="D9" s="20" t="str">
        <f>IF(SUMPRODUCT((LEFT('Slaughterhouse IQC'!$A$6:$A$64,7)="2026-06")*('Slaughterhouse IQC'!$B$6:$B$64="Parks Family Meats")*('Slaughterhouse IQC'!$F$6:$F$64="666541")*'Slaughterhouse IQC'!$I$6:$I$64)=0,"",SUMPRODUCT((LEFT('Slaughterhouse IQC'!$A$6:$A$64,7)="2026-06")*('Slaughterhouse IQC'!$B$6:$B$64="Parks Family Meats")*('Slaughterhouse IQC'!$F$6:$F$64="666541")*'Slaughterhouse IQC'!$J$6:$J$64)/SUMPRODUCT((LEFT('Slaughterhouse IQC'!$A$6:$A$64,7)="2026-06")*('Slaughterhouse IQC'!$B$6:$B$64="Parks Family Meats")*('Slaughterhouse IQC'!$F$6:$F$64="666541")*'Slaughterhouse IQC'!$I$6:$I$64))</f>
        <v/>
      </c>
      <c r="E9" s="20" t="str">
        <f>IF(SUMPRODUCT((LEFT('Slaughterhouse IQC'!$A$6:$A$64,7)="2026-07")*('Slaughterhouse IQC'!$B$6:$B$64="Parks Family Meats")*('Slaughterhouse IQC'!$F$6:$F$64="666541")*'Slaughterhouse IQC'!$I$6:$I$64)=0,"",SUMPRODUCT((LEFT('Slaughterhouse IQC'!$A$6:$A$64,7)="2026-07")*('Slaughterhouse IQC'!$B$6:$B$64="Parks Family Meats")*('Slaughterhouse IQC'!$F$6:$F$64="666541")*'Slaughterhouse IQC'!$J$6:$J$64)/SUMPRODUCT((LEFT('Slaughterhouse IQC'!$A$6:$A$64,7)="2026-07")*('Slaughterhouse IQC'!$B$6:$B$64="Parks Family Meats")*('Slaughterhouse IQC'!$F$6:$F$64="666541")*'Slaughterhouse IQC'!$I$6:$I$64))</f>
        <v/>
      </c>
      <c r="F9" s="20">
        <f>IF(SUMPRODUCT((LEFT('Slaughterhouse IQC'!$A$6:$A$64,7)="2026-08")*('Slaughterhouse IQC'!$B$6:$B$64="Parks Family Meats")*('Slaughterhouse IQC'!$F$6:$F$64="666541")*'Slaughterhouse IQC'!$I$6:$I$64)=0,"",SUMPRODUCT((LEFT('Slaughterhouse IQC'!$A$6:$A$64,7)="2026-08")*('Slaughterhouse IQC'!$B$6:$B$64="Parks Family Meats")*('Slaughterhouse IQC'!$F$6:$F$64="666541")*'Slaughterhouse IQC'!$J$6:$J$64)/SUMPRODUCT((LEFT('Slaughterhouse IQC'!$A$6:$A$64,7)="2026-08")*('Slaughterhouse IQC'!$B$6:$B$64="Parks Family Meats")*('Slaughterhouse IQC'!$F$6:$F$64="666541")*'Slaughterhouse IQC'!$I$6:$I$64))</f>
        <v>0.96969696969696972</v>
      </c>
      <c r="G9" s="20">
        <f>IF(SUMPRODUCT(('Slaughterhouse IQC'!$B$6:$B$64="Parks Family Meats")*('Slaughterhouse IQC'!$F$6:$F$64="666541")*'Slaughterhouse IQC'!$I$6:$I$64)=0,"",SUMPRODUCT(('Slaughterhouse IQC'!$B$6:$B$64="Parks Family Meats")*('Slaughterhouse IQC'!$F$6:$F$64="666541")*'Slaughterhouse IQC'!$J$6:$J$64)/SUMPRODUCT(('Slaughterhouse IQC'!$B$6:$B$64="Parks Family Meats")*('Slaughterhouse IQC'!$F$6:$F$64="666541")*'Slaughterhouse IQC'!$I$6:$I$64))</f>
        <v>0.96969696969696972</v>
      </c>
    </row>
    <row r="10" spans="1:7" x14ac:dyDescent="0.3">
      <c r="A10" s="16" t="s">
        <v>299</v>
      </c>
      <c r="B10" s="20" t="str">
        <f>IF(SUMPRODUCT((LEFT('Slaughterhouse IQC'!$A$6:$A$64,7)="2026-04")*('Slaughterhouse IQC'!$B$6:$B$64="Nahunta")*('Slaughterhouse IQC'!$F$6:$F$64="666541")*'Slaughterhouse IQC'!$I$6:$I$64)=0,"",SUMPRODUCT((LEFT('Slaughterhouse IQC'!$A$6:$A$64,7)="2026-04")*('Slaughterhouse IQC'!$B$6:$B$64="Nahunta")*('Slaughterhouse IQC'!$F$6:$F$64="666541")*'Slaughterhouse IQC'!$J$6:$J$64)/SUMPRODUCT((LEFT('Slaughterhouse IQC'!$A$6:$A$64,7)="2026-04")*('Slaughterhouse IQC'!$B$6:$B$64="Nahunta")*('Slaughterhouse IQC'!$F$6:$F$64="666541")*'Slaughterhouse IQC'!$I$6:$I$64))</f>
        <v/>
      </c>
      <c r="C10" s="20" t="str">
        <f>IF(SUMPRODUCT((LEFT('Slaughterhouse IQC'!$A$6:$A$64,7)="2026-05")*('Slaughterhouse IQC'!$B$6:$B$64="Nahunta")*('Slaughterhouse IQC'!$F$6:$F$64="666541")*'Slaughterhouse IQC'!$I$6:$I$64)=0,"",SUMPRODUCT((LEFT('Slaughterhouse IQC'!$A$6:$A$64,7)="2026-05")*('Slaughterhouse IQC'!$B$6:$B$64="Nahunta")*('Slaughterhouse IQC'!$F$6:$F$64="666541")*'Slaughterhouse IQC'!$J$6:$J$64)/SUMPRODUCT((LEFT('Slaughterhouse IQC'!$A$6:$A$64,7)="2026-05")*('Slaughterhouse IQC'!$B$6:$B$64="Nahunta")*('Slaughterhouse IQC'!$F$6:$F$64="666541")*'Slaughterhouse IQC'!$I$6:$I$64))</f>
        <v/>
      </c>
      <c r="D10" s="20" t="str">
        <f>IF(SUMPRODUCT((LEFT('Slaughterhouse IQC'!$A$6:$A$64,7)="2026-06")*('Slaughterhouse IQC'!$B$6:$B$64="Nahunta")*('Slaughterhouse IQC'!$F$6:$F$64="666541")*'Slaughterhouse IQC'!$I$6:$I$64)=0,"",SUMPRODUCT((LEFT('Slaughterhouse IQC'!$A$6:$A$64,7)="2026-06")*('Slaughterhouse IQC'!$B$6:$B$64="Nahunta")*('Slaughterhouse IQC'!$F$6:$F$64="666541")*'Slaughterhouse IQC'!$J$6:$J$64)/SUMPRODUCT((LEFT('Slaughterhouse IQC'!$A$6:$A$64,7)="2026-06")*('Slaughterhouse IQC'!$B$6:$B$64="Nahunta")*('Slaughterhouse IQC'!$F$6:$F$64="666541")*'Slaughterhouse IQC'!$I$6:$I$64))</f>
        <v/>
      </c>
      <c r="E10" s="20">
        <f>IF(SUMPRODUCT((LEFT('Slaughterhouse IQC'!$A$6:$A$64,7)="2026-07")*('Slaughterhouse IQC'!$B$6:$B$64="Nahunta")*('Slaughterhouse IQC'!$F$6:$F$64="666541")*'Slaughterhouse IQC'!$I$6:$I$64)=0,"",SUMPRODUCT((LEFT('Slaughterhouse IQC'!$A$6:$A$64,7)="2026-07")*('Slaughterhouse IQC'!$B$6:$B$64="Nahunta")*('Slaughterhouse IQC'!$F$6:$F$64="666541")*'Slaughterhouse IQC'!$J$6:$J$64)/SUMPRODUCT((LEFT('Slaughterhouse IQC'!$A$6:$A$64,7)="2026-07")*('Slaughterhouse IQC'!$B$6:$B$64="Nahunta")*('Slaughterhouse IQC'!$F$6:$F$64="666541")*'Slaughterhouse IQC'!$I$6:$I$64))</f>
        <v>1</v>
      </c>
      <c r="F10" s="20">
        <f>IF(SUMPRODUCT((LEFT('Slaughterhouse IQC'!$A$6:$A$64,7)="2026-08")*('Slaughterhouse IQC'!$B$6:$B$64="Nahunta")*('Slaughterhouse IQC'!$F$6:$F$64="666541")*'Slaughterhouse IQC'!$I$6:$I$64)=0,"",SUMPRODUCT((LEFT('Slaughterhouse IQC'!$A$6:$A$64,7)="2026-08")*('Slaughterhouse IQC'!$B$6:$B$64="Nahunta")*('Slaughterhouse IQC'!$F$6:$F$64="666541")*'Slaughterhouse IQC'!$J$6:$J$64)/SUMPRODUCT((LEFT('Slaughterhouse IQC'!$A$6:$A$64,7)="2026-08")*('Slaughterhouse IQC'!$B$6:$B$64="Nahunta")*('Slaughterhouse IQC'!$F$6:$F$64="666541")*'Slaughterhouse IQC'!$I$6:$I$64))</f>
        <v>7.6923076923076927E-2</v>
      </c>
      <c r="G10" s="20">
        <f>IF(SUMPRODUCT(('Slaughterhouse IQC'!$B$6:$B$64="Nahunta")*('Slaughterhouse IQC'!$F$6:$F$64="666541")*'Slaughterhouse IQC'!$I$6:$I$64)=0,"",SUMPRODUCT(('Slaughterhouse IQC'!$B$6:$B$64="Nahunta")*('Slaughterhouse IQC'!$F$6:$F$64="666541")*'Slaughterhouse IQC'!$J$6:$J$64)/SUMPRODUCT(('Slaughterhouse IQC'!$B$6:$B$64="Nahunta")*('Slaughterhouse IQC'!$F$6:$F$64="666541")*'Slaughterhouse IQC'!$I$6:$I$64))</f>
        <v>0.14285714285714285</v>
      </c>
    </row>
    <row r="11" spans="1:7" x14ac:dyDescent="0.3">
      <c r="A11" s="16" t="s">
        <v>300</v>
      </c>
      <c r="B11" s="20" t="str">
        <f>IF(SUMPRODUCT((LEFT('Slaughterhouse IQC'!$A$6:$A$64,7)="2026-04")*('Slaughterhouse IQC'!$B$6:$B$64="Nahunta")*('Slaughterhouse IQC'!$F$6:$F$64="666521")*'Slaughterhouse IQC'!$I$6:$I$64)=0,"",SUMPRODUCT((LEFT('Slaughterhouse IQC'!$A$6:$A$64,7)="2026-04")*('Slaughterhouse IQC'!$B$6:$B$64="Nahunta")*('Slaughterhouse IQC'!$F$6:$F$64="666521")*'Slaughterhouse IQC'!$J$6:$J$64)/SUMPRODUCT((LEFT('Slaughterhouse IQC'!$A$6:$A$64,7)="2026-04")*('Slaughterhouse IQC'!$B$6:$B$64="Nahunta")*('Slaughterhouse IQC'!$F$6:$F$64="666521")*'Slaughterhouse IQC'!$I$6:$I$64))</f>
        <v/>
      </c>
      <c r="C11" s="20" t="str">
        <f>IF(SUMPRODUCT((LEFT('Slaughterhouse IQC'!$A$6:$A$64,7)="2026-05")*('Slaughterhouse IQC'!$B$6:$B$64="Nahunta")*('Slaughterhouse IQC'!$F$6:$F$64="666521")*'Slaughterhouse IQC'!$I$6:$I$64)=0,"",SUMPRODUCT((LEFT('Slaughterhouse IQC'!$A$6:$A$64,7)="2026-05")*('Slaughterhouse IQC'!$B$6:$B$64="Nahunta")*('Slaughterhouse IQC'!$F$6:$F$64="666521")*'Slaughterhouse IQC'!$J$6:$J$64)/SUMPRODUCT((LEFT('Slaughterhouse IQC'!$A$6:$A$64,7)="2026-05")*('Slaughterhouse IQC'!$B$6:$B$64="Nahunta")*('Slaughterhouse IQC'!$F$6:$F$64="666521")*'Slaughterhouse IQC'!$I$6:$I$64))</f>
        <v/>
      </c>
      <c r="D11" s="20" t="str">
        <f>IF(SUMPRODUCT((LEFT('Slaughterhouse IQC'!$A$6:$A$64,7)="2026-06")*('Slaughterhouse IQC'!$B$6:$B$64="Nahunta")*('Slaughterhouse IQC'!$F$6:$F$64="666521")*'Slaughterhouse IQC'!$I$6:$I$64)=0,"",SUMPRODUCT((LEFT('Slaughterhouse IQC'!$A$6:$A$64,7)="2026-06")*('Slaughterhouse IQC'!$B$6:$B$64="Nahunta")*('Slaughterhouse IQC'!$F$6:$F$64="666521")*'Slaughterhouse IQC'!$J$6:$J$64)/SUMPRODUCT((LEFT('Slaughterhouse IQC'!$A$6:$A$64,7)="2026-06")*('Slaughterhouse IQC'!$B$6:$B$64="Nahunta")*('Slaughterhouse IQC'!$F$6:$F$64="666521")*'Slaughterhouse IQC'!$I$6:$I$64))</f>
        <v/>
      </c>
      <c r="E11" s="20">
        <f>IF(SUMPRODUCT((LEFT('Slaughterhouse IQC'!$A$6:$A$64,7)="2026-07")*('Slaughterhouse IQC'!$B$6:$B$64="Nahunta")*('Slaughterhouse IQC'!$F$6:$F$64="666521")*'Slaughterhouse IQC'!$I$6:$I$64)=0,"",SUMPRODUCT((LEFT('Slaughterhouse IQC'!$A$6:$A$64,7)="2026-07")*('Slaughterhouse IQC'!$B$6:$B$64="Nahunta")*('Slaughterhouse IQC'!$F$6:$F$64="666521")*'Slaughterhouse IQC'!$J$6:$J$64)/SUMPRODUCT((LEFT('Slaughterhouse IQC'!$A$6:$A$64,7)="2026-07")*('Slaughterhouse IQC'!$B$6:$B$64="Nahunta")*('Slaughterhouse IQC'!$F$6:$F$64="666521")*'Slaughterhouse IQC'!$I$6:$I$64))</f>
        <v>0.31578947368421051</v>
      </c>
      <c r="F11" s="20">
        <f>IF(SUMPRODUCT((LEFT('Slaughterhouse IQC'!$A$6:$A$64,7)="2026-08")*('Slaughterhouse IQC'!$B$6:$B$64="Nahunta")*('Slaughterhouse IQC'!$F$6:$F$64="666521")*'Slaughterhouse IQC'!$I$6:$I$64)=0,"",SUMPRODUCT((LEFT('Slaughterhouse IQC'!$A$6:$A$64,7)="2026-08")*('Slaughterhouse IQC'!$B$6:$B$64="Nahunta")*('Slaughterhouse IQC'!$F$6:$F$64="666521")*'Slaughterhouse IQC'!$J$6:$J$64)/SUMPRODUCT((LEFT('Slaughterhouse IQC'!$A$6:$A$64,7)="2026-08")*('Slaughterhouse IQC'!$B$6:$B$64="Nahunta")*('Slaughterhouse IQC'!$F$6:$F$64="666521")*'Slaughterhouse IQC'!$I$6:$I$64))</f>
        <v>0.14035087719298245</v>
      </c>
      <c r="G11" s="20">
        <f>IF(SUMPRODUCT(('Slaughterhouse IQC'!$B$6:$B$64="Nahunta")*('Slaughterhouse IQC'!$F$6:$F$64="666521")*'Slaughterhouse IQC'!$I$6:$I$64)=0,"",SUMPRODUCT(('Slaughterhouse IQC'!$B$6:$B$64="Nahunta")*('Slaughterhouse IQC'!$F$6:$F$64="666521")*'Slaughterhouse IQC'!$J$6:$J$64)/SUMPRODUCT(('Slaughterhouse IQC'!$B$6:$B$64="Nahunta")*('Slaughterhouse IQC'!$F$6:$F$64="666521")*'Slaughterhouse IQC'!$I$6:$I$64))</f>
        <v>0.18421052631578946</v>
      </c>
    </row>
    <row r="13" spans="1:7" ht="18" customHeight="1" x14ac:dyDescent="0.3">
      <c r="A13" s="9" t="s">
        <v>301</v>
      </c>
      <c r="B13" s="11"/>
      <c r="C13" s="11"/>
      <c r="D13" s="11"/>
      <c r="E13" s="11"/>
      <c r="F13" s="11"/>
      <c r="G13" s="11"/>
    </row>
    <row r="14" spans="1:7" x14ac:dyDescent="0.3">
      <c r="A14" s="18" t="s">
        <v>289</v>
      </c>
      <c r="B14" s="18" t="s">
        <v>290</v>
      </c>
      <c r="C14" s="18" t="s">
        <v>291</v>
      </c>
      <c r="D14" s="18" t="s">
        <v>292</v>
      </c>
      <c r="E14" s="18" t="s">
        <v>293</v>
      </c>
      <c r="F14" s="18" t="s">
        <v>294</v>
      </c>
      <c r="G14" s="18" t="s">
        <v>4</v>
      </c>
    </row>
    <row r="15" spans="1:7" x14ac:dyDescent="0.3">
      <c r="A15" s="16" t="s">
        <v>295</v>
      </c>
      <c r="B15" s="17">
        <f>IF(SUMPRODUCT((LEFT('Slaughterhouse IQC'!$A$6:$A$64,7)="2026-04")*('Slaughterhouse IQC'!$B$6:$B$64="Martins")*('Slaughterhouse IQC'!$F$6:$F$64="666541")*'Slaughterhouse IQC'!$I$6:$I$64)=0,"",SUMPRODUCT((LEFT('Slaughterhouse IQC'!$A$6:$A$64,7)="2026-04")*('Slaughterhouse IQC'!$B$6:$B$64="Martins")*('Slaughterhouse IQC'!$F$6:$F$64="666541")*'Slaughterhouse IQC'!$K$6:$K$64))</f>
        <v>6</v>
      </c>
      <c r="C15" s="17">
        <f>IF(SUMPRODUCT((LEFT('Slaughterhouse IQC'!$A$6:$A$64,7)="2026-05")*('Slaughterhouse IQC'!$B$6:$B$64="Martins")*('Slaughterhouse IQC'!$F$6:$F$64="666541")*'Slaughterhouse IQC'!$I$6:$I$64)=0,"",SUMPRODUCT((LEFT('Slaughterhouse IQC'!$A$6:$A$64,7)="2026-05")*('Slaughterhouse IQC'!$B$6:$B$64="Martins")*('Slaughterhouse IQC'!$F$6:$F$64="666541")*'Slaughterhouse IQC'!$K$6:$K$64))</f>
        <v>13</v>
      </c>
      <c r="D15" s="17">
        <f>IF(SUMPRODUCT((LEFT('Slaughterhouse IQC'!$A$6:$A$64,7)="2026-06")*('Slaughterhouse IQC'!$B$6:$B$64="Martins")*('Slaughterhouse IQC'!$F$6:$F$64="666541")*'Slaughterhouse IQC'!$I$6:$I$64)=0,"",SUMPRODUCT((LEFT('Slaughterhouse IQC'!$A$6:$A$64,7)="2026-06")*('Slaughterhouse IQC'!$B$6:$B$64="Martins")*('Slaughterhouse IQC'!$F$6:$F$64="666541")*'Slaughterhouse IQC'!$K$6:$K$64))</f>
        <v>8</v>
      </c>
      <c r="E15" s="17">
        <f>IF(SUMPRODUCT((LEFT('Slaughterhouse IQC'!$A$6:$A$64,7)="2026-07")*('Slaughterhouse IQC'!$B$6:$B$64="Martins")*('Slaughterhouse IQC'!$F$6:$F$64="666541")*'Slaughterhouse IQC'!$I$6:$I$64)=0,"",SUMPRODUCT((LEFT('Slaughterhouse IQC'!$A$6:$A$64,7)="2026-07")*('Slaughterhouse IQC'!$B$6:$B$64="Martins")*('Slaughterhouse IQC'!$F$6:$F$64="666541")*'Slaughterhouse IQC'!$K$6:$K$64))</f>
        <v>6</v>
      </c>
      <c r="F15" s="17">
        <f>IF(SUMPRODUCT((LEFT('Slaughterhouse IQC'!$A$6:$A$64,7)="2026-08")*('Slaughterhouse IQC'!$B$6:$B$64="Martins")*('Slaughterhouse IQC'!$F$6:$F$64="666541")*'Slaughterhouse IQC'!$I$6:$I$64)=0,"",SUMPRODUCT((LEFT('Slaughterhouse IQC'!$A$6:$A$64,7)="2026-08")*('Slaughterhouse IQC'!$B$6:$B$64="Martins")*('Slaughterhouse IQC'!$F$6:$F$64="666541")*'Slaughterhouse IQC'!$K$6:$K$64))</f>
        <v>5</v>
      </c>
      <c r="G15" s="17">
        <f>SUMPRODUCT(('Slaughterhouse IQC'!$B$6:$B$64="Martins")*('Slaughterhouse IQC'!$F$6:$F$64="666541")*'Slaughterhouse IQC'!$K$6:$K$64)</f>
        <v>38</v>
      </c>
    </row>
    <row r="16" spans="1:7" x14ac:dyDescent="0.3">
      <c r="A16" s="16" t="s">
        <v>296</v>
      </c>
      <c r="B16" s="17">
        <f>IF(SUMPRODUCT((LEFT('Slaughterhouse IQC'!$A$6:$A$64,7)="2026-04")*('Slaughterhouse IQC'!$B$6:$B$64="Martins")*('Slaughterhouse IQC'!$F$6:$F$64="666506")*'Slaughterhouse IQC'!$I$6:$I$64)=0,"",SUMPRODUCT((LEFT('Slaughterhouse IQC'!$A$6:$A$64,7)="2026-04")*('Slaughterhouse IQC'!$B$6:$B$64="Martins")*('Slaughterhouse IQC'!$F$6:$F$64="666506")*'Slaughterhouse IQC'!$K$6:$K$64))</f>
        <v>4</v>
      </c>
      <c r="C16" s="17">
        <f>IF(SUMPRODUCT((LEFT('Slaughterhouse IQC'!$A$6:$A$64,7)="2026-05")*('Slaughterhouse IQC'!$B$6:$B$64="Martins")*('Slaughterhouse IQC'!$F$6:$F$64="666506")*'Slaughterhouse IQC'!$I$6:$I$64)=0,"",SUMPRODUCT((LEFT('Slaughterhouse IQC'!$A$6:$A$64,7)="2026-05")*('Slaughterhouse IQC'!$B$6:$B$64="Martins")*('Slaughterhouse IQC'!$F$6:$F$64="666506")*'Slaughterhouse IQC'!$K$6:$K$64))</f>
        <v>6</v>
      </c>
      <c r="D16" s="17">
        <f>IF(SUMPRODUCT((LEFT('Slaughterhouse IQC'!$A$6:$A$64,7)="2026-06")*('Slaughterhouse IQC'!$B$6:$B$64="Martins")*('Slaughterhouse IQC'!$F$6:$F$64="666506")*'Slaughterhouse IQC'!$I$6:$I$64)=0,"",SUMPRODUCT((LEFT('Slaughterhouse IQC'!$A$6:$A$64,7)="2026-06")*('Slaughterhouse IQC'!$B$6:$B$64="Martins")*('Slaughterhouse IQC'!$F$6:$F$64="666506")*'Slaughterhouse IQC'!$K$6:$K$64))</f>
        <v>1</v>
      </c>
      <c r="E16" s="17">
        <f>IF(SUMPRODUCT((LEFT('Slaughterhouse IQC'!$A$6:$A$64,7)="2026-07")*('Slaughterhouse IQC'!$B$6:$B$64="Martins")*('Slaughterhouse IQC'!$F$6:$F$64="666506")*'Slaughterhouse IQC'!$I$6:$I$64)=0,"",SUMPRODUCT((LEFT('Slaughterhouse IQC'!$A$6:$A$64,7)="2026-07")*('Slaughterhouse IQC'!$B$6:$B$64="Martins")*('Slaughterhouse IQC'!$F$6:$F$64="666506")*'Slaughterhouse IQC'!$K$6:$K$64))</f>
        <v>2</v>
      </c>
      <c r="F16" s="17">
        <f>IF(SUMPRODUCT((LEFT('Slaughterhouse IQC'!$A$6:$A$64,7)="2026-08")*('Slaughterhouse IQC'!$B$6:$B$64="Martins")*('Slaughterhouse IQC'!$F$6:$F$64="666506")*'Slaughterhouse IQC'!$I$6:$I$64)=0,"",SUMPRODUCT((LEFT('Slaughterhouse IQC'!$A$6:$A$64,7)="2026-08")*('Slaughterhouse IQC'!$B$6:$B$64="Martins")*('Slaughterhouse IQC'!$F$6:$F$64="666506")*'Slaughterhouse IQC'!$K$6:$K$64))</f>
        <v>0</v>
      </c>
      <c r="G16" s="17">
        <f>SUMPRODUCT(('Slaughterhouse IQC'!$B$6:$B$64="Martins")*('Slaughterhouse IQC'!$F$6:$F$64="666506")*'Slaughterhouse IQC'!$K$6:$K$64)</f>
        <v>13</v>
      </c>
    </row>
    <row r="17" spans="1:7" x14ac:dyDescent="0.3">
      <c r="A17" s="16" t="s">
        <v>297</v>
      </c>
      <c r="B17" s="17" t="str">
        <f>IF(SUMPRODUCT((LEFT('Slaughterhouse IQC'!$A$6:$A$64,7)="2026-04")*('Slaughterhouse IQC'!$B$6:$B$64="Parks Family Meats")*('Slaughterhouse IQC'!$F$6:$F$64="666518")*'Slaughterhouse IQC'!$I$6:$I$64)=0,"",SUMPRODUCT((LEFT('Slaughterhouse IQC'!$A$6:$A$64,7)="2026-04")*('Slaughterhouse IQC'!$B$6:$B$64="Parks Family Meats")*('Slaughterhouse IQC'!$F$6:$F$64="666518")*'Slaughterhouse IQC'!$K$6:$K$64))</f>
        <v/>
      </c>
      <c r="C17" s="17">
        <f>IF(SUMPRODUCT((LEFT('Slaughterhouse IQC'!$A$6:$A$64,7)="2026-05")*('Slaughterhouse IQC'!$B$6:$B$64="Parks Family Meats")*('Slaughterhouse IQC'!$F$6:$F$64="666518")*'Slaughterhouse IQC'!$I$6:$I$64)=0,"",SUMPRODUCT((LEFT('Slaughterhouse IQC'!$A$6:$A$64,7)="2026-05")*('Slaughterhouse IQC'!$B$6:$B$64="Parks Family Meats")*('Slaughterhouse IQC'!$F$6:$F$64="666518")*'Slaughterhouse IQC'!$K$6:$K$64))</f>
        <v>5</v>
      </c>
      <c r="D17" s="17">
        <f>IF(SUMPRODUCT((LEFT('Slaughterhouse IQC'!$A$6:$A$64,7)="2026-06")*('Slaughterhouse IQC'!$B$6:$B$64="Parks Family Meats")*('Slaughterhouse IQC'!$F$6:$F$64="666518")*'Slaughterhouse IQC'!$I$6:$I$64)=0,"",SUMPRODUCT((LEFT('Slaughterhouse IQC'!$A$6:$A$64,7)="2026-06")*('Slaughterhouse IQC'!$B$6:$B$64="Parks Family Meats")*('Slaughterhouse IQC'!$F$6:$F$64="666518")*'Slaughterhouse IQC'!$K$6:$K$64))</f>
        <v>22</v>
      </c>
      <c r="E17" s="17">
        <f>IF(SUMPRODUCT((LEFT('Slaughterhouse IQC'!$A$6:$A$64,7)="2026-07")*('Slaughterhouse IQC'!$B$6:$B$64="Parks Family Meats")*('Slaughterhouse IQC'!$F$6:$F$64="666518")*'Slaughterhouse IQC'!$I$6:$I$64)=0,"",SUMPRODUCT((LEFT('Slaughterhouse IQC'!$A$6:$A$64,7)="2026-07")*('Slaughterhouse IQC'!$B$6:$B$64="Parks Family Meats")*('Slaughterhouse IQC'!$F$6:$F$64="666518")*'Slaughterhouse IQC'!$K$6:$K$64))</f>
        <v>13</v>
      </c>
      <c r="F17" s="17" t="str">
        <f>IF(SUMPRODUCT((LEFT('Slaughterhouse IQC'!$A$6:$A$64,7)="2026-08")*('Slaughterhouse IQC'!$B$6:$B$64="Parks Family Meats")*('Slaughterhouse IQC'!$F$6:$F$64="666518")*'Slaughterhouse IQC'!$I$6:$I$64)=0,"",SUMPRODUCT((LEFT('Slaughterhouse IQC'!$A$6:$A$64,7)="2026-08")*('Slaughterhouse IQC'!$B$6:$B$64="Parks Family Meats")*('Slaughterhouse IQC'!$F$6:$F$64="666518")*'Slaughterhouse IQC'!$K$6:$K$64))</f>
        <v/>
      </c>
      <c r="G17" s="17">
        <f>SUMPRODUCT(('Slaughterhouse IQC'!$B$6:$B$64="Parks Family Meats")*('Slaughterhouse IQC'!$F$6:$F$64="666518")*'Slaughterhouse IQC'!$K$6:$K$64)</f>
        <v>40</v>
      </c>
    </row>
    <row r="18" spans="1:7" x14ac:dyDescent="0.3">
      <c r="A18" s="16" t="s">
        <v>298</v>
      </c>
      <c r="B18" s="17" t="str">
        <f>IF(SUMPRODUCT((LEFT('Slaughterhouse IQC'!$A$6:$A$64,7)="2026-04")*('Slaughterhouse IQC'!$B$6:$B$64="Parks Family Meats")*('Slaughterhouse IQC'!$F$6:$F$64="666541")*'Slaughterhouse IQC'!$I$6:$I$64)=0,"",SUMPRODUCT((LEFT('Slaughterhouse IQC'!$A$6:$A$64,7)="2026-04")*('Slaughterhouse IQC'!$B$6:$B$64="Parks Family Meats")*('Slaughterhouse IQC'!$F$6:$F$64="666541")*'Slaughterhouse IQC'!$K$6:$K$64))</f>
        <v/>
      </c>
      <c r="C18" s="17" t="str">
        <f>IF(SUMPRODUCT((LEFT('Slaughterhouse IQC'!$A$6:$A$64,7)="2026-05")*('Slaughterhouse IQC'!$B$6:$B$64="Parks Family Meats")*('Slaughterhouse IQC'!$F$6:$F$64="666541")*'Slaughterhouse IQC'!$I$6:$I$64)=0,"",SUMPRODUCT((LEFT('Slaughterhouse IQC'!$A$6:$A$64,7)="2026-05")*('Slaughterhouse IQC'!$B$6:$B$64="Parks Family Meats")*('Slaughterhouse IQC'!$F$6:$F$64="666541")*'Slaughterhouse IQC'!$K$6:$K$64))</f>
        <v/>
      </c>
      <c r="D18" s="17" t="str">
        <f>IF(SUMPRODUCT((LEFT('Slaughterhouse IQC'!$A$6:$A$64,7)="2026-06")*('Slaughterhouse IQC'!$B$6:$B$64="Parks Family Meats")*('Slaughterhouse IQC'!$F$6:$F$64="666541")*'Slaughterhouse IQC'!$I$6:$I$64)=0,"",SUMPRODUCT((LEFT('Slaughterhouse IQC'!$A$6:$A$64,7)="2026-06")*('Slaughterhouse IQC'!$B$6:$B$64="Parks Family Meats")*('Slaughterhouse IQC'!$F$6:$F$64="666541")*'Slaughterhouse IQC'!$K$6:$K$64))</f>
        <v/>
      </c>
      <c r="E18" s="17" t="str">
        <f>IF(SUMPRODUCT((LEFT('Slaughterhouse IQC'!$A$6:$A$64,7)="2026-07")*('Slaughterhouse IQC'!$B$6:$B$64="Parks Family Meats")*('Slaughterhouse IQC'!$F$6:$F$64="666541")*'Slaughterhouse IQC'!$I$6:$I$64)=0,"",SUMPRODUCT((LEFT('Slaughterhouse IQC'!$A$6:$A$64,7)="2026-07")*('Slaughterhouse IQC'!$B$6:$B$64="Parks Family Meats")*('Slaughterhouse IQC'!$F$6:$F$64="666541")*'Slaughterhouse IQC'!$K$6:$K$64))</f>
        <v/>
      </c>
      <c r="F18" s="17">
        <f>IF(SUMPRODUCT((LEFT('Slaughterhouse IQC'!$A$6:$A$64,7)="2026-08")*('Slaughterhouse IQC'!$B$6:$B$64="Parks Family Meats")*('Slaughterhouse IQC'!$F$6:$F$64="666541")*'Slaughterhouse IQC'!$I$6:$I$64)=0,"",SUMPRODUCT((LEFT('Slaughterhouse IQC'!$A$6:$A$64,7)="2026-08")*('Slaughterhouse IQC'!$B$6:$B$64="Parks Family Meats")*('Slaughterhouse IQC'!$F$6:$F$64="666541")*'Slaughterhouse IQC'!$K$6:$K$64))</f>
        <v>1</v>
      </c>
      <c r="G18" s="17">
        <f>SUMPRODUCT(('Slaughterhouse IQC'!$B$6:$B$64="Parks Family Meats")*('Slaughterhouse IQC'!$F$6:$F$64="666541")*'Slaughterhouse IQC'!$K$6:$K$64)</f>
        <v>1</v>
      </c>
    </row>
    <row r="19" spans="1:7" x14ac:dyDescent="0.3">
      <c r="A19" s="16" t="s">
        <v>299</v>
      </c>
      <c r="B19" s="17" t="str">
        <f>IF(SUMPRODUCT((LEFT('Slaughterhouse IQC'!$A$6:$A$64,7)="2026-04")*('Slaughterhouse IQC'!$B$6:$B$64="Nahunta")*('Slaughterhouse IQC'!$F$6:$F$64="666541")*'Slaughterhouse IQC'!$I$6:$I$64)=0,"",SUMPRODUCT((LEFT('Slaughterhouse IQC'!$A$6:$A$64,7)="2026-04")*('Slaughterhouse IQC'!$B$6:$B$64="Nahunta")*('Slaughterhouse IQC'!$F$6:$F$64="666541")*'Slaughterhouse IQC'!$K$6:$K$64))</f>
        <v/>
      </c>
      <c r="C19" s="17" t="str">
        <f>IF(SUMPRODUCT((LEFT('Slaughterhouse IQC'!$A$6:$A$64,7)="2026-05")*('Slaughterhouse IQC'!$B$6:$B$64="Nahunta")*('Slaughterhouse IQC'!$F$6:$F$64="666541")*'Slaughterhouse IQC'!$I$6:$I$64)=0,"",SUMPRODUCT((LEFT('Slaughterhouse IQC'!$A$6:$A$64,7)="2026-05")*('Slaughterhouse IQC'!$B$6:$B$64="Nahunta")*('Slaughterhouse IQC'!$F$6:$F$64="666541")*'Slaughterhouse IQC'!$K$6:$K$64))</f>
        <v/>
      </c>
      <c r="D19" s="17" t="str">
        <f>IF(SUMPRODUCT((LEFT('Slaughterhouse IQC'!$A$6:$A$64,7)="2026-06")*('Slaughterhouse IQC'!$B$6:$B$64="Nahunta")*('Slaughterhouse IQC'!$F$6:$F$64="666541")*'Slaughterhouse IQC'!$I$6:$I$64)=0,"",SUMPRODUCT((LEFT('Slaughterhouse IQC'!$A$6:$A$64,7)="2026-06")*('Slaughterhouse IQC'!$B$6:$B$64="Nahunta")*('Slaughterhouse IQC'!$F$6:$F$64="666541")*'Slaughterhouse IQC'!$K$6:$K$64))</f>
        <v/>
      </c>
      <c r="E19" s="17">
        <f>IF(SUMPRODUCT((LEFT('Slaughterhouse IQC'!$A$6:$A$64,7)="2026-07")*('Slaughterhouse IQC'!$B$6:$B$64="Nahunta")*('Slaughterhouse IQC'!$F$6:$F$64="666541")*'Slaughterhouse IQC'!$I$6:$I$64)=0,"",SUMPRODUCT((LEFT('Slaughterhouse IQC'!$A$6:$A$64,7)="2026-07")*('Slaughterhouse IQC'!$B$6:$B$64="Nahunta")*('Slaughterhouse IQC'!$F$6:$F$64="666541")*'Slaughterhouse IQC'!$K$6:$K$64))</f>
        <v>0</v>
      </c>
      <c r="F19" s="17">
        <f>IF(SUMPRODUCT((LEFT('Slaughterhouse IQC'!$A$6:$A$64,7)="2026-08")*('Slaughterhouse IQC'!$B$6:$B$64="Nahunta")*('Slaughterhouse IQC'!$F$6:$F$64="666541")*'Slaughterhouse IQC'!$I$6:$I$64)=0,"",SUMPRODUCT((LEFT('Slaughterhouse IQC'!$A$6:$A$64,7)="2026-08")*('Slaughterhouse IQC'!$B$6:$B$64="Nahunta")*('Slaughterhouse IQC'!$F$6:$F$64="666541")*'Slaughterhouse IQC'!$K$6:$K$64))</f>
        <v>12</v>
      </c>
      <c r="G19" s="17">
        <f>SUMPRODUCT(('Slaughterhouse IQC'!$B$6:$B$64="Nahunta")*('Slaughterhouse IQC'!$F$6:$F$64="666541")*'Slaughterhouse IQC'!$K$6:$K$64)</f>
        <v>12</v>
      </c>
    </row>
    <row r="20" spans="1:7" x14ac:dyDescent="0.3">
      <c r="A20" s="16" t="s">
        <v>300</v>
      </c>
      <c r="B20" s="17" t="str">
        <f>IF(SUMPRODUCT((LEFT('Slaughterhouse IQC'!$A$6:$A$64,7)="2026-04")*('Slaughterhouse IQC'!$B$6:$B$64="Nahunta")*('Slaughterhouse IQC'!$F$6:$F$64="666521")*'Slaughterhouse IQC'!$I$6:$I$64)=0,"",SUMPRODUCT((LEFT('Slaughterhouse IQC'!$A$6:$A$64,7)="2026-04")*('Slaughterhouse IQC'!$B$6:$B$64="Nahunta")*('Slaughterhouse IQC'!$F$6:$F$64="666521")*'Slaughterhouse IQC'!$K$6:$K$64))</f>
        <v/>
      </c>
      <c r="C20" s="17" t="str">
        <f>IF(SUMPRODUCT((LEFT('Slaughterhouse IQC'!$A$6:$A$64,7)="2026-05")*('Slaughterhouse IQC'!$B$6:$B$64="Nahunta")*('Slaughterhouse IQC'!$F$6:$F$64="666521")*'Slaughterhouse IQC'!$I$6:$I$64)=0,"",SUMPRODUCT((LEFT('Slaughterhouse IQC'!$A$6:$A$64,7)="2026-05")*('Slaughterhouse IQC'!$B$6:$B$64="Nahunta")*('Slaughterhouse IQC'!$F$6:$F$64="666521")*'Slaughterhouse IQC'!$K$6:$K$64))</f>
        <v/>
      </c>
      <c r="D20" s="17" t="str">
        <f>IF(SUMPRODUCT((LEFT('Slaughterhouse IQC'!$A$6:$A$64,7)="2026-06")*('Slaughterhouse IQC'!$B$6:$B$64="Nahunta")*('Slaughterhouse IQC'!$F$6:$F$64="666521")*'Slaughterhouse IQC'!$I$6:$I$64)=0,"",SUMPRODUCT((LEFT('Slaughterhouse IQC'!$A$6:$A$64,7)="2026-06")*('Slaughterhouse IQC'!$B$6:$B$64="Nahunta")*('Slaughterhouse IQC'!$F$6:$F$64="666521")*'Slaughterhouse IQC'!$K$6:$K$64))</f>
        <v/>
      </c>
      <c r="E20" s="17">
        <f>IF(SUMPRODUCT((LEFT('Slaughterhouse IQC'!$A$6:$A$64,7)="2026-07")*('Slaughterhouse IQC'!$B$6:$B$64="Nahunta")*('Slaughterhouse IQC'!$F$6:$F$64="666521")*'Slaughterhouse IQC'!$I$6:$I$64)=0,"",SUMPRODUCT((LEFT('Slaughterhouse IQC'!$A$6:$A$64,7)="2026-07")*('Slaughterhouse IQC'!$B$6:$B$64="Nahunta")*('Slaughterhouse IQC'!$F$6:$F$64="666521")*'Slaughterhouse IQC'!$K$6:$K$64))</f>
        <v>13</v>
      </c>
      <c r="F20" s="17">
        <f>IF(SUMPRODUCT((LEFT('Slaughterhouse IQC'!$A$6:$A$64,7)="2026-08")*('Slaughterhouse IQC'!$B$6:$B$64="Nahunta")*('Slaughterhouse IQC'!$F$6:$F$64="666521")*'Slaughterhouse IQC'!$I$6:$I$64)=0,"",SUMPRODUCT((LEFT('Slaughterhouse IQC'!$A$6:$A$64,7)="2026-08")*('Slaughterhouse IQC'!$B$6:$B$64="Nahunta")*('Slaughterhouse IQC'!$F$6:$F$64="666521")*'Slaughterhouse IQC'!$K$6:$K$64))</f>
        <v>49</v>
      </c>
      <c r="G20" s="17">
        <f>SUMPRODUCT(('Slaughterhouse IQC'!$B$6:$B$64="Nahunta")*('Slaughterhouse IQC'!$F$6:$F$64="666521")*'Slaughterhouse IQC'!$K$6:$K$64)</f>
        <v>62</v>
      </c>
    </row>
    <row r="22" spans="1:7" ht="18" customHeight="1" x14ac:dyDescent="0.3">
      <c r="A22" s="9" t="s">
        <v>302</v>
      </c>
      <c r="B22" s="11"/>
      <c r="C22" s="11"/>
      <c r="D22" s="11"/>
      <c r="E22" s="11"/>
      <c r="F22" s="11"/>
      <c r="G22" s="11"/>
    </row>
    <row r="23" spans="1:7" x14ac:dyDescent="0.3">
      <c r="A23" s="18" t="s">
        <v>91</v>
      </c>
      <c r="B23" s="18" t="s">
        <v>290</v>
      </c>
      <c r="C23" s="18" t="s">
        <v>291</v>
      </c>
      <c r="D23" s="18" t="s">
        <v>292</v>
      </c>
      <c r="E23" s="18" t="s">
        <v>293</v>
      </c>
      <c r="F23" s="18" t="s">
        <v>294</v>
      </c>
      <c r="G23" s="18" t="s">
        <v>4</v>
      </c>
    </row>
    <row r="24" spans="1:7" x14ac:dyDescent="0.3">
      <c r="A24" s="16" t="s">
        <v>36</v>
      </c>
      <c r="B24" s="17">
        <f>IF(SUMPRODUCT((LEFT('Slaughterhouse IQC'!$A$6:$A$64,7)="2026-04")*('Slaughterhouse IQC'!$B$6:$B$64="Martins")*('Slaughterhouse IQC'!$F$6:$F$64="666541")*'Slaughterhouse IQC'!$I$6:$I$64)=0,"",SUMPRODUCT((LEFT('Slaughterhouse IQC'!$A$6:$A$64,7)="2026-04")*('Slaughterhouse IQC'!$B$6:$B$64="Martins")*('Slaughterhouse IQC'!$F$6:$F$64="666541")*'Slaughterhouse IQC'!$I$6:$I$64))</f>
        <v>122</v>
      </c>
      <c r="C24" s="17">
        <f>IF(SUMPRODUCT((LEFT('Slaughterhouse IQC'!$A$6:$A$64,7)="2026-05")*('Slaughterhouse IQC'!$B$6:$B$64="Martins")*('Slaughterhouse IQC'!$F$6:$F$64="666541")*'Slaughterhouse IQC'!$I$6:$I$64)=0,"",SUMPRODUCT((LEFT('Slaughterhouse IQC'!$A$6:$A$64,7)="2026-05")*('Slaughterhouse IQC'!$B$6:$B$64="Martins")*('Slaughterhouse IQC'!$F$6:$F$64="666541")*'Slaughterhouse IQC'!$I$6:$I$64))</f>
        <v>194</v>
      </c>
      <c r="D24" s="17">
        <f>IF(SUMPRODUCT((LEFT('Slaughterhouse IQC'!$A$6:$A$64,7)="2026-06")*('Slaughterhouse IQC'!$B$6:$B$64="Martins")*('Slaughterhouse IQC'!$F$6:$F$64="666541")*'Slaughterhouse IQC'!$I$6:$I$64)=0,"",SUMPRODUCT((LEFT('Slaughterhouse IQC'!$A$6:$A$64,7)="2026-06")*('Slaughterhouse IQC'!$B$6:$B$64="Martins")*('Slaughterhouse IQC'!$F$6:$F$64="666541")*'Slaughterhouse IQC'!$I$6:$I$64))</f>
        <v>152</v>
      </c>
      <c r="E24" s="17">
        <f>IF(SUMPRODUCT((LEFT('Slaughterhouse IQC'!$A$6:$A$64,7)="2026-07")*('Slaughterhouse IQC'!$B$6:$B$64="Martins")*('Slaughterhouse IQC'!$F$6:$F$64="666541")*'Slaughterhouse IQC'!$I$6:$I$64)=0,"",SUMPRODUCT((LEFT('Slaughterhouse IQC'!$A$6:$A$64,7)="2026-07")*('Slaughterhouse IQC'!$B$6:$B$64="Martins")*('Slaughterhouse IQC'!$F$6:$F$64="666541")*'Slaughterhouse IQC'!$I$6:$I$64))</f>
        <v>161</v>
      </c>
      <c r="F24" s="17">
        <f>IF(SUMPRODUCT((LEFT('Slaughterhouse IQC'!$A$6:$A$64,7)="2026-08")*('Slaughterhouse IQC'!$B$6:$B$64="Martins")*('Slaughterhouse IQC'!$F$6:$F$64="666541")*'Slaughterhouse IQC'!$I$6:$I$64)=0,"",SUMPRODUCT((LEFT('Slaughterhouse IQC'!$A$6:$A$64,7)="2026-08")*('Slaughterhouse IQC'!$B$6:$B$64="Martins")*('Slaughterhouse IQC'!$F$6:$F$64="666541")*'Slaughterhouse IQC'!$I$6:$I$64))</f>
        <v>137</v>
      </c>
      <c r="G24" s="17">
        <f>SUM(B24:F24)</f>
        <v>766</v>
      </c>
    </row>
    <row r="25" spans="1:7" x14ac:dyDescent="0.3">
      <c r="A25" s="16" t="s">
        <v>37</v>
      </c>
      <c r="B25" s="17">
        <f>IF(SUMPRODUCT((LEFT('Slaughterhouse IQC'!$A$6:$A$64,7)="2026-04")*('Slaughterhouse IQC'!$B$6:$B$64="Martins")*('Slaughterhouse IQC'!$F$6:$F$64="666541")*'Slaughterhouse IQC'!$I$6:$I$64)=0,"",SUMPRODUCT((LEFT('Slaughterhouse IQC'!$A$6:$A$64,7)="2026-04")*('Slaughterhouse IQC'!$B$6:$B$64="Martins")*('Slaughterhouse IQC'!$F$6:$F$64="666541")*'Slaughterhouse IQC'!$J$6:$J$64))</f>
        <v>116</v>
      </c>
      <c r="C25" s="17">
        <f>IF(SUMPRODUCT((LEFT('Slaughterhouse IQC'!$A$6:$A$64,7)="2026-05")*('Slaughterhouse IQC'!$B$6:$B$64="Martins")*('Slaughterhouse IQC'!$F$6:$F$64="666541")*'Slaughterhouse IQC'!$I$6:$I$64)=0,"",SUMPRODUCT((LEFT('Slaughterhouse IQC'!$A$6:$A$64,7)="2026-05")*('Slaughterhouse IQC'!$B$6:$B$64="Martins")*('Slaughterhouse IQC'!$F$6:$F$64="666541")*'Slaughterhouse IQC'!$J$6:$J$64))</f>
        <v>181</v>
      </c>
      <c r="D25" s="17">
        <f>IF(SUMPRODUCT((LEFT('Slaughterhouse IQC'!$A$6:$A$64,7)="2026-06")*('Slaughterhouse IQC'!$B$6:$B$64="Martins")*('Slaughterhouse IQC'!$F$6:$F$64="666541")*'Slaughterhouse IQC'!$I$6:$I$64)=0,"",SUMPRODUCT((LEFT('Slaughterhouse IQC'!$A$6:$A$64,7)="2026-06")*('Slaughterhouse IQC'!$B$6:$B$64="Martins")*('Slaughterhouse IQC'!$F$6:$F$64="666541")*'Slaughterhouse IQC'!$J$6:$J$64))</f>
        <v>144</v>
      </c>
      <c r="E25" s="17">
        <f>IF(SUMPRODUCT((LEFT('Slaughterhouse IQC'!$A$6:$A$64,7)="2026-07")*('Slaughterhouse IQC'!$B$6:$B$64="Martins")*('Slaughterhouse IQC'!$F$6:$F$64="666541")*'Slaughterhouse IQC'!$I$6:$I$64)=0,"",SUMPRODUCT((LEFT('Slaughterhouse IQC'!$A$6:$A$64,7)="2026-07")*('Slaughterhouse IQC'!$B$6:$B$64="Martins")*('Slaughterhouse IQC'!$F$6:$F$64="666541")*'Slaughterhouse IQC'!$J$6:$J$64))</f>
        <v>155</v>
      </c>
      <c r="F25" s="17">
        <f>IF(SUMPRODUCT((LEFT('Slaughterhouse IQC'!$A$6:$A$64,7)="2026-08")*('Slaughterhouse IQC'!$B$6:$B$64="Martins")*('Slaughterhouse IQC'!$F$6:$F$64="666541")*'Slaughterhouse IQC'!$I$6:$I$64)=0,"",SUMPRODUCT((LEFT('Slaughterhouse IQC'!$A$6:$A$64,7)="2026-08")*('Slaughterhouse IQC'!$B$6:$B$64="Martins")*('Slaughterhouse IQC'!$F$6:$F$64="666541")*'Slaughterhouse IQC'!$J$6:$J$64))</f>
        <v>132</v>
      </c>
      <c r="G25" s="17">
        <f>SUM(B25:F25)</f>
        <v>728</v>
      </c>
    </row>
    <row r="26" spans="1:7" x14ac:dyDescent="0.3">
      <c r="A26" s="16" t="s">
        <v>38</v>
      </c>
      <c r="B26" s="17">
        <f>IF(SUMPRODUCT((LEFT('Slaughterhouse IQC'!$A$6:$A$64,7)="2026-04")*('Slaughterhouse IQC'!$B$6:$B$64="Martins")*('Slaughterhouse IQC'!$F$6:$F$64="666541")*'Slaughterhouse IQC'!$I$6:$I$64)=0,"",SUMPRODUCT((LEFT('Slaughterhouse IQC'!$A$6:$A$64,7)="2026-04")*('Slaughterhouse IQC'!$B$6:$B$64="Martins")*('Slaughterhouse IQC'!$F$6:$F$64="666541")*'Slaughterhouse IQC'!$K$6:$K$64))</f>
        <v>6</v>
      </c>
      <c r="C26" s="17">
        <f>IF(SUMPRODUCT((LEFT('Slaughterhouse IQC'!$A$6:$A$64,7)="2026-05")*('Slaughterhouse IQC'!$B$6:$B$64="Martins")*('Slaughterhouse IQC'!$F$6:$F$64="666541")*'Slaughterhouse IQC'!$I$6:$I$64)=0,"",SUMPRODUCT((LEFT('Slaughterhouse IQC'!$A$6:$A$64,7)="2026-05")*('Slaughterhouse IQC'!$B$6:$B$64="Martins")*('Slaughterhouse IQC'!$F$6:$F$64="666541")*'Slaughterhouse IQC'!$K$6:$K$64))</f>
        <v>13</v>
      </c>
      <c r="D26" s="17">
        <f>IF(SUMPRODUCT((LEFT('Slaughterhouse IQC'!$A$6:$A$64,7)="2026-06")*('Slaughterhouse IQC'!$B$6:$B$64="Martins")*('Slaughterhouse IQC'!$F$6:$F$64="666541")*'Slaughterhouse IQC'!$I$6:$I$64)=0,"",SUMPRODUCT((LEFT('Slaughterhouse IQC'!$A$6:$A$64,7)="2026-06")*('Slaughterhouse IQC'!$B$6:$B$64="Martins")*('Slaughterhouse IQC'!$F$6:$F$64="666541")*'Slaughterhouse IQC'!$K$6:$K$64))</f>
        <v>8</v>
      </c>
      <c r="E26" s="17">
        <f>IF(SUMPRODUCT((LEFT('Slaughterhouse IQC'!$A$6:$A$64,7)="2026-07")*('Slaughterhouse IQC'!$B$6:$B$64="Martins")*('Slaughterhouse IQC'!$F$6:$F$64="666541")*'Slaughterhouse IQC'!$I$6:$I$64)=0,"",SUMPRODUCT((LEFT('Slaughterhouse IQC'!$A$6:$A$64,7)="2026-07")*('Slaughterhouse IQC'!$B$6:$B$64="Martins")*('Slaughterhouse IQC'!$F$6:$F$64="666541")*'Slaughterhouse IQC'!$K$6:$K$64))</f>
        <v>6</v>
      </c>
      <c r="F26" s="17">
        <f>IF(SUMPRODUCT((LEFT('Slaughterhouse IQC'!$A$6:$A$64,7)="2026-08")*('Slaughterhouse IQC'!$B$6:$B$64="Martins")*('Slaughterhouse IQC'!$F$6:$F$64="666541")*'Slaughterhouse IQC'!$I$6:$I$64)=0,"",SUMPRODUCT((LEFT('Slaughterhouse IQC'!$A$6:$A$64,7)="2026-08")*('Slaughterhouse IQC'!$B$6:$B$64="Martins")*('Slaughterhouse IQC'!$F$6:$F$64="666541")*'Slaughterhouse IQC'!$K$6:$K$64))</f>
        <v>5</v>
      </c>
      <c r="G26" s="17">
        <f>SUM(B26:F26)</f>
        <v>38</v>
      </c>
    </row>
    <row r="27" spans="1:7" x14ac:dyDescent="0.3">
      <c r="A27" s="19" t="s">
        <v>154</v>
      </c>
      <c r="B27" s="20">
        <f>IF(B24="","",IF(B24=0,"",B25/B24))</f>
        <v>0.95081967213114749</v>
      </c>
      <c r="C27" s="20">
        <f>IF(C24="","",IF(C24=0,"",C25/C24))</f>
        <v>0.9329896907216495</v>
      </c>
      <c r="D27" s="20">
        <f>IF(D24="","",IF(D24=0,"",D25/D24))</f>
        <v>0.94736842105263153</v>
      </c>
      <c r="E27" s="20">
        <f>IF(E24="","",IF(E24=0,"",E25/E24))</f>
        <v>0.96273291925465843</v>
      </c>
      <c r="F27" s="20">
        <f>IF(F24="","",IF(F24=0,"",F25/F24))</f>
        <v>0.96350364963503654</v>
      </c>
      <c r="G27" s="20">
        <f>IF(G24=0,"",G25/G24)</f>
        <v>0.95039164490861616</v>
      </c>
    </row>
    <row r="28" spans="1:7" ht="15" customHeight="1" x14ac:dyDescent="0.3">
      <c r="A28" s="8" t="s">
        <v>303</v>
      </c>
      <c r="B28" s="11"/>
      <c r="C28" s="11"/>
      <c r="D28" s="11"/>
      <c r="E28" s="11"/>
      <c r="F28" s="11"/>
      <c r="G28" s="11"/>
    </row>
    <row r="29" spans="1:7" x14ac:dyDescent="0.3">
      <c r="A29" s="21" t="s">
        <v>304</v>
      </c>
      <c r="B29" s="17">
        <v>2</v>
      </c>
      <c r="C29" s="17">
        <v>9</v>
      </c>
      <c r="D29" s="17">
        <v>4</v>
      </c>
      <c r="E29" s="17">
        <v>3</v>
      </c>
      <c r="F29" s="17">
        <v>2</v>
      </c>
      <c r="G29" s="17">
        <v>20</v>
      </c>
    </row>
    <row r="30" spans="1:7" x14ac:dyDescent="0.3">
      <c r="A30" s="21" t="s">
        <v>305</v>
      </c>
      <c r="C30" s="17">
        <v>2</v>
      </c>
      <c r="D30" s="17">
        <v>3</v>
      </c>
      <c r="E30" s="17">
        <v>2</v>
      </c>
      <c r="F30" s="17">
        <v>1</v>
      </c>
      <c r="G30" s="17">
        <v>8</v>
      </c>
    </row>
    <row r="31" spans="1:7" x14ac:dyDescent="0.3">
      <c r="A31" s="21" t="s">
        <v>306</v>
      </c>
      <c r="B31" s="17">
        <v>2</v>
      </c>
      <c r="C31" s="17">
        <v>1</v>
      </c>
      <c r="D31" s="17">
        <v>1</v>
      </c>
      <c r="F31" s="17">
        <v>2</v>
      </c>
      <c r="G31" s="17">
        <v>6</v>
      </c>
    </row>
    <row r="32" spans="1:7" x14ac:dyDescent="0.3">
      <c r="A32" s="21" t="s">
        <v>307</v>
      </c>
      <c r="C32" s="17">
        <v>1</v>
      </c>
      <c r="G32" s="17">
        <v>1</v>
      </c>
    </row>
    <row r="33" spans="1:7" x14ac:dyDescent="0.3">
      <c r="A33" s="21" t="s">
        <v>308</v>
      </c>
      <c r="B33" s="17">
        <v>2</v>
      </c>
      <c r="E33" s="17">
        <v>1</v>
      </c>
      <c r="G33" s="17">
        <v>3</v>
      </c>
    </row>
    <row r="34" spans="1:7" x14ac:dyDescent="0.3">
      <c r="A34" s="19" t="s">
        <v>309</v>
      </c>
      <c r="B34" s="17">
        <f>IF(SUM(B29:B33)=0,"",SUM(B29:B33))</f>
        <v>6</v>
      </c>
      <c r="C34" s="17">
        <f>IF(SUM(C29:C33)=0,"",SUM(C29:C33))</f>
        <v>13</v>
      </c>
      <c r="D34" s="17">
        <f>IF(SUM(D29:D33)=0,"",SUM(D29:D33))</f>
        <v>8</v>
      </c>
      <c r="E34" s="17">
        <f>IF(SUM(E29:E33)=0,"",SUM(E29:E33))</f>
        <v>6</v>
      </c>
      <c r="F34" s="17">
        <f>IF(SUM(F29:F33)=0,"",SUM(F29:F33))</f>
        <v>5</v>
      </c>
      <c r="G34" s="17">
        <f>SUM(G29:G33)</f>
        <v>38</v>
      </c>
    </row>
    <row r="36" spans="1:7" ht="18" customHeight="1" x14ac:dyDescent="0.3">
      <c r="A36" s="9" t="s">
        <v>310</v>
      </c>
      <c r="B36" s="11"/>
      <c r="C36" s="11"/>
      <c r="D36" s="11"/>
      <c r="E36" s="11"/>
      <c r="F36" s="11"/>
      <c r="G36" s="11"/>
    </row>
    <row r="37" spans="1:7" x14ac:dyDescent="0.3">
      <c r="A37" s="18" t="s">
        <v>91</v>
      </c>
      <c r="B37" s="18" t="s">
        <v>290</v>
      </c>
      <c r="C37" s="18" t="s">
        <v>291</v>
      </c>
      <c r="D37" s="18" t="s">
        <v>292</v>
      </c>
      <c r="E37" s="18" t="s">
        <v>293</v>
      </c>
      <c r="F37" s="18" t="s">
        <v>294</v>
      </c>
      <c r="G37" s="18" t="s">
        <v>4</v>
      </c>
    </row>
    <row r="38" spans="1:7" x14ac:dyDescent="0.3">
      <c r="A38" s="16" t="s">
        <v>36</v>
      </c>
      <c r="B38" s="17">
        <f>IF(SUMPRODUCT((LEFT('Slaughterhouse IQC'!$A$6:$A$64,7)="2026-04")*('Slaughterhouse IQC'!$B$6:$B$64="Martins")*('Slaughterhouse IQC'!$F$6:$F$64="666506")*'Slaughterhouse IQC'!$I$6:$I$64)=0,"",SUMPRODUCT((LEFT('Slaughterhouse IQC'!$A$6:$A$64,7)="2026-04")*('Slaughterhouse IQC'!$B$6:$B$64="Martins")*('Slaughterhouse IQC'!$F$6:$F$64="666506")*'Slaughterhouse IQC'!$I$6:$I$64))</f>
        <v>59</v>
      </c>
      <c r="C38" s="17">
        <f>IF(SUMPRODUCT((LEFT('Slaughterhouse IQC'!$A$6:$A$64,7)="2026-05")*('Slaughterhouse IQC'!$B$6:$B$64="Martins")*('Slaughterhouse IQC'!$F$6:$F$64="666506")*'Slaughterhouse IQC'!$I$6:$I$64)=0,"",SUMPRODUCT((LEFT('Slaughterhouse IQC'!$A$6:$A$64,7)="2026-05")*('Slaughterhouse IQC'!$B$6:$B$64="Martins")*('Slaughterhouse IQC'!$F$6:$F$64="666506")*'Slaughterhouse IQC'!$I$6:$I$64))</f>
        <v>118</v>
      </c>
      <c r="D38" s="17">
        <f>IF(SUMPRODUCT((LEFT('Slaughterhouse IQC'!$A$6:$A$64,7)="2026-06")*('Slaughterhouse IQC'!$B$6:$B$64="Martins")*('Slaughterhouse IQC'!$F$6:$F$64="666506")*'Slaughterhouse IQC'!$I$6:$I$64)=0,"",SUMPRODUCT((LEFT('Slaughterhouse IQC'!$A$6:$A$64,7)="2026-06")*('Slaughterhouse IQC'!$B$6:$B$64="Martins")*('Slaughterhouse IQC'!$F$6:$F$64="666506")*'Slaughterhouse IQC'!$I$6:$I$64))</f>
        <v>53</v>
      </c>
      <c r="E38" s="17">
        <f>IF(SUMPRODUCT((LEFT('Slaughterhouse IQC'!$A$6:$A$64,7)="2026-07")*('Slaughterhouse IQC'!$B$6:$B$64="Martins")*('Slaughterhouse IQC'!$F$6:$F$64="666506")*'Slaughterhouse IQC'!$I$6:$I$64)=0,"",SUMPRODUCT((LEFT('Slaughterhouse IQC'!$A$6:$A$64,7)="2026-07")*('Slaughterhouse IQC'!$B$6:$B$64="Martins")*('Slaughterhouse IQC'!$F$6:$F$64="666506")*'Slaughterhouse IQC'!$I$6:$I$64))</f>
        <v>79</v>
      </c>
      <c r="F38" s="17">
        <f>IF(SUMPRODUCT((LEFT('Slaughterhouse IQC'!$A$6:$A$64,7)="2026-08")*('Slaughterhouse IQC'!$B$6:$B$64="Martins")*('Slaughterhouse IQC'!$F$6:$F$64="666506")*'Slaughterhouse IQC'!$I$6:$I$64)=0,"",SUMPRODUCT((LEFT('Slaughterhouse IQC'!$A$6:$A$64,7)="2026-08")*('Slaughterhouse IQC'!$B$6:$B$64="Martins")*('Slaughterhouse IQC'!$F$6:$F$64="666506")*'Slaughterhouse IQC'!$I$6:$I$64))</f>
        <v>13</v>
      </c>
      <c r="G38" s="17">
        <f>SUM(B38:F38)</f>
        <v>322</v>
      </c>
    </row>
    <row r="39" spans="1:7" x14ac:dyDescent="0.3">
      <c r="A39" s="16" t="s">
        <v>37</v>
      </c>
      <c r="B39" s="17">
        <f>IF(SUMPRODUCT((LEFT('Slaughterhouse IQC'!$A$6:$A$64,7)="2026-04")*('Slaughterhouse IQC'!$B$6:$B$64="Martins")*('Slaughterhouse IQC'!$F$6:$F$64="666506")*'Slaughterhouse IQC'!$I$6:$I$64)=0,"",SUMPRODUCT((LEFT('Slaughterhouse IQC'!$A$6:$A$64,7)="2026-04")*('Slaughterhouse IQC'!$B$6:$B$64="Martins")*('Slaughterhouse IQC'!$F$6:$F$64="666506")*'Slaughterhouse IQC'!$J$6:$J$64))</f>
        <v>55</v>
      </c>
      <c r="C39" s="17">
        <f>IF(SUMPRODUCT((LEFT('Slaughterhouse IQC'!$A$6:$A$64,7)="2026-05")*('Slaughterhouse IQC'!$B$6:$B$64="Martins")*('Slaughterhouse IQC'!$F$6:$F$64="666506")*'Slaughterhouse IQC'!$I$6:$I$64)=0,"",SUMPRODUCT((LEFT('Slaughterhouse IQC'!$A$6:$A$64,7)="2026-05")*('Slaughterhouse IQC'!$B$6:$B$64="Martins")*('Slaughterhouse IQC'!$F$6:$F$64="666506")*'Slaughterhouse IQC'!$J$6:$J$64))</f>
        <v>112</v>
      </c>
      <c r="D39" s="17">
        <f>IF(SUMPRODUCT((LEFT('Slaughterhouse IQC'!$A$6:$A$64,7)="2026-06")*('Slaughterhouse IQC'!$B$6:$B$64="Martins")*('Slaughterhouse IQC'!$F$6:$F$64="666506")*'Slaughterhouse IQC'!$I$6:$I$64)=0,"",SUMPRODUCT((LEFT('Slaughterhouse IQC'!$A$6:$A$64,7)="2026-06")*('Slaughterhouse IQC'!$B$6:$B$64="Martins")*('Slaughterhouse IQC'!$F$6:$F$64="666506")*'Slaughterhouse IQC'!$J$6:$J$64))</f>
        <v>52</v>
      </c>
      <c r="E39" s="17">
        <f>IF(SUMPRODUCT((LEFT('Slaughterhouse IQC'!$A$6:$A$64,7)="2026-07")*('Slaughterhouse IQC'!$B$6:$B$64="Martins")*('Slaughterhouse IQC'!$F$6:$F$64="666506")*'Slaughterhouse IQC'!$I$6:$I$64)=0,"",SUMPRODUCT((LEFT('Slaughterhouse IQC'!$A$6:$A$64,7)="2026-07")*('Slaughterhouse IQC'!$B$6:$B$64="Martins")*('Slaughterhouse IQC'!$F$6:$F$64="666506")*'Slaughterhouse IQC'!$J$6:$J$64))</f>
        <v>77</v>
      </c>
      <c r="F39" s="17">
        <f>IF(SUMPRODUCT((LEFT('Slaughterhouse IQC'!$A$6:$A$64,7)="2026-08")*('Slaughterhouse IQC'!$B$6:$B$64="Martins")*('Slaughterhouse IQC'!$F$6:$F$64="666506")*'Slaughterhouse IQC'!$I$6:$I$64)=0,"",SUMPRODUCT((LEFT('Slaughterhouse IQC'!$A$6:$A$64,7)="2026-08")*('Slaughterhouse IQC'!$B$6:$B$64="Martins")*('Slaughterhouse IQC'!$F$6:$F$64="666506")*'Slaughterhouse IQC'!$J$6:$J$64))</f>
        <v>13</v>
      </c>
      <c r="G39" s="17">
        <f>SUM(B39:F39)</f>
        <v>309</v>
      </c>
    </row>
    <row r="40" spans="1:7" x14ac:dyDescent="0.3">
      <c r="A40" s="16" t="s">
        <v>38</v>
      </c>
      <c r="B40" s="17">
        <f>IF(SUMPRODUCT((LEFT('Slaughterhouse IQC'!$A$6:$A$64,7)="2026-04")*('Slaughterhouse IQC'!$B$6:$B$64="Martins")*('Slaughterhouse IQC'!$F$6:$F$64="666506")*'Slaughterhouse IQC'!$I$6:$I$64)=0,"",SUMPRODUCT((LEFT('Slaughterhouse IQC'!$A$6:$A$64,7)="2026-04")*('Slaughterhouse IQC'!$B$6:$B$64="Martins")*('Slaughterhouse IQC'!$F$6:$F$64="666506")*'Slaughterhouse IQC'!$K$6:$K$64))</f>
        <v>4</v>
      </c>
      <c r="C40" s="17">
        <f>IF(SUMPRODUCT((LEFT('Slaughterhouse IQC'!$A$6:$A$64,7)="2026-05")*('Slaughterhouse IQC'!$B$6:$B$64="Martins")*('Slaughterhouse IQC'!$F$6:$F$64="666506")*'Slaughterhouse IQC'!$I$6:$I$64)=0,"",SUMPRODUCT((LEFT('Slaughterhouse IQC'!$A$6:$A$64,7)="2026-05")*('Slaughterhouse IQC'!$B$6:$B$64="Martins")*('Slaughterhouse IQC'!$F$6:$F$64="666506")*'Slaughterhouse IQC'!$K$6:$K$64))</f>
        <v>6</v>
      </c>
      <c r="D40" s="17">
        <f>IF(SUMPRODUCT((LEFT('Slaughterhouse IQC'!$A$6:$A$64,7)="2026-06")*('Slaughterhouse IQC'!$B$6:$B$64="Martins")*('Slaughterhouse IQC'!$F$6:$F$64="666506")*'Slaughterhouse IQC'!$I$6:$I$64)=0,"",SUMPRODUCT((LEFT('Slaughterhouse IQC'!$A$6:$A$64,7)="2026-06")*('Slaughterhouse IQC'!$B$6:$B$64="Martins")*('Slaughterhouse IQC'!$F$6:$F$64="666506")*'Slaughterhouse IQC'!$K$6:$K$64))</f>
        <v>1</v>
      </c>
      <c r="E40" s="17">
        <f>IF(SUMPRODUCT((LEFT('Slaughterhouse IQC'!$A$6:$A$64,7)="2026-07")*('Slaughterhouse IQC'!$B$6:$B$64="Martins")*('Slaughterhouse IQC'!$F$6:$F$64="666506")*'Slaughterhouse IQC'!$I$6:$I$64)=0,"",SUMPRODUCT((LEFT('Slaughterhouse IQC'!$A$6:$A$64,7)="2026-07")*('Slaughterhouse IQC'!$B$6:$B$64="Martins")*('Slaughterhouse IQC'!$F$6:$F$64="666506")*'Slaughterhouse IQC'!$K$6:$K$64))</f>
        <v>2</v>
      </c>
      <c r="F40" s="17">
        <f>IF(SUMPRODUCT((LEFT('Slaughterhouse IQC'!$A$6:$A$64,7)="2026-08")*('Slaughterhouse IQC'!$B$6:$B$64="Martins")*('Slaughterhouse IQC'!$F$6:$F$64="666506")*'Slaughterhouse IQC'!$I$6:$I$64)=0,"",SUMPRODUCT((LEFT('Slaughterhouse IQC'!$A$6:$A$64,7)="2026-08")*('Slaughterhouse IQC'!$B$6:$B$64="Martins")*('Slaughterhouse IQC'!$F$6:$F$64="666506")*'Slaughterhouse IQC'!$K$6:$K$64))</f>
        <v>0</v>
      </c>
      <c r="G40" s="17">
        <f>SUM(B40:F40)</f>
        <v>13</v>
      </c>
    </row>
    <row r="41" spans="1:7" x14ac:dyDescent="0.3">
      <c r="A41" s="19" t="s">
        <v>154</v>
      </c>
      <c r="B41" s="20">
        <f>IF(B38="","",IF(B38=0,"",B39/B38))</f>
        <v>0.93220338983050843</v>
      </c>
      <c r="C41" s="20">
        <f>IF(C38="","",IF(C38=0,"",C39/C38))</f>
        <v>0.94915254237288138</v>
      </c>
      <c r="D41" s="20">
        <f>IF(D38="","",IF(D38=0,"",D39/D38))</f>
        <v>0.98113207547169812</v>
      </c>
      <c r="E41" s="20">
        <f>IF(E38="","",IF(E38=0,"",E39/E38))</f>
        <v>0.97468354430379744</v>
      </c>
      <c r="F41" s="20">
        <f>IF(F38="","",IF(F38=0,"",F39/F38))</f>
        <v>1</v>
      </c>
      <c r="G41" s="20">
        <f>IF(G38=0,"",G39/G38)</f>
        <v>0.95962732919254656</v>
      </c>
    </row>
    <row r="42" spans="1:7" ht="15" customHeight="1" x14ac:dyDescent="0.3">
      <c r="A42" s="8" t="s">
        <v>303</v>
      </c>
      <c r="B42" s="11"/>
      <c r="C42" s="11"/>
      <c r="D42" s="11"/>
      <c r="E42" s="11"/>
      <c r="F42" s="11"/>
      <c r="G42" s="11"/>
    </row>
    <row r="43" spans="1:7" x14ac:dyDescent="0.3">
      <c r="A43" s="21" t="s">
        <v>304</v>
      </c>
      <c r="C43" s="17">
        <v>4</v>
      </c>
      <c r="G43" s="17">
        <v>4</v>
      </c>
    </row>
    <row r="44" spans="1:7" x14ac:dyDescent="0.3">
      <c r="A44" s="21" t="s">
        <v>305</v>
      </c>
      <c r="C44" s="17">
        <v>1</v>
      </c>
      <c r="E44" s="17">
        <v>2</v>
      </c>
      <c r="G44" s="17">
        <v>3</v>
      </c>
    </row>
    <row r="45" spans="1:7" x14ac:dyDescent="0.3">
      <c r="A45" s="21" t="s">
        <v>306</v>
      </c>
      <c r="B45" s="17">
        <v>2</v>
      </c>
      <c r="G45" s="17">
        <v>2</v>
      </c>
    </row>
    <row r="46" spans="1:7" x14ac:dyDescent="0.3">
      <c r="A46" s="21" t="s">
        <v>307</v>
      </c>
      <c r="D46" s="17">
        <v>1</v>
      </c>
      <c r="G46" s="17">
        <v>1</v>
      </c>
    </row>
    <row r="47" spans="1:7" x14ac:dyDescent="0.3">
      <c r="A47" s="21" t="s">
        <v>308</v>
      </c>
      <c r="B47" s="17">
        <v>2</v>
      </c>
      <c r="C47" s="17">
        <v>1</v>
      </c>
      <c r="G47" s="17">
        <v>3</v>
      </c>
    </row>
    <row r="48" spans="1:7" x14ac:dyDescent="0.3">
      <c r="A48" s="19" t="s">
        <v>309</v>
      </c>
      <c r="B48" s="17">
        <f>IF(SUM(B43:B47)=0,"",SUM(B43:B47))</f>
        <v>4</v>
      </c>
      <c r="C48" s="17">
        <f>IF(SUM(C43:C47)=0,"",SUM(C43:C47))</f>
        <v>6</v>
      </c>
      <c r="D48" s="17">
        <f>IF(SUM(D43:D47)=0,"",SUM(D43:D47))</f>
        <v>1</v>
      </c>
      <c r="E48" s="17">
        <f>IF(SUM(E43:E47)=0,"",SUM(E43:E47))</f>
        <v>2</v>
      </c>
      <c r="F48" s="17" t="str">
        <f>IF(SUM(F43:F47)=0,"",SUM(F43:F47))</f>
        <v/>
      </c>
      <c r="G48" s="17">
        <f>SUM(G43:G47)</f>
        <v>13</v>
      </c>
    </row>
    <row r="50" spans="1:7" ht="18" customHeight="1" x14ac:dyDescent="0.3">
      <c r="A50" s="9" t="s">
        <v>311</v>
      </c>
      <c r="B50" s="11"/>
      <c r="C50" s="11"/>
      <c r="D50" s="11"/>
      <c r="E50" s="11"/>
      <c r="F50" s="11"/>
      <c r="G50" s="11"/>
    </row>
    <row r="51" spans="1:7" x14ac:dyDescent="0.3">
      <c r="A51" s="18" t="s">
        <v>91</v>
      </c>
      <c r="B51" s="18" t="s">
        <v>290</v>
      </c>
      <c r="C51" s="18" t="s">
        <v>291</v>
      </c>
      <c r="D51" s="18" t="s">
        <v>292</v>
      </c>
      <c r="E51" s="18" t="s">
        <v>293</v>
      </c>
      <c r="F51" s="18" t="s">
        <v>294</v>
      </c>
      <c r="G51" s="18" t="s">
        <v>4</v>
      </c>
    </row>
    <row r="52" spans="1:7" x14ac:dyDescent="0.3">
      <c r="A52" s="16" t="s">
        <v>36</v>
      </c>
      <c r="B52" s="17" t="str">
        <f>IF(SUMPRODUCT((LEFT('Slaughterhouse IQC'!$A$6:$A$64,7)="2026-04")*('Slaughterhouse IQC'!$B$6:$B$64="Parks Family Meats")*('Slaughterhouse IQC'!$F$6:$F$64="666518")*'Slaughterhouse IQC'!$I$6:$I$64)=0,"",SUMPRODUCT((LEFT('Slaughterhouse IQC'!$A$6:$A$64,7)="2026-04")*('Slaughterhouse IQC'!$B$6:$B$64="Parks Family Meats")*('Slaughterhouse IQC'!$F$6:$F$64="666518")*'Slaughterhouse IQC'!$I$6:$I$64))</f>
        <v/>
      </c>
      <c r="C52" s="17">
        <f>IF(SUMPRODUCT((LEFT('Slaughterhouse IQC'!$A$6:$A$64,7)="2026-05")*('Slaughterhouse IQC'!$B$6:$B$64="Parks Family Meats")*('Slaughterhouse IQC'!$F$6:$F$64="666518")*'Slaughterhouse IQC'!$I$6:$I$64)=0,"",SUMPRODUCT((LEFT('Slaughterhouse IQC'!$A$6:$A$64,7)="2026-05")*('Slaughterhouse IQC'!$B$6:$B$64="Parks Family Meats")*('Slaughterhouse IQC'!$F$6:$F$64="666518")*'Slaughterhouse IQC'!$I$6:$I$64))</f>
        <v>16</v>
      </c>
      <c r="D52" s="17">
        <f>IF(SUMPRODUCT((LEFT('Slaughterhouse IQC'!$A$6:$A$64,7)="2026-06")*('Slaughterhouse IQC'!$B$6:$B$64="Parks Family Meats")*('Slaughterhouse IQC'!$F$6:$F$64="666518")*'Slaughterhouse IQC'!$I$6:$I$64)=0,"",SUMPRODUCT((LEFT('Slaughterhouse IQC'!$A$6:$A$64,7)="2026-06")*('Slaughterhouse IQC'!$B$6:$B$64="Parks Family Meats")*('Slaughterhouse IQC'!$F$6:$F$64="666518")*'Slaughterhouse IQC'!$I$6:$I$64))</f>
        <v>128</v>
      </c>
      <c r="E52" s="17">
        <f>IF(SUMPRODUCT((LEFT('Slaughterhouse IQC'!$A$6:$A$64,7)="2026-07")*('Slaughterhouse IQC'!$B$6:$B$64="Parks Family Meats")*('Slaughterhouse IQC'!$F$6:$F$64="666518")*'Slaughterhouse IQC'!$I$6:$I$64)=0,"",SUMPRODUCT((LEFT('Slaughterhouse IQC'!$A$6:$A$64,7)="2026-07")*('Slaughterhouse IQC'!$B$6:$B$64="Parks Family Meats")*('Slaughterhouse IQC'!$F$6:$F$64="666518")*'Slaughterhouse IQC'!$I$6:$I$64))</f>
        <v>113</v>
      </c>
      <c r="F52" s="17" t="str">
        <f>IF(SUMPRODUCT((LEFT('Slaughterhouse IQC'!$A$6:$A$64,7)="2026-08")*('Slaughterhouse IQC'!$B$6:$B$64="Parks Family Meats")*('Slaughterhouse IQC'!$F$6:$F$64="666518")*'Slaughterhouse IQC'!$I$6:$I$64)=0,"",SUMPRODUCT((LEFT('Slaughterhouse IQC'!$A$6:$A$64,7)="2026-08")*('Slaughterhouse IQC'!$B$6:$B$64="Parks Family Meats")*('Slaughterhouse IQC'!$F$6:$F$64="666518")*'Slaughterhouse IQC'!$I$6:$I$64))</f>
        <v/>
      </c>
      <c r="G52" s="17">
        <f>SUM(B52:F52)</f>
        <v>257</v>
      </c>
    </row>
    <row r="53" spans="1:7" x14ac:dyDescent="0.3">
      <c r="A53" s="16" t="s">
        <v>37</v>
      </c>
      <c r="B53" s="17" t="str">
        <f>IF(SUMPRODUCT((LEFT('Slaughterhouse IQC'!$A$6:$A$64,7)="2026-04")*('Slaughterhouse IQC'!$B$6:$B$64="Parks Family Meats")*('Slaughterhouse IQC'!$F$6:$F$64="666518")*'Slaughterhouse IQC'!$I$6:$I$64)=0,"",SUMPRODUCT((LEFT('Slaughterhouse IQC'!$A$6:$A$64,7)="2026-04")*('Slaughterhouse IQC'!$B$6:$B$64="Parks Family Meats")*('Slaughterhouse IQC'!$F$6:$F$64="666518")*'Slaughterhouse IQC'!$J$6:$J$64))</f>
        <v/>
      </c>
      <c r="C53" s="17">
        <f>IF(SUMPRODUCT((LEFT('Slaughterhouse IQC'!$A$6:$A$64,7)="2026-05")*('Slaughterhouse IQC'!$B$6:$B$64="Parks Family Meats")*('Slaughterhouse IQC'!$F$6:$F$64="666518")*'Slaughterhouse IQC'!$I$6:$I$64)=0,"",SUMPRODUCT((LEFT('Slaughterhouse IQC'!$A$6:$A$64,7)="2026-05")*('Slaughterhouse IQC'!$B$6:$B$64="Parks Family Meats")*('Slaughterhouse IQC'!$F$6:$F$64="666518")*'Slaughterhouse IQC'!$J$6:$J$64))</f>
        <v>11</v>
      </c>
      <c r="D53" s="17">
        <f>IF(SUMPRODUCT((LEFT('Slaughterhouse IQC'!$A$6:$A$64,7)="2026-06")*('Slaughterhouse IQC'!$B$6:$B$64="Parks Family Meats")*('Slaughterhouse IQC'!$F$6:$F$64="666518")*'Slaughterhouse IQC'!$I$6:$I$64)=0,"",SUMPRODUCT((LEFT('Slaughterhouse IQC'!$A$6:$A$64,7)="2026-06")*('Slaughterhouse IQC'!$B$6:$B$64="Parks Family Meats")*('Slaughterhouse IQC'!$F$6:$F$64="666518")*'Slaughterhouse IQC'!$J$6:$J$64))</f>
        <v>106</v>
      </c>
      <c r="E53" s="17">
        <f>IF(SUMPRODUCT((LEFT('Slaughterhouse IQC'!$A$6:$A$64,7)="2026-07")*('Slaughterhouse IQC'!$B$6:$B$64="Parks Family Meats")*('Slaughterhouse IQC'!$F$6:$F$64="666518")*'Slaughterhouse IQC'!$I$6:$I$64)=0,"",SUMPRODUCT((LEFT('Slaughterhouse IQC'!$A$6:$A$64,7)="2026-07")*('Slaughterhouse IQC'!$B$6:$B$64="Parks Family Meats")*('Slaughterhouse IQC'!$F$6:$F$64="666518")*'Slaughterhouse IQC'!$J$6:$J$64))</f>
        <v>100</v>
      </c>
      <c r="F53" s="17" t="str">
        <f>IF(SUMPRODUCT((LEFT('Slaughterhouse IQC'!$A$6:$A$64,7)="2026-08")*('Slaughterhouse IQC'!$B$6:$B$64="Parks Family Meats")*('Slaughterhouse IQC'!$F$6:$F$64="666518")*'Slaughterhouse IQC'!$I$6:$I$64)=0,"",SUMPRODUCT((LEFT('Slaughterhouse IQC'!$A$6:$A$64,7)="2026-08")*('Slaughterhouse IQC'!$B$6:$B$64="Parks Family Meats")*('Slaughterhouse IQC'!$F$6:$F$64="666518")*'Slaughterhouse IQC'!$J$6:$J$64))</f>
        <v/>
      </c>
      <c r="G53" s="17">
        <f>SUM(B53:F53)</f>
        <v>217</v>
      </c>
    </row>
    <row r="54" spans="1:7" x14ac:dyDescent="0.3">
      <c r="A54" s="16" t="s">
        <v>38</v>
      </c>
      <c r="B54" s="17" t="str">
        <f>IF(SUMPRODUCT((LEFT('Slaughterhouse IQC'!$A$6:$A$64,7)="2026-04")*('Slaughterhouse IQC'!$B$6:$B$64="Parks Family Meats")*('Slaughterhouse IQC'!$F$6:$F$64="666518")*'Slaughterhouse IQC'!$I$6:$I$64)=0,"",SUMPRODUCT((LEFT('Slaughterhouse IQC'!$A$6:$A$64,7)="2026-04")*('Slaughterhouse IQC'!$B$6:$B$64="Parks Family Meats")*('Slaughterhouse IQC'!$F$6:$F$64="666518")*'Slaughterhouse IQC'!$K$6:$K$64))</f>
        <v/>
      </c>
      <c r="C54" s="17">
        <f>IF(SUMPRODUCT((LEFT('Slaughterhouse IQC'!$A$6:$A$64,7)="2026-05")*('Slaughterhouse IQC'!$B$6:$B$64="Parks Family Meats")*('Slaughterhouse IQC'!$F$6:$F$64="666518")*'Slaughterhouse IQC'!$I$6:$I$64)=0,"",SUMPRODUCT((LEFT('Slaughterhouse IQC'!$A$6:$A$64,7)="2026-05")*('Slaughterhouse IQC'!$B$6:$B$64="Parks Family Meats")*('Slaughterhouse IQC'!$F$6:$F$64="666518")*'Slaughterhouse IQC'!$K$6:$K$64))</f>
        <v>5</v>
      </c>
      <c r="D54" s="17">
        <f>IF(SUMPRODUCT((LEFT('Slaughterhouse IQC'!$A$6:$A$64,7)="2026-06")*('Slaughterhouse IQC'!$B$6:$B$64="Parks Family Meats")*('Slaughterhouse IQC'!$F$6:$F$64="666518")*'Slaughterhouse IQC'!$I$6:$I$64)=0,"",SUMPRODUCT((LEFT('Slaughterhouse IQC'!$A$6:$A$64,7)="2026-06")*('Slaughterhouse IQC'!$B$6:$B$64="Parks Family Meats")*('Slaughterhouse IQC'!$F$6:$F$64="666518")*'Slaughterhouse IQC'!$K$6:$K$64))</f>
        <v>22</v>
      </c>
      <c r="E54" s="17">
        <f>IF(SUMPRODUCT((LEFT('Slaughterhouse IQC'!$A$6:$A$64,7)="2026-07")*('Slaughterhouse IQC'!$B$6:$B$64="Parks Family Meats")*('Slaughterhouse IQC'!$F$6:$F$64="666518")*'Slaughterhouse IQC'!$I$6:$I$64)=0,"",SUMPRODUCT((LEFT('Slaughterhouse IQC'!$A$6:$A$64,7)="2026-07")*('Slaughterhouse IQC'!$B$6:$B$64="Parks Family Meats")*('Slaughterhouse IQC'!$F$6:$F$64="666518")*'Slaughterhouse IQC'!$K$6:$K$64))</f>
        <v>13</v>
      </c>
      <c r="F54" s="17" t="str">
        <f>IF(SUMPRODUCT((LEFT('Slaughterhouse IQC'!$A$6:$A$64,7)="2026-08")*('Slaughterhouse IQC'!$B$6:$B$64="Parks Family Meats")*('Slaughterhouse IQC'!$F$6:$F$64="666518")*'Slaughterhouse IQC'!$I$6:$I$64)=0,"",SUMPRODUCT((LEFT('Slaughterhouse IQC'!$A$6:$A$64,7)="2026-08")*('Slaughterhouse IQC'!$B$6:$B$64="Parks Family Meats")*('Slaughterhouse IQC'!$F$6:$F$64="666518")*'Slaughterhouse IQC'!$K$6:$K$64))</f>
        <v/>
      </c>
      <c r="G54" s="17">
        <f>SUM(B54:F54)</f>
        <v>40</v>
      </c>
    </row>
    <row r="55" spans="1:7" x14ac:dyDescent="0.3">
      <c r="A55" s="19" t="s">
        <v>154</v>
      </c>
      <c r="B55" s="20" t="str">
        <f>IF(B52="","",IF(B52=0,"",B53/B52))</f>
        <v/>
      </c>
      <c r="C55" s="20">
        <f>IF(C52="","",IF(C52=0,"",C53/C52))</f>
        <v>0.6875</v>
      </c>
      <c r="D55" s="20">
        <f>IF(D52="","",IF(D52=0,"",D53/D52))</f>
        <v>0.828125</v>
      </c>
      <c r="E55" s="20">
        <f>IF(E52="","",IF(E52=0,"",E53/E52))</f>
        <v>0.88495575221238942</v>
      </c>
      <c r="F55" s="20" t="str">
        <f>IF(F52="","",IF(F52=0,"",F53/F52))</f>
        <v/>
      </c>
      <c r="G55" s="20">
        <f>IF(G52=0,"",G53/G52)</f>
        <v>0.8443579766536965</v>
      </c>
    </row>
    <row r="56" spans="1:7" ht="15" customHeight="1" x14ac:dyDescent="0.3">
      <c r="A56" s="8" t="s">
        <v>303</v>
      </c>
      <c r="B56" s="11"/>
      <c r="C56" s="11"/>
      <c r="D56" s="11"/>
      <c r="E56" s="11"/>
      <c r="F56" s="11"/>
      <c r="G56" s="11"/>
    </row>
    <row r="57" spans="1:7" x14ac:dyDescent="0.3">
      <c r="A57" s="21" t="s">
        <v>304</v>
      </c>
      <c r="C57" s="17">
        <v>1</v>
      </c>
      <c r="D57" s="17">
        <v>10</v>
      </c>
      <c r="G57" s="17">
        <v>11</v>
      </c>
    </row>
    <row r="58" spans="1:7" x14ac:dyDescent="0.3">
      <c r="A58" s="21" t="s">
        <v>306</v>
      </c>
      <c r="D58" s="17">
        <v>2</v>
      </c>
      <c r="E58" s="17">
        <v>3</v>
      </c>
      <c r="G58" s="17">
        <v>5</v>
      </c>
    </row>
    <row r="59" spans="1:7" x14ac:dyDescent="0.3">
      <c r="A59" s="21" t="s">
        <v>307</v>
      </c>
      <c r="C59" s="17">
        <v>4</v>
      </c>
      <c r="D59" s="17">
        <v>5</v>
      </c>
      <c r="E59" s="17">
        <v>6</v>
      </c>
      <c r="G59" s="17">
        <v>15</v>
      </c>
    </row>
    <row r="60" spans="1:7" x14ac:dyDescent="0.3">
      <c r="A60" s="21" t="s">
        <v>312</v>
      </c>
      <c r="D60" s="17">
        <v>3</v>
      </c>
      <c r="E60" s="17">
        <v>3</v>
      </c>
      <c r="G60" s="17">
        <v>6</v>
      </c>
    </row>
    <row r="61" spans="1:7" x14ac:dyDescent="0.3">
      <c r="A61" s="21" t="s">
        <v>313</v>
      </c>
      <c r="D61" s="17">
        <v>2</v>
      </c>
      <c r="E61" s="17">
        <v>1</v>
      </c>
      <c r="G61" s="17">
        <v>3</v>
      </c>
    </row>
    <row r="62" spans="1:7" x14ac:dyDescent="0.3">
      <c r="A62" s="19" t="s">
        <v>309</v>
      </c>
      <c r="B62" s="17" t="str">
        <f>IF(SUM(B57:B61)=0,"",SUM(B57:B61))</f>
        <v/>
      </c>
      <c r="C62" s="17">
        <f>IF(SUM(C57:C61)=0,"",SUM(C57:C61))</f>
        <v>5</v>
      </c>
      <c r="D62" s="17">
        <f>IF(SUM(D57:D61)=0,"",SUM(D57:D61))</f>
        <v>22</v>
      </c>
      <c r="E62" s="17">
        <f>IF(SUM(E57:E61)=0,"",SUM(E57:E61))</f>
        <v>13</v>
      </c>
      <c r="F62" s="17" t="str">
        <f>IF(SUM(F57:F61)=0,"",SUM(F57:F61))</f>
        <v/>
      </c>
      <c r="G62" s="17">
        <f>SUM(G57:G61)</f>
        <v>40</v>
      </c>
    </row>
    <row r="64" spans="1:7" ht="18" customHeight="1" x14ac:dyDescent="0.3">
      <c r="A64" s="9" t="s">
        <v>314</v>
      </c>
      <c r="B64" s="11"/>
      <c r="C64" s="11"/>
      <c r="D64" s="11"/>
      <c r="E64" s="11"/>
      <c r="F64" s="11"/>
      <c r="G64" s="11"/>
    </row>
    <row r="65" spans="1:7" x14ac:dyDescent="0.3">
      <c r="A65" s="18" t="s">
        <v>91</v>
      </c>
      <c r="B65" s="18" t="s">
        <v>290</v>
      </c>
      <c r="C65" s="18" t="s">
        <v>291</v>
      </c>
      <c r="D65" s="18" t="s">
        <v>292</v>
      </c>
      <c r="E65" s="18" t="s">
        <v>293</v>
      </c>
      <c r="F65" s="18" t="s">
        <v>294</v>
      </c>
      <c r="G65" s="18" t="s">
        <v>4</v>
      </c>
    </row>
    <row r="66" spans="1:7" x14ac:dyDescent="0.3">
      <c r="A66" s="16" t="s">
        <v>36</v>
      </c>
      <c r="B66" s="17" t="str">
        <f>IF(SUMPRODUCT((LEFT('Slaughterhouse IQC'!$A$6:$A$64,7)="2026-04")*('Slaughterhouse IQC'!$B$6:$B$64="Parks Family Meats")*('Slaughterhouse IQC'!$F$6:$F$64="666541")*'Slaughterhouse IQC'!$I$6:$I$64)=0,"",SUMPRODUCT((LEFT('Slaughterhouse IQC'!$A$6:$A$64,7)="2026-04")*('Slaughterhouse IQC'!$B$6:$B$64="Parks Family Meats")*('Slaughterhouse IQC'!$F$6:$F$64="666541")*'Slaughterhouse IQC'!$I$6:$I$64))</f>
        <v/>
      </c>
      <c r="C66" s="17" t="str">
        <f>IF(SUMPRODUCT((LEFT('Slaughterhouse IQC'!$A$6:$A$64,7)="2026-05")*('Slaughterhouse IQC'!$B$6:$B$64="Parks Family Meats")*('Slaughterhouse IQC'!$F$6:$F$64="666541")*'Slaughterhouse IQC'!$I$6:$I$64)=0,"",SUMPRODUCT((LEFT('Slaughterhouse IQC'!$A$6:$A$64,7)="2026-05")*('Slaughterhouse IQC'!$B$6:$B$64="Parks Family Meats")*('Slaughterhouse IQC'!$F$6:$F$64="666541")*'Slaughterhouse IQC'!$I$6:$I$64))</f>
        <v/>
      </c>
      <c r="D66" s="17" t="str">
        <f>IF(SUMPRODUCT((LEFT('Slaughterhouse IQC'!$A$6:$A$64,7)="2026-06")*('Slaughterhouse IQC'!$B$6:$B$64="Parks Family Meats")*('Slaughterhouse IQC'!$F$6:$F$64="666541")*'Slaughterhouse IQC'!$I$6:$I$64)=0,"",SUMPRODUCT((LEFT('Slaughterhouse IQC'!$A$6:$A$64,7)="2026-06")*('Slaughterhouse IQC'!$B$6:$B$64="Parks Family Meats")*('Slaughterhouse IQC'!$F$6:$F$64="666541")*'Slaughterhouse IQC'!$I$6:$I$64))</f>
        <v/>
      </c>
      <c r="E66" s="17" t="str">
        <f>IF(SUMPRODUCT((LEFT('Slaughterhouse IQC'!$A$6:$A$64,7)="2026-07")*('Slaughterhouse IQC'!$B$6:$B$64="Parks Family Meats")*('Slaughterhouse IQC'!$F$6:$F$64="666541")*'Slaughterhouse IQC'!$I$6:$I$64)=0,"",SUMPRODUCT((LEFT('Slaughterhouse IQC'!$A$6:$A$64,7)="2026-07")*('Slaughterhouse IQC'!$B$6:$B$64="Parks Family Meats")*('Slaughterhouse IQC'!$F$6:$F$64="666541")*'Slaughterhouse IQC'!$I$6:$I$64))</f>
        <v/>
      </c>
      <c r="F66" s="17">
        <f>IF(SUMPRODUCT((LEFT('Slaughterhouse IQC'!$A$6:$A$64,7)="2026-08")*('Slaughterhouse IQC'!$B$6:$B$64="Parks Family Meats")*('Slaughterhouse IQC'!$F$6:$F$64="666541")*'Slaughterhouse IQC'!$I$6:$I$64)=0,"",SUMPRODUCT((LEFT('Slaughterhouse IQC'!$A$6:$A$64,7)="2026-08")*('Slaughterhouse IQC'!$B$6:$B$64="Parks Family Meats")*('Slaughterhouse IQC'!$F$6:$F$64="666541")*'Slaughterhouse IQC'!$I$6:$I$64))</f>
        <v>33</v>
      </c>
      <c r="G66" s="17">
        <f>SUM(B66:F66)</f>
        <v>33</v>
      </c>
    </row>
    <row r="67" spans="1:7" x14ac:dyDescent="0.3">
      <c r="A67" s="16" t="s">
        <v>37</v>
      </c>
      <c r="B67" s="17" t="str">
        <f>IF(SUMPRODUCT((LEFT('Slaughterhouse IQC'!$A$6:$A$64,7)="2026-04")*('Slaughterhouse IQC'!$B$6:$B$64="Parks Family Meats")*('Slaughterhouse IQC'!$F$6:$F$64="666541")*'Slaughterhouse IQC'!$I$6:$I$64)=0,"",SUMPRODUCT((LEFT('Slaughterhouse IQC'!$A$6:$A$64,7)="2026-04")*('Slaughterhouse IQC'!$B$6:$B$64="Parks Family Meats")*('Slaughterhouse IQC'!$F$6:$F$64="666541")*'Slaughterhouse IQC'!$J$6:$J$64))</f>
        <v/>
      </c>
      <c r="C67" s="17" t="str">
        <f>IF(SUMPRODUCT((LEFT('Slaughterhouse IQC'!$A$6:$A$64,7)="2026-05")*('Slaughterhouse IQC'!$B$6:$B$64="Parks Family Meats")*('Slaughterhouse IQC'!$F$6:$F$64="666541")*'Slaughterhouse IQC'!$I$6:$I$64)=0,"",SUMPRODUCT((LEFT('Slaughterhouse IQC'!$A$6:$A$64,7)="2026-05")*('Slaughterhouse IQC'!$B$6:$B$64="Parks Family Meats")*('Slaughterhouse IQC'!$F$6:$F$64="666541")*'Slaughterhouse IQC'!$J$6:$J$64))</f>
        <v/>
      </c>
      <c r="D67" s="17" t="str">
        <f>IF(SUMPRODUCT((LEFT('Slaughterhouse IQC'!$A$6:$A$64,7)="2026-06")*('Slaughterhouse IQC'!$B$6:$B$64="Parks Family Meats")*('Slaughterhouse IQC'!$F$6:$F$64="666541")*'Slaughterhouse IQC'!$I$6:$I$64)=0,"",SUMPRODUCT((LEFT('Slaughterhouse IQC'!$A$6:$A$64,7)="2026-06")*('Slaughterhouse IQC'!$B$6:$B$64="Parks Family Meats")*('Slaughterhouse IQC'!$F$6:$F$64="666541")*'Slaughterhouse IQC'!$J$6:$J$64))</f>
        <v/>
      </c>
      <c r="E67" s="17" t="str">
        <f>IF(SUMPRODUCT((LEFT('Slaughterhouse IQC'!$A$6:$A$64,7)="2026-07")*('Slaughterhouse IQC'!$B$6:$B$64="Parks Family Meats")*('Slaughterhouse IQC'!$F$6:$F$64="666541")*'Slaughterhouse IQC'!$I$6:$I$64)=0,"",SUMPRODUCT((LEFT('Slaughterhouse IQC'!$A$6:$A$64,7)="2026-07")*('Slaughterhouse IQC'!$B$6:$B$64="Parks Family Meats")*('Slaughterhouse IQC'!$F$6:$F$64="666541")*'Slaughterhouse IQC'!$J$6:$J$64))</f>
        <v/>
      </c>
      <c r="F67" s="17">
        <f>IF(SUMPRODUCT((LEFT('Slaughterhouse IQC'!$A$6:$A$64,7)="2026-08")*('Slaughterhouse IQC'!$B$6:$B$64="Parks Family Meats")*('Slaughterhouse IQC'!$F$6:$F$64="666541")*'Slaughterhouse IQC'!$I$6:$I$64)=0,"",SUMPRODUCT((LEFT('Slaughterhouse IQC'!$A$6:$A$64,7)="2026-08")*('Slaughterhouse IQC'!$B$6:$B$64="Parks Family Meats")*('Slaughterhouse IQC'!$F$6:$F$64="666541")*'Slaughterhouse IQC'!$J$6:$J$64))</f>
        <v>32</v>
      </c>
      <c r="G67" s="17">
        <f>SUM(B67:F67)</f>
        <v>32</v>
      </c>
    </row>
    <row r="68" spans="1:7" x14ac:dyDescent="0.3">
      <c r="A68" s="16" t="s">
        <v>38</v>
      </c>
      <c r="B68" s="17" t="str">
        <f>IF(SUMPRODUCT((LEFT('Slaughterhouse IQC'!$A$6:$A$64,7)="2026-04")*('Slaughterhouse IQC'!$B$6:$B$64="Parks Family Meats")*('Slaughterhouse IQC'!$F$6:$F$64="666541")*'Slaughterhouse IQC'!$I$6:$I$64)=0,"",SUMPRODUCT((LEFT('Slaughterhouse IQC'!$A$6:$A$64,7)="2026-04")*('Slaughterhouse IQC'!$B$6:$B$64="Parks Family Meats")*('Slaughterhouse IQC'!$F$6:$F$64="666541")*'Slaughterhouse IQC'!$K$6:$K$64))</f>
        <v/>
      </c>
      <c r="C68" s="17" t="str">
        <f>IF(SUMPRODUCT((LEFT('Slaughterhouse IQC'!$A$6:$A$64,7)="2026-05")*('Slaughterhouse IQC'!$B$6:$B$64="Parks Family Meats")*('Slaughterhouse IQC'!$F$6:$F$64="666541")*'Slaughterhouse IQC'!$I$6:$I$64)=0,"",SUMPRODUCT((LEFT('Slaughterhouse IQC'!$A$6:$A$64,7)="2026-05")*('Slaughterhouse IQC'!$B$6:$B$64="Parks Family Meats")*('Slaughterhouse IQC'!$F$6:$F$64="666541")*'Slaughterhouse IQC'!$K$6:$K$64))</f>
        <v/>
      </c>
      <c r="D68" s="17" t="str">
        <f>IF(SUMPRODUCT((LEFT('Slaughterhouse IQC'!$A$6:$A$64,7)="2026-06")*('Slaughterhouse IQC'!$B$6:$B$64="Parks Family Meats")*('Slaughterhouse IQC'!$F$6:$F$64="666541")*'Slaughterhouse IQC'!$I$6:$I$64)=0,"",SUMPRODUCT((LEFT('Slaughterhouse IQC'!$A$6:$A$64,7)="2026-06")*('Slaughterhouse IQC'!$B$6:$B$64="Parks Family Meats")*('Slaughterhouse IQC'!$F$6:$F$64="666541")*'Slaughterhouse IQC'!$K$6:$K$64))</f>
        <v/>
      </c>
      <c r="E68" s="17" t="str">
        <f>IF(SUMPRODUCT((LEFT('Slaughterhouse IQC'!$A$6:$A$64,7)="2026-07")*('Slaughterhouse IQC'!$B$6:$B$64="Parks Family Meats")*('Slaughterhouse IQC'!$F$6:$F$64="666541")*'Slaughterhouse IQC'!$I$6:$I$64)=0,"",SUMPRODUCT((LEFT('Slaughterhouse IQC'!$A$6:$A$64,7)="2026-07")*('Slaughterhouse IQC'!$B$6:$B$64="Parks Family Meats")*('Slaughterhouse IQC'!$F$6:$F$64="666541")*'Slaughterhouse IQC'!$K$6:$K$64))</f>
        <v/>
      </c>
      <c r="F68" s="17">
        <f>IF(SUMPRODUCT((LEFT('Slaughterhouse IQC'!$A$6:$A$64,7)="2026-08")*('Slaughterhouse IQC'!$B$6:$B$64="Parks Family Meats")*('Slaughterhouse IQC'!$F$6:$F$64="666541")*'Slaughterhouse IQC'!$I$6:$I$64)=0,"",SUMPRODUCT((LEFT('Slaughterhouse IQC'!$A$6:$A$64,7)="2026-08")*('Slaughterhouse IQC'!$B$6:$B$64="Parks Family Meats")*('Slaughterhouse IQC'!$F$6:$F$64="666541")*'Slaughterhouse IQC'!$K$6:$K$64))</f>
        <v>1</v>
      </c>
      <c r="G68" s="17">
        <f>SUM(B68:F68)</f>
        <v>1</v>
      </c>
    </row>
    <row r="69" spans="1:7" x14ac:dyDescent="0.3">
      <c r="A69" s="19" t="s">
        <v>154</v>
      </c>
      <c r="B69" s="20" t="str">
        <f>IF(B66="","",IF(B66=0,"",B67/B66))</f>
        <v/>
      </c>
      <c r="C69" s="20" t="str">
        <f>IF(C66="","",IF(C66=0,"",C67/C66))</f>
        <v/>
      </c>
      <c r="D69" s="20" t="str">
        <f>IF(D66="","",IF(D66=0,"",D67/D66))</f>
        <v/>
      </c>
      <c r="E69" s="20" t="str">
        <f>IF(E66="","",IF(E66=0,"",E67/E66))</f>
        <v/>
      </c>
      <c r="F69" s="20">
        <f>IF(F66="","",IF(F66=0,"",F67/F66))</f>
        <v>0.96969696969696972</v>
      </c>
      <c r="G69" s="20">
        <f>IF(G66=0,"",G67/G66)</f>
        <v>0.96969696969696972</v>
      </c>
    </row>
    <row r="70" spans="1:7" ht="15" customHeight="1" x14ac:dyDescent="0.3">
      <c r="A70" s="8" t="s">
        <v>303</v>
      </c>
      <c r="B70" s="11"/>
      <c r="C70" s="11"/>
      <c r="D70" s="11"/>
      <c r="E70" s="11"/>
      <c r="F70" s="11"/>
      <c r="G70" s="11"/>
    </row>
    <row r="71" spans="1:7" x14ac:dyDescent="0.3">
      <c r="A71" s="21" t="s">
        <v>306</v>
      </c>
      <c r="F71" s="17">
        <v>1</v>
      </c>
      <c r="G71" s="17">
        <v>1</v>
      </c>
    </row>
    <row r="72" spans="1:7" x14ac:dyDescent="0.3">
      <c r="A72" s="19" t="s">
        <v>309</v>
      </c>
      <c r="B72" s="17" t="str">
        <f>IF(SUM(B71:B71)=0,"",SUM(B71:B71))</f>
        <v/>
      </c>
      <c r="C72" s="17" t="str">
        <f>IF(SUM(C71:C71)=0,"",SUM(C71:C71))</f>
        <v/>
      </c>
      <c r="D72" s="17" t="str">
        <f>IF(SUM(D71:D71)=0,"",SUM(D71:D71))</f>
        <v/>
      </c>
      <c r="E72" s="17" t="str">
        <f>IF(SUM(E71:E71)=0,"",SUM(E71:E71))</f>
        <v/>
      </c>
      <c r="F72" s="17">
        <f>IF(SUM(F71:F71)=0,"",SUM(F71:F71))</f>
        <v>1</v>
      </c>
      <c r="G72" s="17">
        <f>SUM(G71:G71)</f>
        <v>1</v>
      </c>
    </row>
    <row r="74" spans="1:7" ht="18" customHeight="1" x14ac:dyDescent="0.3">
      <c r="A74" s="9" t="s">
        <v>315</v>
      </c>
      <c r="B74" s="11"/>
      <c r="C74" s="11"/>
      <c r="D74" s="11"/>
      <c r="E74" s="11"/>
      <c r="F74" s="11"/>
      <c r="G74" s="11"/>
    </row>
    <row r="75" spans="1:7" x14ac:dyDescent="0.3">
      <c r="A75" s="18" t="s">
        <v>91</v>
      </c>
      <c r="B75" s="18" t="s">
        <v>290</v>
      </c>
      <c r="C75" s="18" t="s">
        <v>291</v>
      </c>
      <c r="D75" s="18" t="s">
        <v>292</v>
      </c>
      <c r="E75" s="18" t="s">
        <v>293</v>
      </c>
      <c r="F75" s="18" t="s">
        <v>294</v>
      </c>
      <c r="G75" s="18" t="s">
        <v>4</v>
      </c>
    </row>
    <row r="76" spans="1:7" x14ac:dyDescent="0.3">
      <c r="A76" s="16" t="s">
        <v>36</v>
      </c>
      <c r="B76" s="17" t="str">
        <f>IF(SUMPRODUCT((LEFT('Slaughterhouse IQC'!$A$6:$A$64,7)="2026-04")*('Slaughterhouse IQC'!$B$6:$B$64="Nahunta")*('Slaughterhouse IQC'!$F$6:$F$64="666541")*'Slaughterhouse IQC'!$I$6:$I$64)=0,"",SUMPRODUCT((LEFT('Slaughterhouse IQC'!$A$6:$A$64,7)="2026-04")*('Slaughterhouse IQC'!$B$6:$B$64="Nahunta")*('Slaughterhouse IQC'!$F$6:$F$64="666541")*'Slaughterhouse IQC'!$I$6:$I$64))</f>
        <v/>
      </c>
      <c r="C76" s="17" t="str">
        <f>IF(SUMPRODUCT((LEFT('Slaughterhouse IQC'!$A$6:$A$64,7)="2026-05")*('Slaughterhouse IQC'!$B$6:$B$64="Nahunta")*('Slaughterhouse IQC'!$F$6:$F$64="666541")*'Slaughterhouse IQC'!$I$6:$I$64)=0,"",SUMPRODUCT((LEFT('Slaughterhouse IQC'!$A$6:$A$64,7)="2026-05")*('Slaughterhouse IQC'!$B$6:$B$64="Nahunta")*('Slaughterhouse IQC'!$F$6:$F$64="666541")*'Slaughterhouse IQC'!$I$6:$I$64))</f>
        <v/>
      </c>
      <c r="D76" s="17" t="str">
        <f>IF(SUMPRODUCT((LEFT('Slaughterhouse IQC'!$A$6:$A$64,7)="2026-06")*('Slaughterhouse IQC'!$B$6:$B$64="Nahunta")*('Slaughterhouse IQC'!$F$6:$F$64="666541")*'Slaughterhouse IQC'!$I$6:$I$64)=0,"",SUMPRODUCT((LEFT('Slaughterhouse IQC'!$A$6:$A$64,7)="2026-06")*('Slaughterhouse IQC'!$B$6:$B$64="Nahunta")*('Slaughterhouse IQC'!$F$6:$F$64="666541")*'Slaughterhouse IQC'!$I$6:$I$64))</f>
        <v/>
      </c>
      <c r="E76" s="17">
        <f>IF(SUMPRODUCT((LEFT('Slaughterhouse IQC'!$A$6:$A$64,7)="2026-07")*('Slaughterhouse IQC'!$B$6:$B$64="Nahunta")*('Slaughterhouse IQC'!$F$6:$F$64="666541")*'Slaughterhouse IQC'!$I$6:$I$64)=0,"",SUMPRODUCT((LEFT('Slaughterhouse IQC'!$A$6:$A$64,7)="2026-07")*('Slaughterhouse IQC'!$B$6:$B$64="Nahunta")*('Slaughterhouse IQC'!$F$6:$F$64="666541")*'Slaughterhouse IQC'!$I$6:$I$64))</f>
        <v>1</v>
      </c>
      <c r="F76" s="17">
        <f>IF(SUMPRODUCT((LEFT('Slaughterhouse IQC'!$A$6:$A$64,7)="2026-08")*('Slaughterhouse IQC'!$B$6:$B$64="Nahunta")*('Slaughterhouse IQC'!$F$6:$F$64="666541")*'Slaughterhouse IQC'!$I$6:$I$64)=0,"",SUMPRODUCT((LEFT('Slaughterhouse IQC'!$A$6:$A$64,7)="2026-08")*('Slaughterhouse IQC'!$B$6:$B$64="Nahunta")*('Slaughterhouse IQC'!$F$6:$F$64="666541")*'Slaughterhouse IQC'!$I$6:$I$64))</f>
        <v>13</v>
      </c>
      <c r="G76" s="17">
        <f>SUM(B76:F76)</f>
        <v>14</v>
      </c>
    </row>
    <row r="77" spans="1:7" x14ac:dyDescent="0.3">
      <c r="A77" s="16" t="s">
        <v>37</v>
      </c>
      <c r="B77" s="17" t="str">
        <f>IF(SUMPRODUCT((LEFT('Slaughterhouse IQC'!$A$6:$A$64,7)="2026-04")*('Slaughterhouse IQC'!$B$6:$B$64="Nahunta")*('Slaughterhouse IQC'!$F$6:$F$64="666541")*'Slaughterhouse IQC'!$I$6:$I$64)=0,"",SUMPRODUCT((LEFT('Slaughterhouse IQC'!$A$6:$A$64,7)="2026-04")*('Slaughterhouse IQC'!$B$6:$B$64="Nahunta")*('Slaughterhouse IQC'!$F$6:$F$64="666541")*'Slaughterhouse IQC'!$J$6:$J$64))</f>
        <v/>
      </c>
      <c r="C77" s="17" t="str">
        <f>IF(SUMPRODUCT((LEFT('Slaughterhouse IQC'!$A$6:$A$64,7)="2026-05")*('Slaughterhouse IQC'!$B$6:$B$64="Nahunta")*('Slaughterhouse IQC'!$F$6:$F$64="666541")*'Slaughterhouse IQC'!$I$6:$I$64)=0,"",SUMPRODUCT((LEFT('Slaughterhouse IQC'!$A$6:$A$64,7)="2026-05")*('Slaughterhouse IQC'!$B$6:$B$64="Nahunta")*('Slaughterhouse IQC'!$F$6:$F$64="666541")*'Slaughterhouse IQC'!$J$6:$J$64))</f>
        <v/>
      </c>
      <c r="D77" s="17" t="str">
        <f>IF(SUMPRODUCT((LEFT('Slaughterhouse IQC'!$A$6:$A$64,7)="2026-06")*('Slaughterhouse IQC'!$B$6:$B$64="Nahunta")*('Slaughterhouse IQC'!$F$6:$F$64="666541")*'Slaughterhouse IQC'!$I$6:$I$64)=0,"",SUMPRODUCT((LEFT('Slaughterhouse IQC'!$A$6:$A$64,7)="2026-06")*('Slaughterhouse IQC'!$B$6:$B$64="Nahunta")*('Slaughterhouse IQC'!$F$6:$F$64="666541")*'Slaughterhouse IQC'!$J$6:$J$64))</f>
        <v/>
      </c>
      <c r="E77" s="17">
        <f>IF(SUMPRODUCT((LEFT('Slaughterhouse IQC'!$A$6:$A$64,7)="2026-07")*('Slaughterhouse IQC'!$B$6:$B$64="Nahunta")*('Slaughterhouse IQC'!$F$6:$F$64="666541")*'Slaughterhouse IQC'!$I$6:$I$64)=0,"",SUMPRODUCT((LEFT('Slaughterhouse IQC'!$A$6:$A$64,7)="2026-07")*('Slaughterhouse IQC'!$B$6:$B$64="Nahunta")*('Slaughterhouse IQC'!$F$6:$F$64="666541")*'Slaughterhouse IQC'!$J$6:$J$64))</f>
        <v>1</v>
      </c>
      <c r="F77" s="17">
        <f>IF(SUMPRODUCT((LEFT('Slaughterhouse IQC'!$A$6:$A$64,7)="2026-08")*('Slaughterhouse IQC'!$B$6:$B$64="Nahunta")*('Slaughterhouse IQC'!$F$6:$F$64="666541")*'Slaughterhouse IQC'!$I$6:$I$64)=0,"",SUMPRODUCT((LEFT('Slaughterhouse IQC'!$A$6:$A$64,7)="2026-08")*('Slaughterhouse IQC'!$B$6:$B$64="Nahunta")*('Slaughterhouse IQC'!$F$6:$F$64="666541")*'Slaughterhouse IQC'!$J$6:$J$64))</f>
        <v>1</v>
      </c>
      <c r="G77" s="17">
        <f>SUM(B77:F77)</f>
        <v>2</v>
      </c>
    </row>
    <row r="78" spans="1:7" x14ac:dyDescent="0.3">
      <c r="A78" s="16" t="s">
        <v>38</v>
      </c>
      <c r="B78" s="17" t="str">
        <f>IF(SUMPRODUCT((LEFT('Slaughterhouse IQC'!$A$6:$A$64,7)="2026-04")*('Slaughterhouse IQC'!$B$6:$B$64="Nahunta")*('Slaughterhouse IQC'!$F$6:$F$64="666541")*'Slaughterhouse IQC'!$I$6:$I$64)=0,"",SUMPRODUCT((LEFT('Slaughterhouse IQC'!$A$6:$A$64,7)="2026-04")*('Slaughterhouse IQC'!$B$6:$B$64="Nahunta")*('Slaughterhouse IQC'!$F$6:$F$64="666541")*'Slaughterhouse IQC'!$K$6:$K$64))</f>
        <v/>
      </c>
      <c r="C78" s="17" t="str">
        <f>IF(SUMPRODUCT((LEFT('Slaughterhouse IQC'!$A$6:$A$64,7)="2026-05")*('Slaughterhouse IQC'!$B$6:$B$64="Nahunta")*('Slaughterhouse IQC'!$F$6:$F$64="666541")*'Slaughterhouse IQC'!$I$6:$I$64)=0,"",SUMPRODUCT((LEFT('Slaughterhouse IQC'!$A$6:$A$64,7)="2026-05")*('Slaughterhouse IQC'!$B$6:$B$64="Nahunta")*('Slaughterhouse IQC'!$F$6:$F$64="666541")*'Slaughterhouse IQC'!$K$6:$K$64))</f>
        <v/>
      </c>
      <c r="D78" s="17" t="str">
        <f>IF(SUMPRODUCT((LEFT('Slaughterhouse IQC'!$A$6:$A$64,7)="2026-06")*('Slaughterhouse IQC'!$B$6:$B$64="Nahunta")*('Slaughterhouse IQC'!$F$6:$F$64="666541")*'Slaughterhouse IQC'!$I$6:$I$64)=0,"",SUMPRODUCT((LEFT('Slaughterhouse IQC'!$A$6:$A$64,7)="2026-06")*('Slaughterhouse IQC'!$B$6:$B$64="Nahunta")*('Slaughterhouse IQC'!$F$6:$F$64="666541")*'Slaughterhouse IQC'!$K$6:$K$64))</f>
        <v/>
      </c>
      <c r="E78" s="17">
        <f>IF(SUMPRODUCT((LEFT('Slaughterhouse IQC'!$A$6:$A$64,7)="2026-07")*('Slaughterhouse IQC'!$B$6:$B$64="Nahunta")*('Slaughterhouse IQC'!$F$6:$F$64="666541")*'Slaughterhouse IQC'!$I$6:$I$64)=0,"",SUMPRODUCT((LEFT('Slaughterhouse IQC'!$A$6:$A$64,7)="2026-07")*('Slaughterhouse IQC'!$B$6:$B$64="Nahunta")*('Slaughterhouse IQC'!$F$6:$F$64="666541")*'Slaughterhouse IQC'!$K$6:$K$64))</f>
        <v>0</v>
      </c>
      <c r="F78" s="17">
        <f>IF(SUMPRODUCT((LEFT('Slaughterhouse IQC'!$A$6:$A$64,7)="2026-08")*('Slaughterhouse IQC'!$B$6:$B$64="Nahunta")*('Slaughterhouse IQC'!$F$6:$F$64="666541")*'Slaughterhouse IQC'!$I$6:$I$64)=0,"",SUMPRODUCT((LEFT('Slaughterhouse IQC'!$A$6:$A$64,7)="2026-08")*('Slaughterhouse IQC'!$B$6:$B$64="Nahunta")*('Slaughterhouse IQC'!$F$6:$F$64="666541")*'Slaughterhouse IQC'!$K$6:$K$64))</f>
        <v>12</v>
      </c>
      <c r="G78" s="17">
        <f>SUM(B78:F78)</f>
        <v>12</v>
      </c>
    </row>
    <row r="79" spans="1:7" x14ac:dyDescent="0.3">
      <c r="A79" s="19" t="s">
        <v>154</v>
      </c>
      <c r="B79" s="20" t="str">
        <f>IF(B76="","",IF(B76=0,"",B77/B76))</f>
        <v/>
      </c>
      <c r="C79" s="20" t="str">
        <f>IF(C76="","",IF(C76=0,"",C77/C76))</f>
        <v/>
      </c>
      <c r="D79" s="20" t="str">
        <f>IF(D76="","",IF(D76=0,"",D77/D76))</f>
        <v/>
      </c>
      <c r="E79" s="20">
        <f>IF(E76="","",IF(E76=0,"",E77/E76))</f>
        <v>1</v>
      </c>
      <c r="F79" s="20">
        <f>IF(F76="","",IF(F76=0,"",F77/F76))</f>
        <v>7.6923076923076927E-2</v>
      </c>
      <c r="G79" s="20">
        <f>IF(G76=0,"",G77/G76)</f>
        <v>0.14285714285714285</v>
      </c>
    </row>
    <row r="80" spans="1:7" ht="15" customHeight="1" x14ac:dyDescent="0.3">
      <c r="A80" s="8" t="s">
        <v>303</v>
      </c>
      <c r="B80" s="11"/>
      <c r="C80" s="11"/>
      <c r="D80" s="11"/>
      <c r="E80" s="11"/>
      <c r="F80" s="11"/>
      <c r="G80" s="11"/>
    </row>
    <row r="81" spans="1:7" x14ac:dyDescent="0.3">
      <c r="A81" s="21" t="s">
        <v>308</v>
      </c>
      <c r="F81" s="17">
        <v>12</v>
      </c>
      <c r="G81" s="17">
        <v>12</v>
      </c>
    </row>
    <row r="82" spans="1:7" x14ac:dyDescent="0.3">
      <c r="A82" s="19" t="s">
        <v>309</v>
      </c>
      <c r="B82" s="17" t="str">
        <f>IF(SUM(B81:B81)=0,"",SUM(B81:B81))</f>
        <v/>
      </c>
      <c r="C82" s="17" t="str">
        <f>IF(SUM(C81:C81)=0,"",SUM(C81:C81))</f>
        <v/>
      </c>
      <c r="D82" s="17" t="str">
        <f>IF(SUM(D81:D81)=0,"",SUM(D81:D81))</f>
        <v/>
      </c>
      <c r="E82" s="17" t="str">
        <f>IF(SUM(E81:E81)=0,"",SUM(E81:E81))</f>
        <v/>
      </c>
      <c r="F82" s="17">
        <f>IF(SUM(F81:F81)=0,"",SUM(F81:F81))</f>
        <v>12</v>
      </c>
      <c r="G82" s="17">
        <f>SUM(G81:G81)</f>
        <v>12</v>
      </c>
    </row>
    <row r="84" spans="1:7" ht="18" customHeight="1" x14ac:dyDescent="0.3">
      <c r="A84" s="9" t="s">
        <v>316</v>
      </c>
      <c r="B84" s="11"/>
      <c r="C84" s="11"/>
      <c r="D84" s="11"/>
      <c r="E84" s="11"/>
      <c r="F84" s="11"/>
      <c r="G84" s="11"/>
    </row>
    <row r="85" spans="1:7" x14ac:dyDescent="0.3">
      <c r="A85" s="18" t="s">
        <v>91</v>
      </c>
      <c r="B85" s="18" t="s">
        <v>290</v>
      </c>
      <c r="C85" s="18" t="s">
        <v>291</v>
      </c>
      <c r="D85" s="18" t="s">
        <v>292</v>
      </c>
      <c r="E85" s="18" t="s">
        <v>293</v>
      </c>
      <c r="F85" s="18" t="s">
        <v>294</v>
      </c>
      <c r="G85" s="18" t="s">
        <v>4</v>
      </c>
    </row>
    <row r="86" spans="1:7" x14ac:dyDescent="0.3">
      <c r="A86" s="16" t="s">
        <v>36</v>
      </c>
      <c r="B86" s="17" t="str">
        <f>IF(SUMPRODUCT((LEFT('Slaughterhouse IQC'!$A$6:$A$64,7)="2026-04")*('Slaughterhouse IQC'!$B$6:$B$64="Nahunta")*('Slaughterhouse IQC'!$F$6:$F$64="666521")*'Slaughterhouse IQC'!$I$6:$I$64)=0,"",SUMPRODUCT((LEFT('Slaughterhouse IQC'!$A$6:$A$64,7)="2026-04")*('Slaughterhouse IQC'!$B$6:$B$64="Nahunta")*('Slaughterhouse IQC'!$F$6:$F$64="666521")*'Slaughterhouse IQC'!$I$6:$I$64))</f>
        <v/>
      </c>
      <c r="C86" s="17" t="str">
        <f>IF(SUMPRODUCT((LEFT('Slaughterhouse IQC'!$A$6:$A$64,7)="2026-05")*('Slaughterhouse IQC'!$B$6:$B$64="Nahunta")*('Slaughterhouse IQC'!$F$6:$F$64="666521")*'Slaughterhouse IQC'!$I$6:$I$64)=0,"",SUMPRODUCT((LEFT('Slaughterhouse IQC'!$A$6:$A$64,7)="2026-05")*('Slaughterhouse IQC'!$B$6:$B$64="Nahunta")*('Slaughterhouse IQC'!$F$6:$F$64="666521")*'Slaughterhouse IQC'!$I$6:$I$64))</f>
        <v/>
      </c>
      <c r="D86" s="17" t="str">
        <f>IF(SUMPRODUCT((LEFT('Slaughterhouse IQC'!$A$6:$A$64,7)="2026-06")*('Slaughterhouse IQC'!$B$6:$B$64="Nahunta")*('Slaughterhouse IQC'!$F$6:$F$64="666521")*'Slaughterhouse IQC'!$I$6:$I$64)=0,"",SUMPRODUCT((LEFT('Slaughterhouse IQC'!$A$6:$A$64,7)="2026-06")*('Slaughterhouse IQC'!$B$6:$B$64="Nahunta")*('Slaughterhouse IQC'!$F$6:$F$64="666521")*'Slaughterhouse IQC'!$I$6:$I$64))</f>
        <v/>
      </c>
      <c r="E86" s="17">
        <f>IF(SUMPRODUCT((LEFT('Slaughterhouse IQC'!$A$6:$A$64,7)="2026-07")*('Slaughterhouse IQC'!$B$6:$B$64="Nahunta")*('Slaughterhouse IQC'!$F$6:$F$64="666521")*'Slaughterhouse IQC'!$I$6:$I$64)=0,"",SUMPRODUCT((LEFT('Slaughterhouse IQC'!$A$6:$A$64,7)="2026-07")*('Slaughterhouse IQC'!$B$6:$B$64="Nahunta")*('Slaughterhouse IQC'!$F$6:$F$64="666521")*'Slaughterhouse IQC'!$I$6:$I$64))</f>
        <v>19</v>
      </c>
      <c r="F86" s="17">
        <f>IF(SUMPRODUCT((LEFT('Slaughterhouse IQC'!$A$6:$A$64,7)="2026-08")*('Slaughterhouse IQC'!$B$6:$B$64="Nahunta")*('Slaughterhouse IQC'!$F$6:$F$64="666521")*'Slaughterhouse IQC'!$I$6:$I$64)=0,"",SUMPRODUCT((LEFT('Slaughterhouse IQC'!$A$6:$A$64,7)="2026-08")*('Slaughterhouse IQC'!$B$6:$B$64="Nahunta")*('Slaughterhouse IQC'!$F$6:$F$64="666521")*'Slaughterhouse IQC'!$I$6:$I$64))</f>
        <v>57</v>
      </c>
      <c r="G86" s="17">
        <f>SUM(B86:F86)</f>
        <v>76</v>
      </c>
    </row>
    <row r="87" spans="1:7" x14ac:dyDescent="0.3">
      <c r="A87" s="16" t="s">
        <v>37</v>
      </c>
      <c r="B87" s="17" t="str">
        <f>IF(SUMPRODUCT((LEFT('Slaughterhouse IQC'!$A$6:$A$64,7)="2026-04")*('Slaughterhouse IQC'!$B$6:$B$64="Nahunta")*('Slaughterhouse IQC'!$F$6:$F$64="666521")*'Slaughterhouse IQC'!$I$6:$I$64)=0,"",SUMPRODUCT((LEFT('Slaughterhouse IQC'!$A$6:$A$64,7)="2026-04")*('Slaughterhouse IQC'!$B$6:$B$64="Nahunta")*('Slaughterhouse IQC'!$F$6:$F$64="666521")*'Slaughterhouse IQC'!$J$6:$J$64))</f>
        <v/>
      </c>
      <c r="C87" s="17" t="str">
        <f>IF(SUMPRODUCT((LEFT('Slaughterhouse IQC'!$A$6:$A$64,7)="2026-05")*('Slaughterhouse IQC'!$B$6:$B$64="Nahunta")*('Slaughterhouse IQC'!$F$6:$F$64="666521")*'Slaughterhouse IQC'!$I$6:$I$64)=0,"",SUMPRODUCT((LEFT('Slaughterhouse IQC'!$A$6:$A$64,7)="2026-05")*('Slaughterhouse IQC'!$B$6:$B$64="Nahunta")*('Slaughterhouse IQC'!$F$6:$F$64="666521")*'Slaughterhouse IQC'!$J$6:$J$64))</f>
        <v/>
      </c>
      <c r="D87" s="17" t="str">
        <f>IF(SUMPRODUCT((LEFT('Slaughterhouse IQC'!$A$6:$A$64,7)="2026-06")*('Slaughterhouse IQC'!$B$6:$B$64="Nahunta")*('Slaughterhouse IQC'!$F$6:$F$64="666521")*'Slaughterhouse IQC'!$I$6:$I$64)=0,"",SUMPRODUCT((LEFT('Slaughterhouse IQC'!$A$6:$A$64,7)="2026-06")*('Slaughterhouse IQC'!$B$6:$B$64="Nahunta")*('Slaughterhouse IQC'!$F$6:$F$64="666521")*'Slaughterhouse IQC'!$J$6:$J$64))</f>
        <v/>
      </c>
      <c r="E87" s="17">
        <f>IF(SUMPRODUCT((LEFT('Slaughterhouse IQC'!$A$6:$A$64,7)="2026-07")*('Slaughterhouse IQC'!$B$6:$B$64="Nahunta")*('Slaughterhouse IQC'!$F$6:$F$64="666521")*'Slaughterhouse IQC'!$I$6:$I$64)=0,"",SUMPRODUCT((LEFT('Slaughterhouse IQC'!$A$6:$A$64,7)="2026-07")*('Slaughterhouse IQC'!$B$6:$B$64="Nahunta")*('Slaughterhouse IQC'!$F$6:$F$64="666521")*'Slaughterhouse IQC'!$J$6:$J$64))</f>
        <v>6</v>
      </c>
      <c r="F87" s="17">
        <f>IF(SUMPRODUCT((LEFT('Slaughterhouse IQC'!$A$6:$A$64,7)="2026-08")*('Slaughterhouse IQC'!$B$6:$B$64="Nahunta")*('Slaughterhouse IQC'!$F$6:$F$64="666521")*'Slaughterhouse IQC'!$I$6:$I$64)=0,"",SUMPRODUCT((LEFT('Slaughterhouse IQC'!$A$6:$A$64,7)="2026-08")*('Slaughterhouse IQC'!$B$6:$B$64="Nahunta")*('Slaughterhouse IQC'!$F$6:$F$64="666521")*'Slaughterhouse IQC'!$J$6:$J$64))</f>
        <v>8</v>
      </c>
      <c r="G87" s="17">
        <f>SUM(B87:F87)</f>
        <v>14</v>
      </c>
    </row>
    <row r="88" spans="1:7" x14ac:dyDescent="0.3">
      <c r="A88" s="16" t="s">
        <v>38</v>
      </c>
      <c r="B88" s="17" t="str">
        <f>IF(SUMPRODUCT((LEFT('Slaughterhouse IQC'!$A$6:$A$64,7)="2026-04")*('Slaughterhouse IQC'!$B$6:$B$64="Nahunta")*('Slaughterhouse IQC'!$F$6:$F$64="666521")*'Slaughterhouse IQC'!$I$6:$I$64)=0,"",SUMPRODUCT((LEFT('Slaughterhouse IQC'!$A$6:$A$64,7)="2026-04")*('Slaughterhouse IQC'!$B$6:$B$64="Nahunta")*('Slaughterhouse IQC'!$F$6:$F$64="666521")*'Slaughterhouse IQC'!$K$6:$K$64))</f>
        <v/>
      </c>
      <c r="C88" s="17" t="str">
        <f>IF(SUMPRODUCT((LEFT('Slaughterhouse IQC'!$A$6:$A$64,7)="2026-05")*('Slaughterhouse IQC'!$B$6:$B$64="Nahunta")*('Slaughterhouse IQC'!$F$6:$F$64="666521")*'Slaughterhouse IQC'!$I$6:$I$64)=0,"",SUMPRODUCT((LEFT('Slaughterhouse IQC'!$A$6:$A$64,7)="2026-05")*('Slaughterhouse IQC'!$B$6:$B$64="Nahunta")*('Slaughterhouse IQC'!$F$6:$F$64="666521")*'Slaughterhouse IQC'!$K$6:$K$64))</f>
        <v/>
      </c>
      <c r="D88" s="17" t="str">
        <f>IF(SUMPRODUCT((LEFT('Slaughterhouse IQC'!$A$6:$A$64,7)="2026-06")*('Slaughterhouse IQC'!$B$6:$B$64="Nahunta")*('Slaughterhouse IQC'!$F$6:$F$64="666521")*'Slaughterhouse IQC'!$I$6:$I$64)=0,"",SUMPRODUCT((LEFT('Slaughterhouse IQC'!$A$6:$A$64,7)="2026-06")*('Slaughterhouse IQC'!$B$6:$B$64="Nahunta")*('Slaughterhouse IQC'!$F$6:$F$64="666521")*'Slaughterhouse IQC'!$K$6:$K$64))</f>
        <v/>
      </c>
      <c r="E88" s="17">
        <f>IF(SUMPRODUCT((LEFT('Slaughterhouse IQC'!$A$6:$A$64,7)="2026-07")*('Slaughterhouse IQC'!$B$6:$B$64="Nahunta")*('Slaughterhouse IQC'!$F$6:$F$64="666521")*'Slaughterhouse IQC'!$I$6:$I$64)=0,"",SUMPRODUCT((LEFT('Slaughterhouse IQC'!$A$6:$A$64,7)="2026-07")*('Slaughterhouse IQC'!$B$6:$B$64="Nahunta")*('Slaughterhouse IQC'!$F$6:$F$64="666521")*'Slaughterhouse IQC'!$K$6:$K$64))</f>
        <v>13</v>
      </c>
      <c r="F88" s="17">
        <f>IF(SUMPRODUCT((LEFT('Slaughterhouse IQC'!$A$6:$A$64,7)="2026-08")*('Slaughterhouse IQC'!$B$6:$B$64="Nahunta")*('Slaughterhouse IQC'!$F$6:$F$64="666521")*'Slaughterhouse IQC'!$I$6:$I$64)=0,"",SUMPRODUCT((LEFT('Slaughterhouse IQC'!$A$6:$A$64,7)="2026-08")*('Slaughterhouse IQC'!$B$6:$B$64="Nahunta")*('Slaughterhouse IQC'!$F$6:$F$64="666521")*'Slaughterhouse IQC'!$K$6:$K$64))</f>
        <v>49</v>
      </c>
      <c r="G88" s="17">
        <f>SUM(B88:F88)</f>
        <v>62</v>
      </c>
    </row>
    <row r="89" spans="1:7" x14ac:dyDescent="0.3">
      <c r="A89" s="19" t="s">
        <v>154</v>
      </c>
      <c r="B89" s="20" t="str">
        <f>IF(B86="","",IF(B86=0,"",B87/B86))</f>
        <v/>
      </c>
      <c r="C89" s="20" t="str">
        <f>IF(C86="","",IF(C86=0,"",C87/C86))</f>
        <v/>
      </c>
      <c r="D89" s="20" t="str">
        <f>IF(D86="","",IF(D86=0,"",D87/D86))</f>
        <v/>
      </c>
      <c r="E89" s="20">
        <f>IF(E86="","",IF(E86=0,"",E87/E86))</f>
        <v>0.31578947368421051</v>
      </c>
      <c r="F89" s="20">
        <f>IF(F86="","",IF(F86=0,"",F87/F86))</f>
        <v>0.14035087719298245</v>
      </c>
      <c r="G89" s="20">
        <f>IF(G86=0,"",G87/G86)</f>
        <v>0.18421052631578946</v>
      </c>
    </row>
    <row r="90" spans="1:7" ht="15" customHeight="1" x14ac:dyDescent="0.3">
      <c r="A90" s="8" t="s">
        <v>303</v>
      </c>
      <c r="B90" s="11"/>
      <c r="C90" s="11"/>
      <c r="D90" s="11"/>
      <c r="E90" s="11"/>
      <c r="F90" s="11"/>
      <c r="G90" s="11"/>
    </row>
    <row r="91" spans="1:7" x14ac:dyDescent="0.3">
      <c r="A91" s="21" t="s">
        <v>317</v>
      </c>
      <c r="E91" s="17">
        <v>11</v>
      </c>
      <c r="F91" s="17">
        <v>31</v>
      </c>
      <c r="G91" s="17">
        <v>42</v>
      </c>
    </row>
    <row r="92" spans="1:7" x14ac:dyDescent="0.3">
      <c r="A92" s="21" t="s">
        <v>318</v>
      </c>
      <c r="E92" s="17">
        <v>2</v>
      </c>
      <c r="F92" s="17">
        <v>19</v>
      </c>
      <c r="G92" s="17">
        <v>21</v>
      </c>
    </row>
    <row r="93" spans="1:7" x14ac:dyDescent="0.3">
      <c r="A93" s="19" t="s">
        <v>309</v>
      </c>
      <c r="B93" s="17" t="str">
        <f>IF(SUM(B91:B92)=0,"",SUM(B91:B92))</f>
        <v/>
      </c>
      <c r="C93" s="17" t="str">
        <f>IF(SUM(C91:C92)=0,"",SUM(C91:C92))</f>
        <v/>
      </c>
      <c r="D93" s="17" t="str">
        <f>IF(SUM(D91:D92)=0,"",SUM(D91:D92))</f>
        <v/>
      </c>
      <c r="E93" s="17">
        <f>IF(SUM(E91:E92)=0,"",SUM(E91:E92))</f>
        <v>13</v>
      </c>
      <c r="F93" s="17">
        <f>IF(SUM(F91:F92)=0,"",SUM(F91:F92))</f>
        <v>50</v>
      </c>
      <c r="G93" s="17">
        <f>SUM(G91:G92)</f>
        <v>63</v>
      </c>
    </row>
    <row r="95" spans="1:7" ht="18" customHeight="1" x14ac:dyDescent="0.3">
      <c r="A95" s="9" t="s">
        <v>319</v>
      </c>
      <c r="B95" s="11"/>
      <c r="C95" s="11"/>
      <c r="D95" s="11"/>
      <c r="E95" s="11"/>
      <c r="F95" s="11"/>
      <c r="G95" s="11"/>
    </row>
    <row r="96" spans="1:7" ht="43.95" customHeight="1" x14ac:dyDescent="0.3">
      <c r="A96" s="7" t="s">
        <v>320</v>
      </c>
      <c r="B96" s="11"/>
      <c r="C96" s="11"/>
      <c r="D96" s="11"/>
      <c r="E96" s="11"/>
      <c r="F96" s="11"/>
      <c r="G96" s="11"/>
    </row>
    <row r="97" spans="1:7" ht="43.95" customHeight="1" x14ac:dyDescent="0.3">
      <c r="A97" s="7" t="s">
        <v>321</v>
      </c>
      <c r="B97" s="11"/>
      <c r="C97" s="11"/>
      <c r="D97" s="11"/>
      <c r="E97" s="11"/>
      <c r="F97" s="11"/>
      <c r="G97" s="11"/>
    </row>
    <row r="98" spans="1:7" ht="43.95" customHeight="1" x14ac:dyDescent="0.3">
      <c r="A98" s="7" t="s">
        <v>322</v>
      </c>
      <c r="B98" s="11"/>
      <c r="C98" s="11"/>
      <c r="D98" s="11"/>
      <c r="E98" s="11"/>
      <c r="F98" s="11"/>
      <c r="G98" s="11"/>
    </row>
    <row r="99" spans="1:7" ht="43.95" customHeight="1" x14ac:dyDescent="0.3">
      <c r="A99" s="7" t="s">
        <v>323</v>
      </c>
      <c r="B99" s="11"/>
      <c r="C99" s="11"/>
      <c r="D99" s="11"/>
      <c r="E99" s="11"/>
      <c r="F99" s="11"/>
      <c r="G99" s="11"/>
    </row>
  </sheetData>
  <mergeCells count="21">
    <mergeCell ref="A99:G99"/>
    <mergeCell ref="A90:G90"/>
    <mergeCell ref="A95:G95"/>
    <mergeCell ref="A96:G96"/>
    <mergeCell ref="A97:G97"/>
    <mergeCell ref="A98:G98"/>
    <mergeCell ref="A64:G64"/>
    <mergeCell ref="A70:G70"/>
    <mergeCell ref="A74:G74"/>
    <mergeCell ref="A80:G80"/>
    <mergeCell ref="A84:G84"/>
    <mergeCell ref="A28:G28"/>
    <mergeCell ref="A36:G36"/>
    <mergeCell ref="A42:G42"/>
    <mergeCell ref="A50:G50"/>
    <mergeCell ref="A56:G56"/>
    <mergeCell ref="A1:G1"/>
    <mergeCell ref="A2:G2"/>
    <mergeCell ref="A4:G4"/>
    <mergeCell ref="A13:G13"/>
    <mergeCell ref="A22:G22"/>
  </mergeCells>
  <conditionalFormatting sqref="B6:G11 B27:G27 B41:G41 B55:G55 B69:G69 B79:G79 B89:G89">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4"/>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324</v>
      </c>
      <c r="B1" s="11"/>
      <c r="C1" s="11"/>
      <c r="D1" s="11"/>
      <c r="E1" s="11"/>
      <c r="F1" s="11"/>
      <c r="G1" s="11"/>
      <c r="H1" s="11"/>
      <c r="I1" s="11"/>
      <c r="J1" s="11"/>
    </row>
    <row r="2" spans="1:10" ht="43.95" customHeight="1" x14ac:dyDescent="0.3">
      <c r="A2" s="10" t="s">
        <v>325</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122</v>
      </c>
      <c r="D6" s="17">
        <v>116</v>
      </c>
      <c r="E6" s="17">
        <v>6</v>
      </c>
      <c r="F6" s="20">
        <v>0.95079999999999998</v>
      </c>
      <c r="G6" s="5" t="s">
        <v>330</v>
      </c>
      <c r="H6" s="11"/>
      <c r="I6" s="11"/>
      <c r="J6" s="11"/>
    </row>
    <row r="7" spans="1:10" x14ac:dyDescent="0.3">
      <c r="A7" s="16" t="s">
        <v>329</v>
      </c>
      <c r="B7" s="16" t="s">
        <v>17</v>
      </c>
      <c r="C7" s="17">
        <v>59</v>
      </c>
      <c r="D7" s="17">
        <v>55</v>
      </c>
      <c r="E7" s="17">
        <v>4</v>
      </c>
      <c r="F7" s="20">
        <v>0.93220000000000003</v>
      </c>
      <c r="G7" s="5" t="s">
        <v>331</v>
      </c>
      <c r="H7" s="11"/>
      <c r="I7" s="11"/>
      <c r="J7" s="11"/>
    </row>
    <row r="9" spans="1:10" ht="18" customHeight="1" x14ac:dyDescent="0.3">
      <c r="A9" s="9" t="s">
        <v>332</v>
      </c>
      <c r="B9" s="11"/>
      <c r="C9" s="11"/>
      <c r="D9" s="11"/>
      <c r="E9" s="11"/>
      <c r="F9" s="11"/>
      <c r="G9" s="11"/>
      <c r="H9" s="11"/>
      <c r="I9" s="11"/>
      <c r="J9" s="11"/>
    </row>
    <row r="10" spans="1:10" ht="16.05" customHeight="1" x14ac:dyDescent="0.3">
      <c r="A10" s="8" t="s">
        <v>333</v>
      </c>
      <c r="B10" s="11"/>
      <c r="C10" s="11"/>
      <c r="D10" s="11"/>
      <c r="E10" s="11"/>
      <c r="F10" s="11"/>
      <c r="G10" s="11"/>
      <c r="H10" s="11"/>
      <c r="I10" s="11"/>
      <c r="J10" s="11"/>
    </row>
    <row r="11" spans="1:10" x14ac:dyDescent="0.3">
      <c r="A11" s="18" t="s">
        <v>7</v>
      </c>
      <c r="B11" s="6" t="s">
        <v>334</v>
      </c>
      <c r="C11" s="11"/>
      <c r="D11" s="11"/>
      <c r="E11" s="11"/>
      <c r="F11" s="18" t="s">
        <v>90</v>
      </c>
      <c r="G11" s="18" t="s">
        <v>335</v>
      </c>
    </row>
    <row r="12" spans="1:10" x14ac:dyDescent="0.3">
      <c r="A12" s="17">
        <v>1</v>
      </c>
      <c r="B12" s="4" t="s">
        <v>336</v>
      </c>
      <c r="C12" s="11"/>
      <c r="D12" s="11"/>
      <c r="E12" s="11"/>
      <c r="F12" s="17">
        <v>2</v>
      </c>
      <c r="G12" s="20">
        <v>0.33329999999999999</v>
      </c>
    </row>
    <row r="13" spans="1:10" x14ac:dyDescent="0.3">
      <c r="A13" s="17">
        <v>2</v>
      </c>
      <c r="B13" s="4" t="s">
        <v>337</v>
      </c>
      <c r="C13" s="11"/>
      <c r="D13" s="11"/>
      <c r="E13" s="11"/>
      <c r="F13" s="17">
        <v>2</v>
      </c>
      <c r="G13" s="20">
        <v>0.33329999999999999</v>
      </c>
    </row>
    <row r="14" spans="1:10" x14ac:dyDescent="0.3">
      <c r="A14" s="17">
        <v>3</v>
      </c>
      <c r="B14" s="4" t="s">
        <v>338</v>
      </c>
      <c r="C14" s="11"/>
      <c r="D14" s="11"/>
      <c r="E14" s="11"/>
      <c r="F14" s="17">
        <v>2</v>
      </c>
      <c r="G14" s="20">
        <v>0.33329999999999999</v>
      </c>
    </row>
    <row r="16" spans="1:10" ht="16.05" customHeight="1" x14ac:dyDescent="0.3">
      <c r="A16" s="8" t="s">
        <v>339</v>
      </c>
      <c r="B16" s="11"/>
      <c r="C16" s="11"/>
      <c r="D16" s="11"/>
      <c r="E16" s="11"/>
      <c r="F16" s="11"/>
      <c r="G16" s="11"/>
      <c r="H16" s="11"/>
      <c r="I16" s="11"/>
      <c r="J16" s="11"/>
    </row>
    <row r="17" spans="1:10" x14ac:dyDescent="0.3">
      <c r="A17" s="18" t="s">
        <v>7</v>
      </c>
      <c r="B17" s="6" t="s">
        <v>334</v>
      </c>
      <c r="C17" s="11"/>
      <c r="D17" s="11"/>
      <c r="E17" s="11"/>
      <c r="F17" s="18" t="s">
        <v>90</v>
      </c>
      <c r="G17" s="18" t="s">
        <v>335</v>
      </c>
    </row>
    <row r="18" spans="1:10" x14ac:dyDescent="0.3">
      <c r="A18" s="17">
        <v>1</v>
      </c>
      <c r="B18" s="4" t="s">
        <v>337</v>
      </c>
      <c r="C18" s="11"/>
      <c r="D18" s="11"/>
      <c r="E18" s="11"/>
      <c r="F18" s="17">
        <v>2</v>
      </c>
      <c r="G18" s="20">
        <v>0.5</v>
      </c>
    </row>
    <row r="19" spans="1:10" x14ac:dyDescent="0.3">
      <c r="A19" s="17">
        <v>2</v>
      </c>
      <c r="B19" s="4" t="s">
        <v>338</v>
      </c>
      <c r="C19" s="11"/>
      <c r="D19" s="11"/>
      <c r="E19" s="11"/>
      <c r="F19" s="17">
        <v>2</v>
      </c>
      <c r="G19" s="20">
        <v>0.5</v>
      </c>
    </row>
    <row r="21" spans="1:10" ht="18" customHeight="1" x14ac:dyDescent="0.3">
      <c r="A21" s="9" t="s">
        <v>340</v>
      </c>
      <c r="B21" s="11"/>
      <c r="C21" s="11"/>
      <c r="D21" s="11"/>
      <c r="E21" s="11"/>
      <c r="F21" s="11"/>
      <c r="G21" s="11"/>
      <c r="H21" s="11"/>
      <c r="I21" s="11"/>
      <c r="J21" s="11"/>
    </row>
    <row r="22" spans="1:10" ht="28.8" x14ac:dyDescent="0.3">
      <c r="A22" s="18" t="s">
        <v>34</v>
      </c>
      <c r="B22" s="18" t="s">
        <v>8</v>
      </c>
      <c r="C22" s="18" t="s">
        <v>341</v>
      </c>
      <c r="D22" s="18" t="s">
        <v>159</v>
      </c>
      <c r="E22" s="18" t="s">
        <v>35</v>
      </c>
      <c r="F22" s="18" t="s">
        <v>36</v>
      </c>
      <c r="G22" s="18" t="s">
        <v>37</v>
      </c>
      <c r="H22" s="18" t="s">
        <v>38</v>
      </c>
      <c r="I22" s="18" t="s">
        <v>342</v>
      </c>
      <c r="J22" s="18" t="s">
        <v>188</v>
      </c>
    </row>
    <row r="23" spans="1:10" ht="13.5" customHeight="1" x14ac:dyDescent="0.3">
      <c r="A23" s="16" t="s">
        <v>0</v>
      </c>
      <c r="B23" s="16" t="s">
        <v>11</v>
      </c>
      <c r="C23" s="16" t="s">
        <v>156</v>
      </c>
      <c r="D23" s="16" t="s">
        <v>17</v>
      </c>
      <c r="E23" s="16" t="s">
        <v>15</v>
      </c>
      <c r="F23" s="17">
        <v>3</v>
      </c>
      <c r="G23" s="17">
        <v>3</v>
      </c>
      <c r="H23" s="17">
        <v>0</v>
      </c>
      <c r="I23" s="20">
        <v>1</v>
      </c>
      <c r="J23" s="21" t="s">
        <v>44</v>
      </c>
    </row>
    <row r="24" spans="1:10" ht="13.5" customHeight="1" x14ac:dyDescent="0.3">
      <c r="A24" s="16" t="s">
        <v>0</v>
      </c>
      <c r="B24" s="16" t="s">
        <v>11</v>
      </c>
      <c r="C24" s="16" t="s">
        <v>156</v>
      </c>
      <c r="D24" s="16" t="s">
        <v>16</v>
      </c>
      <c r="E24" s="16" t="s">
        <v>14</v>
      </c>
      <c r="F24" s="17">
        <v>48</v>
      </c>
      <c r="G24" s="17">
        <v>47</v>
      </c>
      <c r="H24" s="17">
        <v>1</v>
      </c>
      <c r="I24" s="20">
        <v>0.97919999999999996</v>
      </c>
      <c r="J24" s="21" t="s">
        <v>40</v>
      </c>
    </row>
    <row r="25" spans="1:10" ht="13.5" customHeight="1" x14ac:dyDescent="0.3">
      <c r="A25" s="16" t="s">
        <v>41</v>
      </c>
      <c r="B25" s="16" t="s">
        <v>11</v>
      </c>
      <c r="C25" s="16" t="s">
        <v>156</v>
      </c>
      <c r="D25" s="16" t="s">
        <v>17</v>
      </c>
      <c r="E25" s="16" t="s">
        <v>15</v>
      </c>
      <c r="F25" s="17">
        <v>4</v>
      </c>
      <c r="G25" s="17">
        <v>4</v>
      </c>
      <c r="H25" s="17">
        <v>0</v>
      </c>
      <c r="I25" s="20">
        <v>1</v>
      </c>
      <c r="J25" s="21" t="s">
        <v>189</v>
      </c>
    </row>
    <row r="26" spans="1:10" ht="27" customHeight="1" x14ac:dyDescent="0.3">
      <c r="A26" s="16" t="s">
        <v>41</v>
      </c>
      <c r="B26" s="16" t="s">
        <v>11</v>
      </c>
      <c r="C26" s="16" t="s">
        <v>156</v>
      </c>
      <c r="D26" s="16" t="s">
        <v>16</v>
      </c>
      <c r="E26" s="16" t="s">
        <v>14</v>
      </c>
      <c r="F26" s="17">
        <v>17</v>
      </c>
      <c r="G26" s="17">
        <v>13</v>
      </c>
      <c r="H26" s="17">
        <v>4</v>
      </c>
      <c r="I26" s="20">
        <v>0.76470000000000005</v>
      </c>
      <c r="J26" s="21" t="s">
        <v>42</v>
      </c>
    </row>
    <row r="27" spans="1:10" ht="13.5" customHeight="1" x14ac:dyDescent="0.3">
      <c r="A27" s="16" t="s">
        <v>1</v>
      </c>
      <c r="B27" s="16" t="s">
        <v>11</v>
      </c>
      <c r="C27" s="16" t="s">
        <v>156</v>
      </c>
      <c r="D27" s="16" t="s">
        <v>17</v>
      </c>
      <c r="E27" s="16" t="s">
        <v>19</v>
      </c>
      <c r="F27" s="17">
        <v>31</v>
      </c>
      <c r="G27" s="17">
        <v>29</v>
      </c>
      <c r="H27" s="17">
        <v>2</v>
      </c>
      <c r="I27" s="20">
        <v>0.9355</v>
      </c>
      <c r="J27" s="21" t="s">
        <v>48</v>
      </c>
    </row>
    <row r="28" spans="1:10" ht="27" customHeight="1" x14ac:dyDescent="0.3">
      <c r="A28" s="16" t="s">
        <v>1</v>
      </c>
      <c r="B28" s="16" t="s">
        <v>11</v>
      </c>
      <c r="C28" s="16" t="s">
        <v>156</v>
      </c>
      <c r="D28" s="16" t="s">
        <v>16</v>
      </c>
      <c r="E28" s="16" t="s">
        <v>18</v>
      </c>
      <c r="F28" s="17">
        <v>0</v>
      </c>
      <c r="G28" s="17">
        <v>0</v>
      </c>
      <c r="H28" s="17">
        <v>0</v>
      </c>
      <c r="I28" s="20">
        <v>0</v>
      </c>
      <c r="J28" s="21" t="s">
        <v>45</v>
      </c>
    </row>
    <row r="29" spans="1:10" ht="13.5" customHeight="1" x14ac:dyDescent="0.3">
      <c r="A29" s="16" t="s">
        <v>46</v>
      </c>
      <c r="B29" s="16" t="s">
        <v>11</v>
      </c>
      <c r="C29" s="16" t="s">
        <v>156</v>
      </c>
      <c r="D29" s="16" t="s">
        <v>17</v>
      </c>
      <c r="E29" s="16" t="s">
        <v>19</v>
      </c>
      <c r="F29" s="17">
        <v>21</v>
      </c>
      <c r="G29" s="17">
        <v>19</v>
      </c>
      <c r="H29" s="17">
        <v>2</v>
      </c>
      <c r="I29" s="20">
        <v>0.90480000000000005</v>
      </c>
      <c r="J29" s="21" t="s">
        <v>49</v>
      </c>
    </row>
    <row r="30" spans="1:10" ht="13.5" customHeight="1" x14ac:dyDescent="0.3">
      <c r="A30" s="16" t="s">
        <v>46</v>
      </c>
      <c r="B30" s="16" t="s">
        <v>11</v>
      </c>
      <c r="C30" s="16" t="s">
        <v>156</v>
      </c>
      <c r="D30" s="16" t="s">
        <v>16</v>
      </c>
      <c r="E30" s="16" t="s">
        <v>18</v>
      </c>
      <c r="F30" s="17">
        <v>57</v>
      </c>
      <c r="G30" s="17">
        <v>56</v>
      </c>
      <c r="H30" s="17">
        <v>1</v>
      </c>
      <c r="I30" s="20">
        <v>0.98250000000000004</v>
      </c>
      <c r="J30" s="21" t="s">
        <v>47</v>
      </c>
    </row>
    <row r="32" ht="16.5" customHeight="1">
      <c r="A32" s="45" t="inlineStr">
        <is>
          <t>Key Takeaways</t>
        </is>
      </c>
      <c r="B32" s="45"/>
      <c r="C32" s="45"/>
      <c r="D32" s="45"/>
      <c r="E32" s="45"/>
      <c r="F32" s="45"/>
      <c r="G32" s="45"/>
      <c r="H32" s="45"/>
      <c r="I32" s="45"/>
      <c r="J32" s="45"/>
    </row>
    <row r="33" ht="27.0" customHeight="1">
      <c r="A33" s="46" t="inlineStr">
        <is>
          <t xml:space="preserve">➢ 666541 (Pelvic @ Martins): 95.1% FPY on 122 blocks — isolated bowel holes plus two cut urethras on 4/15; no systemic issue.</t>
        </is>
      </c>
      <c r="B33" s="46"/>
      <c r="C33" s="46"/>
      <c r="D33" s="46"/>
      <c r="E33" s="46"/>
      <c r="F33" s="46"/>
      <c r="G33" s="46"/>
      <c r="H33" s="46"/>
      <c r="I33" s="46"/>
      <c r="J33" s="46"/>
    </row>
    <row r="34" ht="15.0" customHeight="1">
      <c r="A34" s="47" t="inlineStr">
        <is>
          <t xml:space="preserve">➢ 666506 (Pelvic @ Martins): 93.2% FPY on 59 — early bowel damage and two cleaning losses; clean by month-end.</t>
        </is>
      </c>
      <c r="B34" s="47"/>
      <c r="C34" s="47"/>
      <c r="D34" s="47"/>
      <c r="E34" s="47"/>
      <c r="F34" s="47"/>
      <c r="G34" s="47"/>
      <c r="H34" s="47"/>
      <c r="I34" s="47"/>
      <c r="J34" s="47"/>
    </row>
  </sheetData>
  <mergeCells count="20">
    <mergeCell ref="B19:E19"/>
    <mergeCell ref="A21:J21"/>
    <mergeCell ref="B13:E13"/>
    <mergeCell ref="B14:E14"/>
    <mergeCell ref="A16:J16"/>
    <mergeCell ref="B17:E17"/>
    <mergeCell ref="B18:E18"/>
    <mergeCell ref="G7:J7"/>
    <mergeCell ref="A9:J9"/>
    <mergeCell ref="A10:J10"/>
    <mergeCell ref="B11:E11"/>
    <mergeCell ref="B12:E12"/>
    <mergeCell ref="A1:J1"/>
    <mergeCell ref="A2:J2"/>
    <mergeCell ref="A4:J4"/>
    <mergeCell ref="G5:J5"/>
    <mergeCell ref="G6:J6"/>
    <mergeCell ref="A32:J32"/>
    <mergeCell ref="A33:J33"/>
    <mergeCell ref="A34:J34"/>
  </mergeCells>
  <conditionalFormatting sqref="F6:F7">
    <cfRule type="colorScale" priority="1">
      <colorScale>
        <cfvo type="num" val="0.3"/>
        <cfvo type="num" val="0.8"/>
        <cfvo type="num" val="1"/>
        <color rgb="FFF8696B"/>
        <color rgb="FFFFEB84"/>
        <color rgb="FF63BE7B"/>
      </colorScale>
    </cfRule>
  </conditionalFormatting>
  <conditionalFormatting sqref="F12:F14">
    <cfRule type="dataBar" priority="2">
      <dataBar>
        <cfvo type="min"/>
        <cfvo type="max"/>
        <color rgb="FF638EC6"/>
      </dataBar>
    </cfRule>
  </conditionalFormatting>
  <conditionalFormatting sqref="F18:F19">
    <cfRule type="dataBar" priority="3">
      <dataBar>
        <cfvo type="min"/>
        <cfvo type="max"/>
        <color rgb="FF638EC6"/>
      </dataBar>
    </cfRule>
  </conditionalFormatting>
  <pageMargins left="0.5" right="0.5" top="0.6" bottom="0.6"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45"/>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343</v>
      </c>
      <c r="B1" s="11"/>
      <c r="C1" s="11"/>
      <c r="D1" s="11"/>
      <c r="E1" s="11"/>
      <c r="F1" s="11"/>
      <c r="G1" s="11"/>
      <c r="H1" s="11"/>
      <c r="I1" s="11"/>
      <c r="J1" s="11"/>
    </row>
    <row r="2" spans="1:10" ht="43.95" customHeight="1" x14ac:dyDescent="0.3">
      <c r="A2" s="10" t="s">
        <v>344</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194</v>
      </c>
      <c r="D6" s="17">
        <v>181</v>
      </c>
      <c r="E6" s="17">
        <v>13</v>
      </c>
      <c r="F6" s="20">
        <v>0.93300000000000005</v>
      </c>
      <c r="G6" s="5" t="s">
        <v>345</v>
      </c>
      <c r="H6" s="11"/>
      <c r="I6" s="11"/>
      <c r="J6" s="11"/>
    </row>
    <row r="7" spans="1:10" x14ac:dyDescent="0.3">
      <c r="A7" s="16" t="s">
        <v>329</v>
      </c>
      <c r="B7" s="16" t="s">
        <v>17</v>
      </c>
      <c r="C7" s="17">
        <v>118</v>
      </c>
      <c r="D7" s="17">
        <v>112</v>
      </c>
      <c r="E7" s="17">
        <v>6</v>
      </c>
      <c r="F7" s="20">
        <v>0.94920000000000004</v>
      </c>
      <c r="G7" s="5" t="s">
        <v>346</v>
      </c>
      <c r="H7" s="11"/>
      <c r="I7" s="11"/>
      <c r="J7" s="11"/>
    </row>
    <row r="8" spans="1:10" x14ac:dyDescent="0.3">
      <c r="A8" s="16" t="s">
        <v>347</v>
      </c>
      <c r="B8" s="16" t="s">
        <v>30</v>
      </c>
      <c r="C8" s="17">
        <v>16</v>
      </c>
      <c r="D8" s="17">
        <v>11</v>
      </c>
      <c r="E8" s="17">
        <v>5</v>
      </c>
      <c r="F8" s="20">
        <v>0.6875</v>
      </c>
      <c r="G8" s="5" t="s">
        <v>348</v>
      </c>
      <c r="H8" s="11"/>
      <c r="I8" s="11"/>
      <c r="J8" s="11"/>
    </row>
    <row r="10" spans="1:10" ht="18" customHeight="1" x14ac:dyDescent="0.3">
      <c r="A10" s="9" t="s">
        <v>332</v>
      </c>
      <c r="B10" s="11"/>
      <c r="C10" s="11"/>
      <c r="D10" s="11"/>
      <c r="E10" s="11"/>
      <c r="F10" s="11"/>
      <c r="G10" s="11"/>
      <c r="H10" s="11"/>
      <c r="I10" s="11"/>
      <c r="J10" s="11"/>
    </row>
    <row r="11" spans="1:10" ht="16.05" customHeight="1" x14ac:dyDescent="0.3">
      <c r="A11" s="8" t="s">
        <v>349</v>
      </c>
      <c r="B11" s="11"/>
      <c r="C11" s="11"/>
      <c r="D11" s="11"/>
      <c r="E11" s="11"/>
      <c r="F11" s="11"/>
      <c r="G11" s="11"/>
      <c r="H11" s="11"/>
      <c r="I11" s="11"/>
      <c r="J11" s="11"/>
    </row>
    <row r="12" spans="1:10" x14ac:dyDescent="0.3">
      <c r="A12" s="18" t="s">
        <v>7</v>
      </c>
      <c r="B12" s="6" t="s">
        <v>334</v>
      </c>
      <c r="C12" s="11"/>
      <c r="D12" s="11"/>
      <c r="E12" s="11"/>
      <c r="F12" s="18" t="s">
        <v>90</v>
      </c>
      <c r="G12" s="18" t="s">
        <v>335</v>
      </c>
    </row>
    <row r="13" spans="1:10" x14ac:dyDescent="0.3">
      <c r="A13" s="17">
        <v>1</v>
      </c>
      <c r="B13" s="4" t="s">
        <v>336</v>
      </c>
      <c r="C13" s="11"/>
      <c r="D13" s="11"/>
      <c r="E13" s="11"/>
      <c r="F13" s="17">
        <v>9</v>
      </c>
      <c r="G13" s="20">
        <v>0.69230000000000003</v>
      </c>
    </row>
    <row r="14" spans="1:10" x14ac:dyDescent="0.3">
      <c r="A14" s="17">
        <v>2</v>
      </c>
      <c r="B14" s="4" t="s">
        <v>350</v>
      </c>
      <c r="C14" s="11"/>
      <c r="D14" s="11"/>
      <c r="E14" s="11"/>
      <c r="F14" s="17">
        <v>2</v>
      </c>
      <c r="G14" s="20">
        <v>0.15379999999999999</v>
      </c>
    </row>
    <row r="15" spans="1:10" x14ac:dyDescent="0.3">
      <c r="A15" s="17">
        <v>3</v>
      </c>
      <c r="B15" s="4" t="s">
        <v>337</v>
      </c>
      <c r="C15" s="11"/>
      <c r="D15" s="11"/>
      <c r="E15" s="11"/>
      <c r="F15" s="17">
        <v>1</v>
      </c>
      <c r="G15" s="20">
        <v>7.6899999999999996E-2</v>
      </c>
    </row>
    <row r="16" spans="1:10" x14ac:dyDescent="0.3">
      <c r="A16" s="17">
        <v>4</v>
      </c>
      <c r="B16" s="4" t="s">
        <v>351</v>
      </c>
      <c r="C16" s="11"/>
      <c r="D16" s="11"/>
      <c r="E16" s="11"/>
      <c r="F16" s="17">
        <v>1</v>
      </c>
      <c r="G16" s="20">
        <v>7.6899999999999996E-2</v>
      </c>
    </row>
    <row r="18" spans="1:10" ht="16.05" customHeight="1" x14ac:dyDescent="0.3">
      <c r="A18" s="8" t="s">
        <v>352</v>
      </c>
      <c r="B18" s="11"/>
      <c r="C18" s="11"/>
      <c r="D18" s="11"/>
      <c r="E18" s="11"/>
      <c r="F18" s="11"/>
      <c r="G18" s="11"/>
      <c r="H18" s="11"/>
      <c r="I18" s="11"/>
      <c r="J18" s="11"/>
    </row>
    <row r="19" spans="1:10" x14ac:dyDescent="0.3">
      <c r="A19" s="18" t="s">
        <v>7</v>
      </c>
      <c r="B19" s="6" t="s">
        <v>334</v>
      </c>
      <c r="C19" s="11"/>
      <c r="D19" s="11"/>
      <c r="E19" s="11"/>
      <c r="F19" s="18" t="s">
        <v>90</v>
      </c>
      <c r="G19" s="18" t="s">
        <v>335</v>
      </c>
    </row>
    <row r="20" spans="1:10" x14ac:dyDescent="0.3">
      <c r="A20" s="17">
        <v>1</v>
      </c>
      <c r="B20" s="4" t="s">
        <v>336</v>
      </c>
      <c r="C20" s="11"/>
      <c r="D20" s="11"/>
      <c r="E20" s="11"/>
      <c r="F20" s="17">
        <v>4</v>
      </c>
      <c r="G20" s="20">
        <v>0.66669999999999996</v>
      </c>
    </row>
    <row r="21" spans="1:10" x14ac:dyDescent="0.3">
      <c r="A21" s="17">
        <v>2</v>
      </c>
      <c r="B21" s="4" t="s">
        <v>350</v>
      </c>
      <c r="C21" s="11"/>
      <c r="D21" s="11"/>
      <c r="E21" s="11"/>
      <c r="F21" s="17">
        <v>1</v>
      </c>
      <c r="G21" s="20">
        <v>0.16669999999999999</v>
      </c>
    </row>
    <row r="22" spans="1:10" x14ac:dyDescent="0.3">
      <c r="A22" s="17">
        <v>3</v>
      </c>
      <c r="B22" s="4" t="s">
        <v>338</v>
      </c>
      <c r="C22" s="11"/>
      <c r="D22" s="11"/>
      <c r="E22" s="11"/>
      <c r="F22" s="17">
        <v>1</v>
      </c>
      <c r="G22" s="20">
        <v>0.16669999999999999</v>
      </c>
    </row>
    <row r="24" spans="1:10" ht="16.05" customHeight="1" x14ac:dyDescent="0.3">
      <c r="A24" s="8" t="s">
        <v>353</v>
      </c>
      <c r="B24" s="11"/>
      <c r="C24" s="11"/>
      <c r="D24" s="11"/>
      <c r="E24" s="11"/>
      <c r="F24" s="11"/>
      <c r="G24" s="11"/>
      <c r="H24" s="11"/>
      <c r="I24" s="11"/>
      <c r="J24" s="11"/>
    </row>
    <row r="25" spans="1:10" x14ac:dyDescent="0.3">
      <c r="A25" s="18" t="s">
        <v>7</v>
      </c>
      <c r="B25" s="6" t="s">
        <v>334</v>
      </c>
      <c r="C25" s="11"/>
      <c r="D25" s="11"/>
      <c r="E25" s="11"/>
      <c r="F25" s="18" t="s">
        <v>90</v>
      </c>
      <c r="G25" s="18" t="s">
        <v>335</v>
      </c>
    </row>
    <row r="26" spans="1:10" x14ac:dyDescent="0.3">
      <c r="A26" s="17">
        <v>1</v>
      </c>
      <c r="B26" s="4" t="s">
        <v>351</v>
      </c>
      <c r="C26" s="11"/>
      <c r="D26" s="11"/>
      <c r="E26" s="11"/>
      <c r="F26" s="17">
        <v>4</v>
      </c>
      <c r="G26" s="20">
        <v>0.8</v>
      </c>
    </row>
    <row r="27" spans="1:10" x14ac:dyDescent="0.3">
      <c r="A27" s="17">
        <v>2</v>
      </c>
      <c r="B27" s="4" t="s">
        <v>336</v>
      </c>
      <c r="C27" s="11"/>
      <c r="D27" s="11"/>
      <c r="E27" s="11"/>
      <c r="F27" s="17">
        <v>1</v>
      </c>
      <c r="G27" s="20">
        <v>0.2</v>
      </c>
    </row>
    <row r="29" spans="1:10" ht="18" customHeight="1" x14ac:dyDescent="0.3">
      <c r="A29" s="9" t="s">
        <v>340</v>
      </c>
      <c r="B29" s="11"/>
      <c r="C29" s="11"/>
      <c r="D29" s="11"/>
      <c r="E29" s="11"/>
      <c r="F29" s="11"/>
      <c r="G29" s="11"/>
      <c r="H29" s="11"/>
      <c r="I29" s="11"/>
      <c r="J29" s="11"/>
    </row>
    <row r="30" spans="1:10" ht="28.8" x14ac:dyDescent="0.3">
      <c r="A30" s="18" t="s">
        <v>34</v>
      </c>
      <c r="B30" s="18" t="s">
        <v>8</v>
      </c>
      <c r="C30" s="18" t="s">
        <v>341</v>
      </c>
      <c r="D30" s="18" t="s">
        <v>159</v>
      </c>
      <c r="E30" s="18" t="s">
        <v>35</v>
      </c>
      <c r="F30" s="18" t="s">
        <v>36</v>
      </c>
      <c r="G30" s="18" t="s">
        <v>37</v>
      </c>
      <c r="H30" s="18" t="s">
        <v>38</v>
      </c>
      <c r="I30" s="18" t="s">
        <v>342</v>
      </c>
      <c r="J30" s="18" t="s">
        <v>188</v>
      </c>
    </row>
    <row r="31" spans="1:10" ht="13.5" customHeight="1" x14ac:dyDescent="0.3">
      <c r="A31" s="16" t="s">
        <v>2</v>
      </c>
      <c r="B31" s="16" t="s">
        <v>11</v>
      </c>
      <c r="C31" s="16" t="s">
        <v>156</v>
      </c>
      <c r="D31" s="16" t="s">
        <v>17</v>
      </c>
      <c r="E31" s="16" t="s">
        <v>21</v>
      </c>
      <c r="F31" s="17">
        <v>16</v>
      </c>
      <c r="G31" s="17">
        <v>13</v>
      </c>
      <c r="H31" s="17">
        <v>3</v>
      </c>
      <c r="I31" s="20">
        <v>0.8125</v>
      </c>
      <c r="J31" s="21" t="s">
        <v>52</v>
      </c>
    </row>
    <row r="32" spans="1:10" ht="13.5" customHeight="1" x14ac:dyDescent="0.3">
      <c r="A32" s="16" t="s">
        <v>2</v>
      </c>
      <c r="B32" s="16" t="s">
        <v>11</v>
      </c>
      <c r="C32" s="16" t="s">
        <v>156</v>
      </c>
      <c r="D32" s="16" t="s">
        <v>16</v>
      </c>
      <c r="E32" s="16" t="s">
        <v>20</v>
      </c>
      <c r="F32" s="17">
        <v>37</v>
      </c>
      <c r="G32" s="17">
        <v>36</v>
      </c>
      <c r="H32" s="17">
        <v>1</v>
      </c>
      <c r="I32" s="20">
        <v>0.97299999999999998</v>
      </c>
      <c r="J32" s="21" t="s">
        <v>50</v>
      </c>
    </row>
    <row r="33" spans="1:10" ht="13.5" customHeight="1" x14ac:dyDescent="0.3">
      <c r="A33" s="16" t="s">
        <v>51</v>
      </c>
      <c r="B33" s="16" t="s">
        <v>11</v>
      </c>
      <c r="C33" s="16" t="s">
        <v>156</v>
      </c>
      <c r="D33" s="16" t="s">
        <v>17</v>
      </c>
      <c r="E33" s="16" t="s">
        <v>21</v>
      </c>
      <c r="F33" s="17">
        <v>29</v>
      </c>
      <c r="G33" s="17">
        <v>28</v>
      </c>
      <c r="H33" s="17">
        <v>1</v>
      </c>
      <c r="I33" s="20">
        <v>0.96550000000000002</v>
      </c>
      <c r="J33" s="21" t="s">
        <v>53</v>
      </c>
    </row>
    <row r="34" spans="1:10" ht="13.5" customHeight="1" x14ac:dyDescent="0.3">
      <c r="A34" s="16" t="s">
        <v>51</v>
      </c>
      <c r="B34" s="16" t="s">
        <v>11</v>
      </c>
      <c r="C34" s="16" t="s">
        <v>156</v>
      </c>
      <c r="D34" s="16" t="s">
        <v>16</v>
      </c>
      <c r="E34" s="16" t="s">
        <v>20</v>
      </c>
      <c r="F34" s="17">
        <v>25</v>
      </c>
      <c r="G34" s="17">
        <v>22</v>
      </c>
      <c r="H34" s="17">
        <v>3</v>
      </c>
      <c r="I34" s="20">
        <v>0.88</v>
      </c>
      <c r="J34" s="21" t="s">
        <v>52</v>
      </c>
    </row>
    <row r="35" spans="1:10" ht="13.5" customHeight="1" x14ac:dyDescent="0.3">
      <c r="A35" s="16" t="s">
        <v>54</v>
      </c>
      <c r="B35" s="16" t="s">
        <v>11</v>
      </c>
      <c r="C35" s="16" t="s">
        <v>156</v>
      </c>
      <c r="D35" s="16" t="s">
        <v>17</v>
      </c>
      <c r="E35" s="16" t="s">
        <v>23</v>
      </c>
      <c r="F35" s="17">
        <v>43</v>
      </c>
      <c r="G35" s="17">
        <v>42</v>
      </c>
      <c r="H35" s="17">
        <v>1</v>
      </c>
      <c r="I35" s="20">
        <v>0.97670000000000001</v>
      </c>
      <c r="J35" s="21" t="s">
        <v>58</v>
      </c>
    </row>
    <row r="36" spans="1:10" ht="13.5" customHeight="1" x14ac:dyDescent="0.3">
      <c r="A36" s="16" t="s">
        <v>54</v>
      </c>
      <c r="B36" s="16" t="s">
        <v>11</v>
      </c>
      <c r="C36" s="16" t="s">
        <v>156</v>
      </c>
      <c r="D36" s="16" t="s">
        <v>16</v>
      </c>
      <c r="E36" s="16" t="s">
        <v>22</v>
      </c>
      <c r="F36" s="17">
        <v>62</v>
      </c>
      <c r="G36" s="17">
        <v>58</v>
      </c>
      <c r="H36" s="17">
        <v>4</v>
      </c>
      <c r="I36" s="20">
        <v>0.9355</v>
      </c>
      <c r="J36" s="21" t="s">
        <v>55</v>
      </c>
    </row>
    <row r="37" spans="1:10" ht="13.5" customHeight="1" x14ac:dyDescent="0.3">
      <c r="A37" s="16" t="s">
        <v>56</v>
      </c>
      <c r="B37" s="16" t="s">
        <v>11</v>
      </c>
      <c r="C37" s="16" t="s">
        <v>156</v>
      </c>
      <c r="D37" s="16" t="s">
        <v>17</v>
      </c>
      <c r="E37" s="16" t="s">
        <v>23</v>
      </c>
      <c r="F37" s="17">
        <v>30</v>
      </c>
      <c r="G37" s="17">
        <v>29</v>
      </c>
      <c r="H37" s="17">
        <v>1</v>
      </c>
      <c r="I37" s="20">
        <v>0.9667</v>
      </c>
      <c r="J37" s="21" t="s">
        <v>59</v>
      </c>
    </row>
    <row r="38" spans="1:10" ht="13.5" customHeight="1" x14ac:dyDescent="0.3">
      <c r="A38" s="16" t="s">
        <v>56</v>
      </c>
      <c r="B38" s="16" t="s">
        <v>11</v>
      </c>
      <c r="C38" s="16" t="s">
        <v>156</v>
      </c>
      <c r="D38" s="16" t="s">
        <v>16</v>
      </c>
      <c r="E38" s="16" t="s">
        <v>22</v>
      </c>
      <c r="F38" s="17">
        <v>31</v>
      </c>
      <c r="G38" s="17">
        <v>29</v>
      </c>
      <c r="H38" s="17">
        <v>2</v>
      </c>
      <c r="I38" s="20">
        <v>0.9355</v>
      </c>
      <c r="J38" s="21" t="s">
        <v>57</v>
      </c>
    </row>
    <row r="39" spans="1:10" ht="13.5" customHeight="1" x14ac:dyDescent="0.3">
      <c r="A39" s="16" t="s">
        <v>24</v>
      </c>
      <c r="B39" s="16" t="s">
        <v>11</v>
      </c>
      <c r="C39" s="16" t="s">
        <v>156</v>
      </c>
      <c r="D39" s="16" t="s">
        <v>16</v>
      </c>
      <c r="E39" s="16" t="s">
        <v>22</v>
      </c>
      <c r="F39" s="17">
        <v>39</v>
      </c>
      <c r="G39" s="17">
        <v>36</v>
      </c>
      <c r="H39" s="17">
        <v>3</v>
      </c>
      <c r="I39" s="20">
        <v>0.92310000000000003</v>
      </c>
      <c r="J39" s="21" t="s">
        <v>60</v>
      </c>
    </row>
    <row r="40" spans="1:10" ht="27" customHeight="1" x14ac:dyDescent="0.3">
      <c r="A40" s="16" t="s">
        <v>3</v>
      </c>
      <c r="B40" s="16" t="s">
        <v>88</v>
      </c>
      <c r="C40" s="16" t="s">
        <v>156</v>
      </c>
      <c r="D40" s="16" t="s">
        <v>30</v>
      </c>
      <c r="E40" s="16" t="s">
        <v>29</v>
      </c>
      <c r="F40" s="17">
        <v>16</v>
      </c>
      <c r="G40" s="17">
        <v>11</v>
      </c>
      <c r="H40" s="17">
        <v>5</v>
      </c>
      <c r="I40" s="20">
        <v>0.6875</v>
      </c>
      <c r="J40" s="21" t="s">
        <v>61</v>
      </c>
    </row>
    <row r="42" ht="16.5" customHeight="1">
      <c r="A42" s="45" t="inlineStr">
        <is>
          <t>Key Takeaways</t>
        </is>
      </c>
      <c r="B42" s="45"/>
      <c r="C42" s="45"/>
      <c r="D42" s="45"/>
      <c r="E42" s="45"/>
      <c r="F42" s="45"/>
      <c r="G42" s="45"/>
      <c r="H42" s="45"/>
      <c r="I42" s="45"/>
      <c r="J42" s="45"/>
    </row>
    <row r="43" ht="27.0" customHeight="1">
      <c r="A43" s="46" t="inlineStr">
        <is>
          <t xml:space="preserve">➢ 666541 (Pelvic @ Martins): 93.3% FPY on 194 — urethra damage drove 9 of 13 fails; harvest-cut technique flagged with the SH tech.</t>
        </is>
      </c>
      <c r="B43" s="46"/>
      <c r="C43" s="46"/>
      <c r="D43" s="46"/>
      <c r="E43" s="46"/>
      <c r="F43" s="46"/>
      <c r="G43" s="46"/>
      <c r="H43" s="46"/>
      <c r="I43" s="46"/>
      <c r="J43" s="46"/>
    </row>
    <row r="44" ht="15.0" customHeight="1">
      <c r="A44" s="46" t="inlineStr">
        <is>
          <t xml:space="preserve">➢ 666506 (Pelvic @ Martins): 94.9% FPY on 118 — a few urethra/bladder fails; otherwise steady.</t>
        </is>
      </c>
      <c r="B44" s="46"/>
      <c r="C44" s="46"/>
      <c r="D44" s="46"/>
      <c r="E44" s="46"/>
      <c r="F44" s="46"/>
      <c r="G44" s="46"/>
      <c r="H44" s="46"/>
      <c r="I44" s="46"/>
      <c r="J44" s="46"/>
    </row>
    <row r="45" ht="27.0" customHeight="1">
      <c r="A45" s="47" t="inlineStr">
        <is>
          <t xml:space="preserve">➢ 666518 (Pelvic @ Parks): first Parks visit (5/28) came in at 68.8% FPY — 4 short-mesentery blocks + 1 bladder; kicked off the Parks improvement push.</t>
        </is>
      </c>
      <c r="B45" s="47"/>
      <c r="C45" s="47"/>
      <c r="D45" s="47"/>
      <c r="E45" s="47"/>
      <c r="F45" s="47"/>
      <c r="G45" s="47"/>
      <c r="H45" s="47"/>
      <c r="I45" s="47"/>
      <c r="J45" s="47"/>
    </row>
  </sheetData>
  <mergeCells count="28">
    <mergeCell ref="B25:E25"/>
    <mergeCell ref="B26:E26"/>
    <mergeCell ref="B27:E27"/>
    <mergeCell ref="A29:J29"/>
    <mergeCell ref="B19:E19"/>
    <mergeCell ref="B20:E20"/>
    <mergeCell ref="B21:E21"/>
    <mergeCell ref="B22:E22"/>
    <mergeCell ref="A24:J24"/>
    <mergeCell ref="B13:E13"/>
    <mergeCell ref="B14:E14"/>
    <mergeCell ref="B15:E15"/>
    <mergeCell ref="B16:E16"/>
    <mergeCell ref="A18:J18"/>
    <mergeCell ref="G7:J7"/>
    <mergeCell ref="G8:J8"/>
    <mergeCell ref="A10:J10"/>
    <mergeCell ref="A11:J11"/>
    <mergeCell ref="B12:E12"/>
    <mergeCell ref="A1:J1"/>
    <mergeCell ref="A2:J2"/>
    <mergeCell ref="A4:J4"/>
    <mergeCell ref="G5:J5"/>
    <mergeCell ref="G6:J6"/>
    <mergeCell ref="A42:J42"/>
    <mergeCell ref="A43:J43"/>
    <mergeCell ref="A44:J44"/>
    <mergeCell ref="A45:J45"/>
  </mergeCells>
  <conditionalFormatting sqref="F6:F8">
    <cfRule type="colorScale" priority="1">
      <colorScale>
        <cfvo type="num" val="0.3"/>
        <cfvo type="num" val="0.8"/>
        <cfvo type="num" val="1"/>
        <color rgb="FFF8696B"/>
        <color rgb="FFFFEB84"/>
        <color rgb="FF63BE7B"/>
      </colorScale>
    </cfRule>
  </conditionalFormatting>
  <conditionalFormatting sqref="F13:F16">
    <cfRule type="dataBar" priority="2">
      <dataBar>
        <cfvo type="min"/>
        <cfvo type="max"/>
        <color rgb="FF638EC6"/>
      </dataBar>
    </cfRule>
  </conditionalFormatting>
  <conditionalFormatting sqref="F20:F22">
    <cfRule type="dataBar" priority="3">
      <dataBar>
        <cfvo type="min"/>
        <cfvo type="max"/>
        <color rgb="FF638EC6"/>
      </dataBar>
    </cfRule>
  </conditionalFormatting>
  <conditionalFormatting sqref="F26:F27">
    <cfRule type="dataBar" priority="4">
      <dataBar>
        <cfvo type="min"/>
        <cfvo type="max"/>
        <color rgb="FF638EC6"/>
      </dataBar>
    </cfRule>
  </conditionalFormatting>
  <pageMargins left="0.5" right="0.5" top="0.6" bottom="0.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50"/>
  <sheetViews>
    <sheetView workbookViewId="0"/>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354</v>
      </c>
      <c r="B1" s="11"/>
      <c r="C1" s="11"/>
      <c r="D1" s="11"/>
      <c r="E1" s="11"/>
      <c r="F1" s="11"/>
      <c r="G1" s="11"/>
      <c r="H1" s="11"/>
      <c r="I1" s="11"/>
      <c r="J1" s="11"/>
    </row>
    <row r="2" spans="1:10" ht="43.95" customHeight="1" x14ac:dyDescent="0.3">
      <c r="A2" s="10" t="s">
        <v>355</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152</v>
      </c>
      <c r="D6" s="17">
        <v>144</v>
      </c>
      <c r="E6" s="17">
        <v>8</v>
      </c>
      <c r="F6" s="20">
        <v>0.94740000000000002</v>
      </c>
      <c r="G6" s="5" t="s">
        <v>346</v>
      </c>
      <c r="H6" s="11"/>
      <c r="I6" s="11"/>
      <c r="J6" s="11"/>
    </row>
    <row r="7" spans="1:10" x14ac:dyDescent="0.3">
      <c r="A7" s="16" t="s">
        <v>329</v>
      </c>
      <c r="B7" s="16" t="s">
        <v>17</v>
      </c>
      <c r="C7" s="17">
        <v>53</v>
      </c>
      <c r="D7" s="17">
        <v>52</v>
      </c>
      <c r="E7" s="17">
        <v>1</v>
      </c>
      <c r="F7" s="20">
        <v>0.98109999999999997</v>
      </c>
      <c r="G7" s="5" t="s">
        <v>356</v>
      </c>
      <c r="H7" s="11"/>
      <c r="I7" s="11"/>
      <c r="J7" s="11"/>
    </row>
    <row r="8" spans="1:10" x14ac:dyDescent="0.3">
      <c r="A8" s="16" t="s">
        <v>347</v>
      </c>
      <c r="B8" s="16" t="s">
        <v>30</v>
      </c>
      <c r="C8" s="17">
        <v>128</v>
      </c>
      <c r="D8" s="17">
        <v>106</v>
      </c>
      <c r="E8" s="17">
        <v>22</v>
      </c>
      <c r="F8" s="20">
        <v>0.82809999999999995</v>
      </c>
      <c r="G8" s="5" t="s">
        <v>357</v>
      </c>
      <c r="H8" s="11"/>
      <c r="I8" s="11"/>
      <c r="J8" s="11"/>
    </row>
    <row r="10" spans="1:10" ht="18" customHeight="1" x14ac:dyDescent="0.3">
      <c r="A10" s="9" t="s">
        <v>332</v>
      </c>
      <c r="B10" s="11"/>
      <c r="C10" s="11"/>
      <c r="D10" s="11"/>
      <c r="E10" s="11"/>
      <c r="F10" s="11"/>
      <c r="G10" s="11"/>
      <c r="H10" s="11"/>
      <c r="I10" s="11"/>
      <c r="J10" s="11"/>
    </row>
    <row r="11" spans="1:10" ht="16.05" customHeight="1" x14ac:dyDescent="0.3">
      <c r="A11" s="8" t="s">
        <v>358</v>
      </c>
      <c r="B11" s="11"/>
      <c r="C11" s="11"/>
      <c r="D11" s="11"/>
      <c r="E11" s="11"/>
      <c r="F11" s="11"/>
      <c r="G11" s="11"/>
      <c r="H11" s="11"/>
      <c r="I11" s="11"/>
      <c r="J11" s="11"/>
    </row>
    <row r="12" spans="1:10" x14ac:dyDescent="0.3">
      <c r="A12" s="18" t="s">
        <v>7</v>
      </c>
      <c r="B12" s="6" t="s">
        <v>334</v>
      </c>
      <c r="C12" s="11"/>
      <c r="D12" s="11"/>
      <c r="E12" s="11"/>
      <c r="F12" s="18" t="s">
        <v>90</v>
      </c>
      <c r="G12" s="18" t="s">
        <v>335</v>
      </c>
    </row>
    <row r="13" spans="1:10" x14ac:dyDescent="0.3">
      <c r="A13" s="17">
        <v>1</v>
      </c>
      <c r="B13" s="4" t="s">
        <v>336</v>
      </c>
      <c r="C13" s="11"/>
      <c r="D13" s="11"/>
      <c r="E13" s="11"/>
      <c r="F13" s="17">
        <v>4</v>
      </c>
      <c r="G13" s="20">
        <v>0.5</v>
      </c>
    </row>
    <row r="14" spans="1:10" x14ac:dyDescent="0.3">
      <c r="A14" s="17">
        <v>2</v>
      </c>
      <c r="B14" s="4" t="s">
        <v>350</v>
      </c>
      <c r="C14" s="11"/>
      <c r="D14" s="11"/>
      <c r="E14" s="11"/>
      <c r="F14" s="17">
        <v>3</v>
      </c>
      <c r="G14" s="20">
        <v>0.375</v>
      </c>
    </row>
    <row r="15" spans="1:10" x14ac:dyDescent="0.3">
      <c r="A15" s="17">
        <v>3</v>
      </c>
      <c r="B15" s="4" t="s">
        <v>337</v>
      </c>
      <c r="C15" s="11"/>
      <c r="D15" s="11"/>
      <c r="E15" s="11"/>
      <c r="F15" s="17">
        <v>1</v>
      </c>
      <c r="G15" s="20">
        <v>0.125</v>
      </c>
    </row>
    <row r="17" spans="1:10" ht="16.05" customHeight="1" x14ac:dyDescent="0.3">
      <c r="A17" s="8" t="s">
        <v>359</v>
      </c>
      <c r="B17" s="11"/>
      <c r="C17" s="11"/>
      <c r="D17" s="11"/>
      <c r="E17" s="11"/>
      <c r="F17" s="11"/>
      <c r="G17" s="11"/>
      <c r="H17" s="11"/>
      <c r="I17" s="11"/>
      <c r="J17" s="11"/>
    </row>
    <row r="18" spans="1:10" x14ac:dyDescent="0.3">
      <c r="A18" s="18" t="s">
        <v>7</v>
      </c>
      <c r="B18" s="6" t="s">
        <v>334</v>
      </c>
      <c r="C18" s="11"/>
      <c r="D18" s="11"/>
      <c r="E18" s="11"/>
      <c r="F18" s="18" t="s">
        <v>90</v>
      </c>
      <c r="G18" s="18" t="s">
        <v>335</v>
      </c>
    </row>
    <row r="19" spans="1:10" x14ac:dyDescent="0.3">
      <c r="A19" s="17">
        <v>1</v>
      </c>
      <c r="B19" s="4" t="s">
        <v>351</v>
      </c>
      <c r="C19" s="11"/>
      <c r="D19" s="11"/>
      <c r="E19" s="11"/>
      <c r="F19" s="17">
        <v>1</v>
      </c>
      <c r="G19" s="20">
        <v>1</v>
      </c>
    </row>
    <row r="21" spans="1:10" ht="16.05" customHeight="1" x14ac:dyDescent="0.3">
      <c r="A21" s="8" t="s">
        <v>360</v>
      </c>
      <c r="B21" s="11"/>
      <c r="C21" s="11"/>
      <c r="D21" s="11"/>
      <c r="E21" s="11"/>
      <c r="F21" s="11"/>
      <c r="G21" s="11"/>
      <c r="H21" s="11"/>
      <c r="I21" s="11"/>
      <c r="J21" s="11"/>
    </row>
    <row r="22" spans="1:10" x14ac:dyDescent="0.3">
      <c r="A22" s="18" t="s">
        <v>7</v>
      </c>
      <c r="B22" s="6" t="s">
        <v>334</v>
      </c>
      <c r="C22" s="11"/>
      <c r="D22" s="11"/>
      <c r="E22" s="11"/>
      <c r="F22" s="18" t="s">
        <v>90</v>
      </c>
      <c r="G22" s="18" t="s">
        <v>335</v>
      </c>
    </row>
    <row r="23" spans="1:10" x14ac:dyDescent="0.3">
      <c r="A23" s="17">
        <v>1</v>
      </c>
      <c r="B23" s="4" t="s">
        <v>336</v>
      </c>
      <c r="C23" s="11"/>
      <c r="D23" s="11"/>
      <c r="E23" s="11"/>
      <c r="F23" s="17">
        <v>10</v>
      </c>
      <c r="G23" s="20">
        <v>0.45450000000000002</v>
      </c>
    </row>
    <row r="24" spans="1:10" x14ac:dyDescent="0.3">
      <c r="A24" s="17">
        <v>2</v>
      </c>
      <c r="B24" s="4" t="s">
        <v>351</v>
      </c>
      <c r="C24" s="11"/>
      <c r="D24" s="11"/>
      <c r="E24" s="11"/>
      <c r="F24" s="17">
        <v>5</v>
      </c>
      <c r="G24" s="20">
        <v>0.2273</v>
      </c>
    </row>
    <row r="25" spans="1:10" x14ac:dyDescent="0.3">
      <c r="A25" s="17">
        <v>3</v>
      </c>
      <c r="B25" s="4" t="s">
        <v>361</v>
      </c>
      <c r="C25" s="11"/>
      <c r="D25" s="11"/>
      <c r="E25" s="11"/>
      <c r="F25" s="17">
        <v>3</v>
      </c>
      <c r="G25" s="20">
        <v>0.13639999999999999</v>
      </c>
    </row>
    <row r="26" spans="1:10" x14ac:dyDescent="0.3">
      <c r="A26" s="17">
        <v>4</v>
      </c>
      <c r="B26" s="4" t="s">
        <v>337</v>
      </c>
      <c r="C26" s="11"/>
      <c r="D26" s="11"/>
      <c r="E26" s="11"/>
      <c r="F26" s="17">
        <v>2</v>
      </c>
      <c r="G26" s="20">
        <v>9.0899999999999995E-2</v>
      </c>
    </row>
    <row r="27" spans="1:10" x14ac:dyDescent="0.3">
      <c r="A27" s="17">
        <v>5</v>
      </c>
      <c r="B27" s="4" t="s">
        <v>362</v>
      </c>
      <c r="C27" s="11"/>
      <c r="D27" s="11"/>
      <c r="E27" s="11"/>
      <c r="F27" s="17">
        <v>2</v>
      </c>
      <c r="G27" s="20">
        <v>9.0899999999999995E-2</v>
      </c>
    </row>
    <row r="29" spans="1:10" ht="18" customHeight="1" x14ac:dyDescent="0.3">
      <c r="A29" s="9" t="s">
        <v>340</v>
      </c>
      <c r="B29" s="11"/>
      <c r="C29" s="11"/>
      <c r="D29" s="11"/>
      <c r="E29" s="11"/>
      <c r="F29" s="11"/>
      <c r="G29" s="11"/>
      <c r="H29" s="11"/>
      <c r="I29" s="11"/>
      <c r="J29" s="11"/>
    </row>
    <row r="30" spans="1:10" ht="28.8" x14ac:dyDescent="0.3">
      <c r="A30" s="18" t="s">
        <v>34</v>
      </c>
      <c r="B30" s="18" t="s">
        <v>8</v>
      </c>
      <c r="C30" s="18" t="s">
        <v>341</v>
      </c>
      <c r="D30" s="18" t="s">
        <v>159</v>
      </c>
      <c r="E30" s="18" t="s">
        <v>35</v>
      </c>
      <c r="F30" s="18" t="s">
        <v>36</v>
      </c>
      <c r="G30" s="18" t="s">
        <v>37</v>
      </c>
      <c r="H30" s="18" t="s">
        <v>38</v>
      </c>
      <c r="I30" s="18" t="s">
        <v>342</v>
      </c>
      <c r="J30" s="18" t="s">
        <v>188</v>
      </c>
    </row>
    <row r="31" spans="1:10" ht="13.5" customHeight="1" x14ac:dyDescent="0.3">
      <c r="A31" s="16" t="s">
        <v>62</v>
      </c>
      <c r="B31" s="16" t="s">
        <v>11</v>
      </c>
      <c r="C31" s="16" t="s">
        <v>156</v>
      </c>
      <c r="D31" s="16" t="s">
        <v>17</v>
      </c>
      <c r="E31" s="16" t="s">
        <v>32</v>
      </c>
      <c r="F31" s="17">
        <v>7</v>
      </c>
      <c r="G31" s="17">
        <v>7</v>
      </c>
      <c r="H31" s="17">
        <v>0</v>
      </c>
      <c r="I31" s="20">
        <v>1</v>
      </c>
      <c r="J31" s="21" t="s">
        <v>189</v>
      </c>
    </row>
    <row r="32" spans="1:10" ht="13.5" customHeight="1" x14ac:dyDescent="0.3">
      <c r="A32" s="16" t="s">
        <v>62</v>
      </c>
      <c r="B32" s="16" t="s">
        <v>11</v>
      </c>
      <c r="C32" s="16" t="s">
        <v>156</v>
      </c>
      <c r="D32" s="16" t="s">
        <v>16</v>
      </c>
      <c r="E32" s="16" t="s">
        <v>31</v>
      </c>
      <c r="F32" s="17">
        <v>9</v>
      </c>
      <c r="G32" s="17">
        <v>9</v>
      </c>
      <c r="H32" s="17">
        <v>0</v>
      </c>
      <c r="I32" s="20">
        <v>1</v>
      </c>
      <c r="J32" s="21" t="s">
        <v>189</v>
      </c>
    </row>
    <row r="33" spans="1:10" ht="13.5" customHeight="1" x14ac:dyDescent="0.3">
      <c r="A33" s="16" t="s">
        <v>33</v>
      </c>
      <c r="B33" s="16" t="s">
        <v>88</v>
      </c>
      <c r="C33" s="16" t="s">
        <v>156</v>
      </c>
      <c r="D33" s="16" t="s">
        <v>30</v>
      </c>
      <c r="E33" s="16" t="s">
        <v>29</v>
      </c>
      <c r="F33" s="17">
        <v>7</v>
      </c>
      <c r="G33" s="17">
        <v>7</v>
      </c>
      <c r="H33" s="17">
        <v>0</v>
      </c>
      <c r="I33" s="20">
        <v>1</v>
      </c>
      <c r="J33" s="21" t="s">
        <v>189</v>
      </c>
    </row>
    <row r="34" spans="1:10" ht="13.5" customHeight="1" x14ac:dyDescent="0.3">
      <c r="A34" s="16" t="s">
        <v>63</v>
      </c>
      <c r="B34" s="16" t="s">
        <v>11</v>
      </c>
      <c r="C34" s="16" t="s">
        <v>156</v>
      </c>
      <c r="D34" s="16" t="s">
        <v>17</v>
      </c>
      <c r="E34" s="16" t="s">
        <v>32</v>
      </c>
      <c r="F34" s="17">
        <v>29</v>
      </c>
      <c r="G34" s="17">
        <v>29</v>
      </c>
      <c r="H34" s="17">
        <v>0</v>
      </c>
      <c r="I34" s="20">
        <v>1</v>
      </c>
      <c r="J34" s="21" t="s">
        <v>189</v>
      </c>
    </row>
    <row r="35" spans="1:10" ht="13.5" customHeight="1" x14ac:dyDescent="0.3">
      <c r="A35" s="16" t="s">
        <v>63</v>
      </c>
      <c r="B35" s="16" t="s">
        <v>11</v>
      </c>
      <c r="C35" s="16" t="s">
        <v>156</v>
      </c>
      <c r="D35" s="16" t="s">
        <v>16</v>
      </c>
      <c r="E35" s="16" t="s">
        <v>31</v>
      </c>
      <c r="F35" s="17">
        <v>45</v>
      </c>
      <c r="G35" s="17">
        <v>43</v>
      </c>
      <c r="H35" s="17">
        <v>2</v>
      </c>
      <c r="I35" s="20">
        <v>0.9556</v>
      </c>
      <c r="J35" s="21" t="s">
        <v>64</v>
      </c>
    </row>
    <row r="36" spans="1:10" ht="13.5" customHeight="1" x14ac:dyDescent="0.3">
      <c r="A36" s="16" t="s">
        <v>191</v>
      </c>
      <c r="B36" s="16" t="s">
        <v>11</v>
      </c>
      <c r="C36" s="16" t="s">
        <v>156</v>
      </c>
      <c r="D36" s="16" t="s">
        <v>17</v>
      </c>
      <c r="E36" s="16" t="s">
        <v>32</v>
      </c>
      <c r="F36" s="17">
        <v>13</v>
      </c>
      <c r="G36" s="17">
        <v>12</v>
      </c>
      <c r="H36" s="17">
        <v>1</v>
      </c>
      <c r="I36" s="20">
        <v>0.92310000000000003</v>
      </c>
      <c r="J36" s="21" t="s">
        <v>192</v>
      </c>
    </row>
    <row r="37" spans="1:10" ht="13.5" customHeight="1" x14ac:dyDescent="0.3">
      <c r="A37" s="16" t="s">
        <v>191</v>
      </c>
      <c r="B37" s="16" t="s">
        <v>11</v>
      </c>
      <c r="C37" s="16" t="s">
        <v>156</v>
      </c>
      <c r="D37" s="16" t="s">
        <v>16</v>
      </c>
      <c r="E37" s="16" t="s">
        <v>31</v>
      </c>
      <c r="F37" s="17">
        <v>17</v>
      </c>
      <c r="G37" s="17">
        <v>16</v>
      </c>
      <c r="H37" s="17">
        <v>1</v>
      </c>
      <c r="I37" s="20">
        <v>0.94120000000000004</v>
      </c>
      <c r="J37" s="21" t="s">
        <v>193</v>
      </c>
    </row>
    <row r="38" spans="1:10" ht="27" customHeight="1" x14ac:dyDescent="0.3">
      <c r="A38" s="16" t="s">
        <v>194</v>
      </c>
      <c r="B38" s="16" t="s">
        <v>11</v>
      </c>
      <c r="C38" s="16" t="s">
        <v>156</v>
      </c>
      <c r="D38" s="16" t="s">
        <v>16</v>
      </c>
      <c r="E38" s="16" t="s">
        <v>195</v>
      </c>
      <c r="F38" s="17">
        <v>31</v>
      </c>
      <c r="G38" s="17">
        <v>30</v>
      </c>
      <c r="H38" s="17">
        <v>1</v>
      </c>
      <c r="I38" s="20">
        <v>0.9677</v>
      </c>
      <c r="J38" s="21" t="s">
        <v>196</v>
      </c>
    </row>
    <row r="39" spans="1:10" ht="27" customHeight="1" x14ac:dyDescent="0.3">
      <c r="A39" s="16" t="s">
        <v>197</v>
      </c>
      <c r="B39" s="16" t="s">
        <v>88</v>
      </c>
      <c r="C39" s="16" t="s">
        <v>156</v>
      </c>
      <c r="D39" s="16" t="s">
        <v>30</v>
      </c>
      <c r="E39" s="16" t="s">
        <v>29</v>
      </c>
      <c r="F39" s="17">
        <v>16</v>
      </c>
      <c r="G39" s="17">
        <v>14</v>
      </c>
      <c r="H39" s="17">
        <v>2</v>
      </c>
      <c r="I39" s="20">
        <v>0.875</v>
      </c>
      <c r="J39" s="21" t="s">
        <v>198</v>
      </c>
    </row>
    <row r="40" spans="1:10" ht="13.5" customHeight="1" x14ac:dyDescent="0.3">
      <c r="A40" s="16" t="s">
        <v>199</v>
      </c>
      <c r="B40" s="16" t="s">
        <v>88</v>
      </c>
      <c r="C40" s="16" t="s">
        <v>156</v>
      </c>
      <c r="D40" s="16" t="s">
        <v>30</v>
      </c>
      <c r="E40" s="16" t="s">
        <v>29</v>
      </c>
      <c r="F40" s="17">
        <v>36</v>
      </c>
      <c r="G40" s="17">
        <v>31</v>
      </c>
      <c r="H40" s="17">
        <v>5</v>
      </c>
      <c r="I40" s="20">
        <v>0.86109999999999998</v>
      </c>
      <c r="J40" s="21" t="s">
        <v>200</v>
      </c>
    </row>
    <row r="41" spans="1:10" ht="13.5" customHeight="1" x14ac:dyDescent="0.3">
      <c r="A41" s="16" t="s">
        <v>201</v>
      </c>
      <c r="B41" s="16" t="s">
        <v>11</v>
      </c>
      <c r="C41" s="16" t="s">
        <v>156</v>
      </c>
      <c r="D41" s="16" t="s">
        <v>16</v>
      </c>
      <c r="E41" s="16" t="s">
        <v>195</v>
      </c>
      <c r="F41" s="17">
        <v>34</v>
      </c>
      <c r="G41" s="17">
        <v>30</v>
      </c>
      <c r="H41" s="17">
        <v>4</v>
      </c>
      <c r="I41" s="20">
        <v>0.88239999999999996</v>
      </c>
      <c r="J41" s="21" t="s">
        <v>202</v>
      </c>
    </row>
    <row r="42" spans="1:10" ht="13.5" customHeight="1" x14ac:dyDescent="0.3">
      <c r="A42" s="16" t="s">
        <v>203</v>
      </c>
      <c r="B42" s="16" t="s">
        <v>88</v>
      </c>
      <c r="C42" s="16" t="s">
        <v>156</v>
      </c>
      <c r="D42" s="16" t="s">
        <v>30</v>
      </c>
      <c r="E42" s="16" t="s">
        <v>29</v>
      </c>
      <c r="F42" s="17">
        <v>19</v>
      </c>
      <c r="G42" s="17">
        <v>16</v>
      </c>
      <c r="H42" s="17">
        <v>3</v>
      </c>
      <c r="I42" s="20">
        <v>0.84209999999999996</v>
      </c>
      <c r="J42" s="21" t="s">
        <v>204</v>
      </c>
    </row>
    <row r="43" spans="1:10" ht="13.5" customHeight="1" x14ac:dyDescent="0.3">
      <c r="A43" s="16" t="s">
        <v>205</v>
      </c>
      <c r="B43" s="16" t="s">
        <v>11</v>
      </c>
      <c r="C43" s="16" t="s">
        <v>156</v>
      </c>
      <c r="D43" s="16" t="s">
        <v>17</v>
      </c>
      <c r="E43" s="16" t="s">
        <v>206</v>
      </c>
      <c r="F43" s="17">
        <v>4</v>
      </c>
      <c r="G43" s="17">
        <v>4</v>
      </c>
      <c r="H43" s="17">
        <v>0</v>
      </c>
      <c r="I43" s="20">
        <v>1</v>
      </c>
      <c r="J43" s="21" t="s">
        <v>189</v>
      </c>
    </row>
    <row r="44" spans="1:10" ht="40.049999999999997" customHeight="1" x14ac:dyDescent="0.3">
      <c r="A44" s="16" t="s">
        <v>205</v>
      </c>
      <c r="B44" s="16" t="s">
        <v>88</v>
      </c>
      <c r="C44" s="16" t="s">
        <v>156</v>
      </c>
      <c r="D44" s="16" t="s">
        <v>30</v>
      </c>
      <c r="E44" s="16" t="s">
        <v>29</v>
      </c>
      <c r="F44" s="17">
        <v>50</v>
      </c>
      <c r="G44" s="17">
        <v>38</v>
      </c>
      <c r="H44" s="17">
        <v>12</v>
      </c>
      <c r="I44" s="20">
        <v>0.76</v>
      </c>
      <c r="J44" s="21" t="s">
        <v>207</v>
      </c>
    </row>
    <row r="45" spans="1:10" ht="13.5" customHeight="1" x14ac:dyDescent="0.3">
      <c r="A45" s="16" t="s">
        <v>205</v>
      </c>
      <c r="B45" s="16" t="s">
        <v>11</v>
      </c>
      <c r="C45" s="16" t="s">
        <v>156</v>
      </c>
      <c r="D45" s="16" t="s">
        <v>16</v>
      </c>
      <c r="E45" s="16" t="s">
        <v>208</v>
      </c>
      <c r="F45" s="17">
        <v>16</v>
      </c>
      <c r="G45" s="17">
        <v>16</v>
      </c>
      <c r="H45" s="17">
        <v>0</v>
      </c>
      <c r="I45" s="20">
        <v>1</v>
      </c>
      <c r="J45" s="21" t="s">
        <v>189</v>
      </c>
    </row>
    <row r="47" ht="16.5" customHeight="1">
      <c r="A47" s="45" t="inlineStr">
        <is>
          <t>Key Takeaways</t>
        </is>
      </c>
      <c r="B47" s="45"/>
      <c r="C47" s="45"/>
      <c r="D47" s="45"/>
      <c r="E47" s="45"/>
      <c r="F47" s="45"/>
      <c r="G47" s="45"/>
      <c r="H47" s="45"/>
      <c r="I47" s="45"/>
      <c r="J47" s="45"/>
    </row>
    <row r="48" ht="15.0" customHeight="1">
      <c r="A48" s="46" t="inlineStr">
        <is>
          <t xml:space="preserve">➢ 666541 (Pelvic @ Martins): 94.7% FPY on 152 — minor urethra and membrane damage; steady.</t>
        </is>
      </c>
      <c r="B48" s="46"/>
      <c r="C48" s="46"/>
      <c r="D48" s="46"/>
      <c r="E48" s="46"/>
      <c r="F48" s="46"/>
      <c r="G48" s="46"/>
      <c r="H48" s="46"/>
      <c r="I48" s="46"/>
      <c r="J48" s="46"/>
    </row>
    <row r="49" ht="15.0" customHeight="1">
      <c r="A49" s="46" t="inlineStr">
        <is>
          <t xml:space="preserve">➢ 666506 (Pelvic @ Martins): 98.1% FPY on 53 — a single short block; best line of the month.</t>
        </is>
      </c>
      <c r="B49" s="46"/>
      <c r="C49" s="46"/>
      <c r="D49" s="46"/>
      <c r="E49" s="46"/>
      <c r="F49" s="46"/>
      <c r="G49" s="46"/>
      <c r="H49" s="46"/>
      <c r="I49" s="46"/>
      <c r="J49" s="46"/>
    </row>
    <row r="50" ht="27.0" customHeight="1">
      <c r="A50" s="47" t="inlineStr">
        <is>
          <t xml:space="preserve">➢ 666518 (Pelvic @ Parks): 82.8% FPY on 128 — worst month: 10 urethra/bladder cuts near the template edge, 5 short blocks, 3 critical-area; root-caused and addressed in the Parks deep-dive.</t>
        </is>
      </c>
      <c r="B50" s="47"/>
      <c r="C50" s="47"/>
      <c r="D50" s="47"/>
      <c r="E50" s="47"/>
      <c r="F50" s="47"/>
      <c r="G50" s="47"/>
      <c r="H50" s="47"/>
      <c r="I50" s="47"/>
      <c r="J50" s="47"/>
    </row>
  </sheetData>
  <mergeCells count="28">
    <mergeCell ref="B25:E25"/>
    <mergeCell ref="B26:E26"/>
    <mergeCell ref="B27:E27"/>
    <mergeCell ref="A29:J29"/>
    <mergeCell ref="B19:E19"/>
    <mergeCell ref="A21:J21"/>
    <mergeCell ref="B22:E22"/>
    <mergeCell ref="B23:E23"/>
    <mergeCell ref="B24:E24"/>
    <mergeCell ref="B13:E13"/>
    <mergeCell ref="B14:E14"/>
    <mergeCell ref="B15:E15"/>
    <mergeCell ref="A17:J17"/>
    <mergeCell ref="B18:E18"/>
    <mergeCell ref="G7:J7"/>
    <mergeCell ref="G8:J8"/>
    <mergeCell ref="A10:J10"/>
    <mergeCell ref="A11:J11"/>
    <mergeCell ref="B12:E12"/>
    <mergeCell ref="A1:J1"/>
    <mergeCell ref="A2:J2"/>
    <mergeCell ref="A4:J4"/>
    <mergeCell ref="G5:J5"/>
    <mergeCell ref="G6:J6"/>
    <mergeCell ref="A47:J47"/>
    <mergeCell ref="A48:J48"/>
    <mergeCell ref="A49:J49"/>
    <mergeCell ref="A50:J50"/>
  </mergeCells>
  <conditionalFormatting sqref="F6:F8">
    <cfRule type="colorScale" priority="1">
      <colorScale>
        <cfvo type="num" val="0.3"/>
        <cfvo type="num" val="0.8"/>
        <cfvo type="num" val="1"/>
        <color rgb="FFF8696B"/>
        <color rgb="FFFFEB84"/>
        <color rgb="FF63BE7B"/>
      </colorScale>
    </cfRule>
  </conditionalFormatting>
  <conditionalFormatting sqref="F13:F15">
    <cfRule type="dataBar" priority="2">
      <dataBar>
        <cfvo type="min"/>
        <cfvo type="max"/>
        <color rgb="FF638EC6"/>
      </dataBar>
    </cfRule>
  </conditionalFormatting>
  <conditionalFormatting sqref="F19">
    <cfRule type="dataBar" priority="3">
      <dataBar>
        <cfvo type="min"/>
        <cfvo type="max"/>
        <color rgb="FF638EC6"/>
      </dataBar>
    </cfRule>
  </conditionalFormatting>
  <conditionalFormatting sqref="F23:F27">
    <cfRule type="dataBar" priority="4">
      <dataBar>
        <cfvo type="min"/>
        <cfvo type="max"/>
        <color rgb="FF638EC6"/>
      </dataBar>
    </cfRule>
  </conditionalFormatting>
  <pageMargins left="0.5" right="0.5" top="0.6" bottom="0.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58"/>
  <sheetViews>
    <sheetView tabSelected="1" workbookViewId="0">
      <selection activeCell="A23" sqref="A23:J23"/>
    </sheetView>
  </sheetViews>
  <sheetFormatPr defaultRowHeight="14.4" x14ac:dyDescent="0.3"/>
  <cols>
    <col min="1" max="1" width="17" customWidth="1"/>
    <col min="2" max="2" width="15" customWidth="1"/>
    <col min="3" max="3" width="10" customWidth="1"/>
    <col min="4" max="4" width="4.109375" customWidth="1"/>
    <col min="5" max="5" width="5.21875" customWidth="1"/>
    <col min="6" max="8" width="10" customWidth="1"/>
    <col min="9" max="9" width="9" customWidth="1"/>
    <col min="10" max="10" width="23.33203125" customWidth="1"/>
  </cols>
  <sheetData>
    <row r="1" spans="1:10" ht="22.05" customHeight="1" x14ac:dyDescent="0.4">
      <c r="A1" s="12" t="s">
        <v>363</v>
      </c>
      <c r="B1" s="11"/>
      <c r="C1" s="11"/>
      <c r="D1" s="11"/>
      <c r="E1" s="11"/>
      <c r="F1" s="11"/>
      <c r="G1" s="11"/>
      <c r="H1" s="11"/>
      <c r="I1" s="11"/>
      <c r="J1" s="11"/>
    </row>
    <row r="2" spans="1:10" ht="43.95" customHeight="1" x14ac:dyDescent="0.3">
      <c r="A2" s="10" t="s">
        <v>364</v>
      </c>
      <c r="B2" s="11"/>
      <c r="C2" s="11"/>
      <c r="D2" s="11"/>
      <c r="E2" s="11"/>
      <c r="F2" s="11"/>
      <c r="G2" s="11"/>
      <c r="H2" s="11"/>
      <c r="I2" s="11"/>
      <c r="J2" s="11"/>
    </row>
    <row r="3" spans="1:10" ht="15" thickBot="1" x14ac:dyDescent="0.35"/>
    <row r="4" spans="1:10" ht="18" customHeight="1" x14ac:dyDescent="0.3">
      <c r="A4" s="30" t="s">
        <v>326</v>
      </c>
      <c r="B4" s="31"/>
      <c r="C4" s="31"/>
      <c r="D4" s="31"/>
      <c r="E4" s="31"/>
      <c r="F4" s="31"/>
      <c r="G4" s="31"/>
      <c r="H4" s="31"/>
      <c r="I4" s="31"/>
      <c r="J4" s="32"/>
    </row>
    <row r="5" spans="1:10" ht="28.8" customHeight="1" x14ac:dyDescent="0.3">
      <c r="A5" s="33" t="s">
        <v>327</v>
      </c>
      <c r="B5" s="18" t="s">
        <v>159</v>
      </c>
      <c r="C5" s="18" t="s">
        <v>36</v>
      </c>
      <c r="D5" s="18" t="s">
        <v>37</v>
      </c>
      <c r="E5" s="18" t="s">
        <v>38</v>
      </c>
      <c r="F5" s="18" t="s">
        <v>154</v>
      </c>
      <c r="G5" s="28" t="s">
        <v>328</v>
      </c>
      <c r="H5" s="29"/>
      <c r="I5" s="29"/>
      <c r="J5" s="34"/>
    </row>
    <row r="6" spans="1:10" x14ac:dyDescent="0.3">
      <c r="A6" s="35" t="s">
        <v>329</v>
      </c>
      <c r="B6" s="16" t="s">
        <v>16</v>
      </c>
      <c r="C6" s="17">
        <v>161</v>
      </c>
      <c r="D6" s="17">
        <v>155</v>
      </c>
      <c r="E6" s="17">
        <v>6</v>
      </c>
      <c r="F6" s="20">
        <v>0.9627</v>
      </c>
      <c r="G6" s="5" t="s">
        <v>365</v>
      </c>
      <c r="H6" s="36"/>
      <c r="I6" s="36"/>
      <c r="J6" s="37"/>
    </row>
    <row r="7" spans="1:10" x14ac:dyDescent="0.3">
      <c r="A7" s="35" t="s">
        <v>329</v>
      </c>
      <c r="B7" s="16" t="s">
        <v>17</v>
      </c>
      <c r="C7" s="17">
        <v>79</v>
      </c>
      <c r="D7" s="17">
        <v>77</v>
      </c>
      <c r="E7" s="17">
        <v>2</v>
      </c>
      <c r="F7" s="20">
        <v>0.97470000000000001</v>
      </c>
      <c r="G7" s="5" t="s">
        <v>366</v>
      </c>
      <c r="H7" s="36"/>
      <c r="I7" s="36"/>
      <c r="J7" s="37"/>
    </row>
    <row r="8" spans="1:10" x14ac:dyDescent="0.3">
      <c r="A8" s="35" t="s">
        <v>347</v>
      </c>
      <c r="B8" s="16" t="s">
        <v>30</v>
      </c>
      <c r="C8" s="17">
        <v>113</v>
      </c>
      <c r="D8" s="17">
        <v>100</v>
      </c>
      <c r="E8" s="17">
        <v>13</v>
      </c>
      <c r="F8" s="20">
        <v>0.88500000000000001</v>
      </c>
      <c r="G8" s="5" t="s">
        <v>367</v>
      </c>
      <c r="H8" s="36"/>
      <c r="I8" s="36"/>
      <c r="J8" s="37"/>
    </row>
    <row r="9" spans="1:10" x14ac:dyDescent="0.3">
      <c r="A9" s="35" t="s">
        <v>368</v>
      </c>
      <c r="B9" s="16" t="s">
        <v>16</v>
      </c>
      <c r="C9" s="17">
        <v>1</v>
      </c>
      <c r="D9" s="17">
        <v>1</v>
      </c>
      <c r="E9" s="17">
        <v>0</v>
      </c>
      <c r="F9" s="20">
        <v>1</v>
      </c>
      <c r="G9" s="5" t="s">
        <v>25</v>
      </c>
      <c r="H9" s="36"/>
      <c r="I9" s="36"/>
      <c r="J9" s="37"/>
    </row>
    <row r="10" spans="1:10" ht="15" thickBot="1" x14ac:dyDescent="0.35">
      <c r="A10" s="38" t="s">
        <v>369</v>
      </c>
      <c r="B10" s="39" t="s">
        <v>167</v>
      </c>
      <c r="C10" s="40">
        <v>19</v>
      </c>
      <c r="D10" s="40">
        <v>6</v>
      </c>
      <c r="E10" s="40">
        <v>13</v>
      </c>
      <c r="F10" s="41">
        <v>0.31580000000000003</v>
      </c>
      <c r="G10" s="42" t="s">
        <v>370</v>
      </c>
      <c r="H10" s="43"/>
      <c r="I10" s="43"/>
      <c r="J10" s="44"/>
    </row>
    <row r="12" spans="1:10" ht="18" customHeight="1" x14ac:dyDescent="0.3">
      <c r="A12" s="9" t="s">
        <v>332</v>
      </c>
      <c r="B12" s="11"/>
      <c r="C12" s="11"/>
      <c r="D12" s="11"/>
      <c r="E12" s="11"/>
      <c r="F12" s="11"/>
      <c r="G12" s="11"/>
      <c r="H12" s="11"/>
      <c r="I12" s="11"/>
      <c r="J12" s="11"/>
    </row>
    <row r="13" spans="1:10" ht="16.05" customHeight="1" x14ac:dyDescent="0.3">
      <c r="A13" s="8" t="s">
        <v>371</v>
      </c>
      <c r="B13" s="11"/>
      <c r="C13" s="11"/>
      <c r="D13" s="11"/>
      <c r="E13" s="11"/>
      <c r="F13" s="11"/>
      <c r="G13" s="11"/>
      <c r="H13" s="11"/>
      <c r="I13" s="11"/>
      <c r="J13" s="11"/>
    </row>
    <row r="14" spans="1:10" x14ac:dyDescent="0.3">
      <c r="A14" s="18" t="s">
        <v>7</v>
      </c>
      <c r="B14" s="6" t="s">
        <v>334</v>
      </c>
      <c r="C14" s="11"/>
      <c r="D14" s="11"/>
      <c r="E14" s="11"/>
      <c r="F14" s="18" t="s">
        <v>90</v>
      </c>
      <c r="G14" s="18" t="s">
        <v>335</v>
      </c>
    </row>
    <row r="15" spans="1:10" x14ac:dyDescent="0.3">
      <c r="A15" s="17">
        <v>1</v>
      </c>
      <c r="B15" s="4" t="s">
        <v>336</v>
      </c>
      <c r="C15" s="11"/>
      <c r="D15" s="11"/>
      <c r="E15" s="11"/>
      <c r="F15" s="17">
        <v>3</v>
      </c>
      <c r="G15" s="20">
        <v>0.5</v>
      </c>
    </row>
    <row r="16" spans="1:10" x14ac:dyDescent="0.3">
      <c r="A16" s="17">
        <v>2</v>
      </c>
      <c r="B16" s="4" t="s">
        <v>350</v>
      </c>
      <c r="C16" s="11"/>
      <c r="D16" s="11"/>
      <c r="E16" s="11"/>
      <c r="F16" s="17">
        <v>2</v>
      </c>
      <c r="G16" s="20">
        <v>0.33329999999999999</v>
      </c>
    </row>
    <row r="17" spans="1:10" x14ac:dyDescent="0.3">
      <c r="A17" s="17">
        <v>3</v>
      </c>
      <c r="B17" s="4" t="s">
        <v>338</v>
      </c>
      <c r="C17" s="11"/>
      <c r="D17" s="11"/>
      <c r="E17" s="11"/>
      <c r="F17" s="17">
        <v>1</v>
      </c>
      <c r="G17" s="20">
        <v>0.16669999999999999</v>
      </c>
    </row>
    <row r="19" spans="1:10" ht="16.05" customHeight="1" x14ac:dyDescent="0.3">
      <c r="A19" s="8" t="s">
        <v>372</v>
      </c>
      <c r="B19" s="11"/>
      <c r="C19" s="11"/>
      <c r="D19" s="11"/>
      <c r="E19" s="11"/>
      <c r="F19" s="11"/>
      <c r="G19" s="11"/>
      <c r="H19" s="11"/>
      <c r="I19" s="11"/>
      <c r="J19" s="11"/>
    </row>
    <row r="20" spans="1:10" x14ac:dyDescent="0.3">
      <c r="A20" s="18" t="s">
        <v>7</v>
      </c>
      <c r="B20" s="6" t="s">
        <v>334</v>
      </c>
      <c r="C20" s="11"/>
      <c r="D20" s="11"/>
      <c r="E20" s="11"/>
      <c r="F20" s="18" t="s">
        <v>90</v>
      </c>
      <c r="G20" s="18" t="s">
        <v>335</v>
      </c>
    </row>
    <row r="21" spans="1:10" x14ac:dyDescent="0.3">
      <c r="A21" s="17">
        <v>1</v>
      </c>
      <c r="B21" s="4" t="s">
        <v>350</v>
      </c>
      <c r="C21" s="11"/>
      <c r="D21" s="11"/>
      <c r="E21" s="11"/>
      <c r="F21" s="17">
        <v>2</v>
      </c>
      <c r="G21" s="20">
        <v>1</v>
      </c>
    </row>
    <row r="23" spans="1:10" ht="16.05" customHeight="1" x14ac:dyDescent="0.3">
      <c r="A23" s="8" t="s">
        <v>373</v>
      </c>
      <c r="B23" s="11"/>
      <c r="C23" s="11"/>
      <c r="D23" s="11"/>
      <c r="E23" s="11"/>
      <c r="F23" s="11"/>
      <c r="G23" s="11"/>
      <c r="H23" s="11"/>
      <c r="I23" s="11"/>
      <c r="J23" s="11"/>
    </row>
    <row r="24" spans="1:10" x14ac:dyDescent="0.3">
      <c r="A24" s="18" t="s">
        <v>7</v>
      </c>
      <c r="B24" s="6" t="s">
        <v>334</v>
      </c>
      <c r="C24" s="11"/>
      <c r="D24" s="11"/>
      <c r="E24" s="11"/>
      <c r="F24" s="18" t="s">
        <v>90</v>
      </c>
      <c r="G24" s="18" t="s">
        <v>335</v>
      </c>
    </row>
    <row r="25" spans="1:10" x14ac:dyDescent="0.3">
      <c r="A25" s="17">
        <v>1</v>
      </c>
      <c r="B25" s="4" t="s">
        <v>351</v>
      </c>
      <c r="C25" s="11"/>
      <c r="D25" s="11"/>
      <c r="E25" s="11"/>
      <c r="F25" s="17">
        <v>6</v>
      </c>
      <c r="G25" s="20">
        <v>0.46150000000000002</v>
      </c>
    </row>
    <row r="26" spans="1:10" x14ac:dyDescent="0.3">
      <c r="A26" s="17">
        <v>2</v>
      </c>
      <c r="B26" s="4" t="s">
        <v>337</v>
      </c>
      <c r="C26" s="11"/>
      <c r="D26" s="11"/>
      <c r="E26" s="11"/>
      <c r="F26" s="17">
        <v>3</v>
      </c>
      <c r="G26" s="20">
        <v>0.23080000000000001</v>
      </c>
    </row>
    <row r="27" spans="1:10" x14ac:dyDescent="0.3">
      <c r="A27" s="17">
        <v>3</v>
      </c>
      <c r="B27" s="4" t="s">
        <v>361</v>
      </c>
      <c r="C27" s="11"/>
      <c r="D27" s="11"/>
      <c r="E27" s="11"/>
      <c r="F27" s="17">
        <v>3</v>
      </c>
      <c r="G27" s="20">
        <v>0.23080000000000001</v>
      </c>
    </row>
    <row r="28" spans="1:10" x14ac:dyDescent="0.3">
      <c r="A28" s="17">
        <v>4</v>
      </c>
      <c r="B28" s="4" t="s">
        <v>362</v>
      </c>
      <c r="C28" s="11"/>
      <c r="D28" s="11"/>
      <c r="E28" s="11"/>
      <c r="F28" s="17">
        <v>1</v>
      </c>
      <c r="G28" s="20">
        <v>7.6899999999999996E-2</v>
      </c>
    </row>
    <row r="30" spans="1:10" ht="16.05" customHeight="1" x14ac:dyDescent="0.3">
      <c r="A30" s="8" t="s">
        <v>374</v>
      </c>
      <c r="B30" s="11"/>
      <c r="C30" s="11"/>
      <c r="D30" s="11"/>
      <c r="E30" s="11"/>
      <c r="F30" s="11"/>
      <c r="G30" s="11"/>
      <c r="H30" s="11"/>
      <c r="I30" s="11"/>
      <c r="J30" s="11"/>
    </row>
    <row r="31" spans="1:10" ht="16.05" customHeight="1" x14ac:dyDescent="0.3">
      <c r="A31" s="8" t="s">
        <v>375</v>
      </c>
      <c r="B31" s="11"/>
      <c r="C31" s="11"/>
      <c r="D31" s="11"/>
      <c r="E31" s="11"/>
      <c r="F31" s="11"/>
      <c r="G31" s="11"/>
      <c r="H31" s="11"/>
      <c r="I31" s="11"/>
      <c r="J31" s="11"/>
    </row>
    <row r="32" spans="1:10" x14ac:dyDescent="0.3">
      <c r="A32" s="18" t="s">
        <v>7</v>
      </c>
      <c r="B32" s="6" t="s">
        <v>334</v>
      </c>
      <c r="C32" s="11"/>
      <c r="D32" s="11"/>
      <c r="E32" s="11"/>
      <c r="F32" s="18" t="s">
        <v>90</v>
      </c>
      <c r="G32" s="18" t="s">
        <v>335</v>
      </c>
    </row>
    <row r="33" spans="1:10" x14ac:dyDescent="0.3">
      <c r="A33" s="17">
        <v>1</v>
      </c>
      <c r="B33" s="4" t="s">
        <v>376</v>
      </c>
      <c r="C33" s="11"/>
      <c r="D33" s="11"/>
      <c r="E33" s="11"/>
      <c r="F33" s="17">
        <v>11</v>
      </c>
      <c r="G33" s="20">
        <v>0.84619999999999995</v>
      </c>
    </row>
    <row r="34" spans="1:10" x14ac:dyDescent="0.3">
      <c r="A34" s="17">
        <v>2</v>
      </c>
      <c r="B34" s="4" t="s">
        <v>377</v>
      </c>
      <c r="C34" s="11"/>
      <c r="D34" s="11"/>
      <c r="E34" s="11"/>
      <c r="F34" s="17">
        <v>2</v>
      </c>
      <c r="G34" s="20">
        <v>0.15379999999999999</v>
      </c>
    </row>
    <row r="36" spans="1:10" ht="18" customHeight="1" x14ac:dyDescent="0.3">
      <c r="A36" s="9" t="s">
        <v>340</v>
      </c>
      <c r="B36" s="11"/>
      <c r="C36" s="11"/>
      <c r="D36" s="11"/>
      <c r="E36" s="11"/>
      <c r="F36" s="11"/>
      <c r="G36" s="11"/>
      <c r="H36" s="11"/>
      <c r="I36" s="11"/>
      <c r="J36" s="11"/>
    </row>
    <row r="37" spans="1:10" ht="28.8" x14ac:dyDescent="0.3">
      <c r="A37" s="18" t="s">
        <v>34</v>
      </c>
      <c r="B37" s="18" t="s">
        <v>8</v>
      </c>
      <c r="C37" s="18" t="s">
        <v>341</v>
      </c>
      <c r="D37" s="18" t="s">
        <v>159</v>
      </c>
      <c r="E37" s="18" t="s">
        <v>35</v>
      </c>
      <c r="F37" s="18" t="s">
        <v>36</v>
      </c>
      <c r="G37" s="18" t="s">
        <v>37</v>
      </c>
      <c r="H37" s="18" t="s">
        <v>38</v>
      </c>
      <c r="I37" s="18" t="s">
        <v>342</v>
      </c>
      <c r="J37" s="18" t="s">
        <v>188</v>
      </c>
    </row>
    <row r="38" spans="1:10" ht="13.5" customHeight="1" x14ac:dyDescent="0.3">
      <c r="A38" s="16" t="s">
        <v>209</v>
      </c>
      <c r="B38" s="16" t="s">
        <v>11</v>
      </c>
      <c r="C38" s="16" t="s">
        <v>156</v>
      </c>
      <c r="D38" s="16" t="s">
        <v>17</v>
      </c>
      <c r="E38" s="16" t="s">
        <v>206</v>
      </c>
      <c r="F38" s="17">
        <v>10</v>
      </c>
      <c r="G38" s="17">
        <v>9</v>
      </c>
      <c r="H38" s="17">
        <v>1</v>
      </c>
      <c r="I38" s="20">
        <v>0.9</v>
      </c>
      <c r="J38" s="21" t="s">
        <v>210</v>
      </c>
    </row>
    <row r="39" spans="1:10" ht="13.5" customHeight="1" x14ac:dyDescent="0.3">
      <c r="A39" s="16" t="s">
        <v>209</v>
      </c>
      <c r="B39" s="16" t="s">
        <v>11</v>
      </c>
      <c r="C39" s="16" t="s">
        <v>156</v>
      </c>
      <c r="D39" s="16" t="s">
        <v>16</v>
      </c>
      <c r="E39" s="16" t="s">
        <v>208</v>
      </c>
      <c r="F39" s="17">
        <v>12</v>
      </c>
      <c r="G39" s="17">
        <v>11</v>
      </c>
      <c r="H39" s="17">
        <v>1</v>
      </c>
      <c r="I39" s="20">
        <v>0.91669999999999996</v>
      </c>
      <c r="J39" s="21" t="s">
        <v>50</v>
      </c>
    </row>
    <row r="40" spans="1:10" ht="13.5" customHeight="1" x14ac:dyDescent="0.3">
      <c r="A40" s="16" t="s">
        <v>211</v>
      </c>
      <c r="B40" s="16" t="s">
        <v>11</v>
      </c>
      <c r="C40" s="16" t="s">
        <v>156</v>
      </c>
      <c r="D40" s="16" t="s">
        <v>17</v>
      </c>
      <c r="E40" s="16" t="s">
        <v>212</v>
      </c>
      <c r="F40" s="17">
        <v>14</v>
      </c>
      <c r="G40" s="17">
        <v>14</v>
      </c>
      <c r="H40" s="17">
        <v>0</v>
      </c>
      <c r="I40" s="20">
        <v>1</v>
      </c>
      <c r="J40" s="21" t="s">
        <v>189</v>
      </c>
    </row>
    <row r="41" spans="1:10" ht="27" customHeight="1" x14ac:dyDescent="0.3">
      <c r="A41" s="16" t="s">
        <v>211</v>
      </c>
      <c r="B41" s="16" t="s">
        <v>88</v>
      </c>
      <c r="C41" s="16" t="s">
        <v>156</v>
      </c>
      <c r="D41" s="16" t="s">
        <v>30</v>
      </c>
      <c r="E41" s="16" t="s">
        <v>29</v>
      </c>
      <c r="F41" s="17">
        <v>34</v>
      </c>
      <c r="G41" s="17">
        <v>29</v>
      </c>
      <c r="H41" s="17">
        <v>5</v>
      </c>
      <c r="I41" s="20">
        <v>0.85289999999999999</v>
      </c>
      <c r="J41" s="21" t="s">
        <v>213</v>
      </c>
    </row>
    <row r="42" spans="1:10" ht="13.5" customHeight="1" x14ac:dyDescent="0.3">
      <c r="A42" s="16" t="s">
        <v>211</v>
      </c>
      <c r="B42" s="16" t="s">
        <v>11</v>
      </c>
      <c r="C42" s="16" t="s">
        <v>156</v>
      </c>
      <c r="D42" s="16" t="s">
        <v>16</v>
      </c>
      <c r="E42" s="16" t="s">
        <v>214</v>
      </c>
      <c r="F42" s="17">
        <v>38</v>
      </c>
      <c r="G42" s="17">
        <v>36</v>
      </c>
      <c r="H42" s="17">
        <v>2</v>
      </c>
      <c r="I42" s="20">
        <v>0.94740000000000002</v>
      </c>
      <c r="J42" s="21" t="s">
        <v>215</v>
      </c>
    </row>
    <row r="43" spans="1:10" ht="27" customHeight="1" x14ac:dyDescent="0.3">
      <c r="A43" s="16" t="s">
        <v>216</v>
      </c>
      <c r="B43" s="16" t="s">
        <v>88</v>
      </c>
      <c r="C43" s="16" t="s">
        <v>156</v>
      </c>
      <c r="D43" s="16" t="s">
        <v>30</v>
      </c>
      <c r="E43" s="16" t="s">
        <v>29</v>
      </c>
      <c r="F43" s="17">
        <v>24</v>
      </c>
      <c r="G43" s="17">
        <v>20</v>
      </c>
      <c r="H43" s="17">
        <v>4</v>
      </c>
      <c r="I43" s="20">
        <v>0.83330000000000004</v>
      </c>
      <c r="J43" s="21" t="s">
        <v>217</v>
      </c>
    </row>
    <row r="44" spans="1:10" ht="13.5" customHeight="1" x14ac:dyDescent="0.3">
      <c r="A44" s="16" t="s">
        <v>218</v>
      </c>
      <c r="B44" s="16" t="s">
        <v>11</v>
      </c>
      <c r="C44" s="16" t="s">
        <v>156</v>
      </c>
      <c r="D44" s="16" t="s">
        <v>17</v>
      </c>
      <c r="E44" s="16" t="s">
        <v>212</v>
      </c>
      <c r="F44" s="17">
        <v>30</v>
      </c>
      <c r="G44" s="17">
        <v>29</v>
      </c>
      <c r="H44" s="17">
        <v>1</v>
      </c>
      <c r="I44" s="20">
        <v>0.9667</v>
      </c>
      <c r="J44" s="21" t="s">
        <v>219</v>
      </c>
    </row>
    <row r="45" spans="1:10" ht="40.049999999999997" customHeight="1" x14ac:dyDescent="0.3">
      <c r="A45" s="16" t="s">
        <v>218</v>
      </c>
      <c r="B45" s="16" t="s">
        <v>11</v>
      </c>
      <c r="C45" s="16" t="s">
        <v>156</v>
      </c>
      <c r="D45" s="16" t="s">
        <v>16</v>
      </c>
      <c r="E45" s="16" t="s">
        <v>214</v>
      </c>
      <c r="F45" s="17">
        <v>65</v>
      </c>
      <c r="G45" s="17">
        <v>63</v>
      </c>
      <c r="H45" s="17">
        <v>2</v>
      </c>
      <c r="I45" s="20">
        <v>0.96919999999999995</v>
      </c>
      <c r="J45" s="21" t="s">
        <v>220</v>
      </c>
    </row>
    <row r="46" spans="1:10" ht="13.5" customHeight="1" x14ac:dyDescent="0.3">
      <c r="A46" s="16" t="s">
        <v>221</v>
      </c>
      <c r="B46" s="16" t="s">
        <v>11</v>
      </c>
      <c r="C46" s="16" t="s">
        <v>156</v>
      </c>
      <c r="D46" s="16" t="s">
        <v>17</v>
      </c>
      <c r="E46" s="16" t="s">
        <v>222</v>
      </c>
      <c r="F46" s="17">
        <v>25</v>
      </c>
      <c r="G46" s="17">
        <v>25</v>
      </c>
      <c r="H46" s="17">
        <v>0</v>
      </c>
      <c r="I46" s="20">
        <v>1</v>
      </c>
      <c r="J46" s="21" t="s">
        <v>189</v>
      </c>
    </row>
    <row r="47" spans="1:10" ht="27" customHeight="1" x14ac:dyDescent="0.3">
      <c r="A47" s="16" t="s">
        <v>221</v>
      </c>
      <c r="B47" s="16" t="s">
        <v>88</v>
      </c>
      <c r="C47" s="16" t="s">
        <v>156</v>
      </c>
      <c r="D47" s="16" t="s">
        <v>30</v>
      </c>
      <c r="E47" s="16" t="s">
        <v>29</v>
      </c>
      <c r="F47" s="17">
        <v>45</v>
      </c>
      <c r="G47" s="17">
        <v>42</v>
      </c>
      <c r="H47" s="17">
        <v>3</v>
      </c>
      <c r="I47" s="20">
        <v>0.93330000000000002</v>
      </c>
      <c r="J47" s="21" t="s">
        <v>223</v>
      </c>
    </row>
    <row r="48" spans="1:10" ht="13.5" customHeight="1" x14ac:dyDescent="0.3">
      <c r="A48" s="16" t="s">
        <v>221</v>
      </c>
      <c r="B48" s="16" t="s">
        <v>11</v>
      </c>
      <c r="C48" s="16" t="s">
        <v>156</v>
      </c>
      <c r="D48" s="16" t="s">
        <v>16</v>
      </c>
      <c r="E48" s="16" t="s">
        <v>224</v>
      </c>
      <c r="F48" s="17">
        <v>46</v>
      </c>
      <c r="G48" s="17">
        <v>45</v>
      </c>
      <c r="H48" s="17">
        <v>1</v>
      </c>
      <c r="I48" s="20">
        <v>0.97829999999999995</v>
      </c>
      <c r="J48" s="21" t="s">
        <v>225</v>
      </c>
    </row>
    <row r="49" spans="1:10" ht="40.049999999999997" customHeight="1" x14ac:dyDescent="0.3">
      <c r="A49" s="16" t="s">
        <v>226</v>
      </c>
      <c r="B49" s="16" t="s">
        <v>169</v>
      </c>
      <c r="C49" s="16" t="s">
        <v>157</v>
      </c>
      <c r="D49" s="16" t="s">
        <v>167</v>
      </c>
      <c r="E49" s="16" t="s">
        <v>230</v>
      </c>
      <c r="F49" s="17">
        <v>19</v>
      </c>
      <c r="G49" s="17">
        <v>6</v>
      </c>
      <c r="H49" s="17">
        <v>13</v>
      </c>
      <c r="I49" s="20">
        <v>0.31580000000000003</v>
      </c>
      <c r="J49" s="21" t="s">
        <v>231</v>
      </c>
    </row>
    <row r="50" spans="1:10" ht="13.5" customHeight="1" x14ac:dyDescent="0.3">
      <c r="A50" s="16" t="s">
        <v>226</v>
      </c>
      <c r="B50" s="16" t="s">
        <v>169</v>
      </c>
      <c r="C50" s="16" t="s">
        <v>156</v>
      </c>
      <c r="D50" s="16" t="s">
        <v>16</v>
      </c>
      <c r="E50" s="16" t="s">
        <v>230</v>
      </c>
      <c r="F50" s="17">
        <v>1</v>
      </c>
      <c r="G50" s="17">
        <v>1</v>
      </c>
      <c r="H50" s="17">
        <v>0</v>
      </c>
      <c r="I50" s="20">
        <v>1</v>
      </c>
      <c r="J50" s="21" t="s">
        <v>189</v>
      </c>
    </row>
    <row r="51" spans="1:10" ht="27" customHeight="1" x14ac:dyDescent="0.3">
      <c r="A51" s="16" t="s">
        <v>232</v>
      </c>
      <c r="B51" s="16" t="s">
        <v>88</v>
      </c>
      <c r="C51" s="16" t="s">
        <v>156</v>
      </c>
      <c r="D51" s="16" t="s">
        <v>30</v>
      </c>
      <c r="E51" s="16" t="s">
        <v>29</v>
      </c>
      <c r="F51" s="17">
        <v>10</v>
      </c>
      <c r="G51" s="17">
        <v>9</v>
      </c>
      <c r="H51" s="17">
        <v>1</v>
      </c>
      <c r="I51" s="20">
        <v>0.9</v>
      </c>
      <c r="J51" s="21" t="s">
        <v>233</v>
      </c>
    </row>
    <row r="53" ht="16.5" customHeight="1">
      <c r="A53" s="45" t="inlineStr">
        <is>
          <t>Key Takeaways</t>
        </is>
      </c>
      <c r="B53" s="45"/>
      <c r="C53" s="45"/>
      <c r="D53" s="45"/>
      <c r="E53" s="45"/>
      <c r="F53" s="45"/>
      <c r="G53" s="45"/>
      <c r="H53" s="45"/>
      <c r="I53" s="45"/>
      <c r="J53" s="45"/>
    </row>
    <row r="54" ht="27.0" customHeight="1">
      <c r="A54" s="46" t="inlineStr">
        <is>
          <t xml:space="preserve">➢ 666541 (Pelvic @ Martins): 96.3% FPY on 161 — recovered after June; scattered membrane/urethra singles (one 7/20 reject undocumented).</t>
        </is>
      </c>
      <c r="B54" s="46"/>
      <c r="C54" s="46"/>
      <c r="D54" s="46"/>
      <c r="E54" s="46"/>
      <c r="F54" s="46"/>
      <c r="G54" s="46"/>
      <c r="H54" s="46"/>
      <c r="I54" s="46"/>
      <c r="J54" s="46"/>
    </row>
    <row r="55" ht="15.0" customHeight="1">
      <c r="A55" s="46" t="inlineStr">
        <is>
          <t xml:space="preserve">➢ 666506 (Pelvic @ Martins): 97.5% FPY on 79 — two membrane fails; no concerns.</t>
        </is>
      </c>
      <c r="B55" s="46"/>
      <c r="C55" s="46"/>
      <c r="D55" s="46"/>
      <c r="E55" s="46"/>
      <c r="F55" s="46"/>
      <c r="G55" s="46"/>
      <c r="H55" s="46"/>
      <c r="I55" s="46"/>
      <c r="J55" s="46"/>
    </row>
    <row r="56" ht="27.0" customHeight="1">
      <c r="A56" s="46" t="inlineStr">
        <is>
          <t xml:space="preserve">➢ 666518 (Pelvic @ Parks): 88.5% FPY on 113 — improving: urethra/bladder cuts eliminated after the June push; short blocks (6, small-pig days) now the top issue.</t>
        </is>
      </c>
      <c r="B56" s="46"/>
      <c r="C56" s="46"/>
      <c r="D56" s="46"/>
      <c r="E56" s="46"/>
      <c r="F56" s="46"/>
      <c r="G56" s="46"/>
      <c r="H56" s="46"/>
      <c r="I56" s="46"/>
      <c r="J56" s="46"/>
    </row>
    <row r="57" ht="27.0" customHeight="1">
      <c r="A57" s="46" t="inlineStr">
        <is>
          <t xml:space="preserve">➢ 666521 (Thoracic @ Nahunta): first thoracic visit (7/29) at 31.6% FPY — 11 right-lung lacerations + 2 heart; damage attributed to the harvesting side.</t>
        </is>
      </c>
      <c r="B57" s="46"/>
      <c r="C57" s="46"/>
      <c r="D57" s="46"/>
      <c r="E57" s="46"/>
      <c r="F57" s="46"/>
      <c r="G57" s="46"/>
      <c r="H57" s="46"/>
      <c r="I57" s="46"/>
      <c r="J57" s="46"/>
    </row>
    <row r="58" ht="15.0" customHeight="1">
      <c r="A58" s="47" t="inlineStr">
        <is>
          <t xml:space="preserve">➢ 666541 (Pelvic @ Nahunta): single trial block passed (1/1).</t>
        </is>
      </c>
      <c r="B58" s="47"/>
      <c r="C58" s="47"/>
      <c r="D58" s="47"/>
      <c r="E58" s="47"/>
      <c r="F58" s="47"/>
      <c r="G58" s="47"/>
      <c r="H58" s="47"/>
      <c r="I58" s="47"/>
      <c r="J58" s="47"/>
    </row>
  </sheetData>
  <mergeCells count="36">
    <mergeCell ref="A31:J31"/>
    <mergeCell ref="B32:E32"/>
    <mergeCell ref="B33:E33"/>
    <mergeCell ref="B34:E34"/>
    <mergeCell ref="A36:J36"/>
    <mergeCell ref="B25:E25"/>
    <mergeCell ref="B26:E26"/>
    <mergeCell ref="B27:E27"/>
    <mergeCell ref="B28:E28"/>
    <mergeCell ref="A30:J30"/>
    <mergeCell ref="A19:J19"/>
    <mergeCell ref="B20:E20"/>
    <mergeCell ref="B21:E21"/>
    <mergeCell ref="A23:J23"/>
    <mergeCell ref="B24:E24"/>
    <mergeCell ref="A13:J13"/>
    <mergeCell ref="B14:E14"/>
    <mergeCell ref="B15:E15"/>
    <mergeCell ref="B16:E16"/>
    <mergeCell ref="B17:E17"/>
    <mergeCell ref="G7:J7"/>
    <mergeCell ref="G8:J8"/>
    <mergeCell ref="G9:J9"/>
    <mergeCell ref="G10:J10"/>
    <mergeCell ref="A12:J12"/>
    <mergeCell ref="A1:J1"/>
    <mergeCell ref="A2:J2"/>
    <mergeCell ref="A4:J4"/>
    <mergeCell ref="G5:J5"/>
    <mergeCell ref="G6:J6"/>
    <mergeCell ref="A53:J53"/>
    <mergeCell ref="A54:J54"/>
    <mergeCell ref="A55:J55"/>
    <mergeCell ref="A56:J56"/>
    <mergeCell ref="A57:J57"/>
    <mergeCell ref="A58:J58"/>
  </mergeCells>
  <conditionalFormatting sqref="F6: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1">
    <cfRule type="dataBar" priority="3">
      <dataBar>
        <cfvo type="min"/>
        <cfvo type="max"/>
        <color rgb="FF638EC6"/>
      </dataBar>
    </cfRule>
  </conditionalFormatting>
  <conditionalFormatting sqref="F25:F28">
    <cfRule type="dataBar" priority="4">
      <dataBar>
        <cfvo type="min"/>
        <cfvo type="max"/>
        <color rgb="FF638EC6"/>
      </dataBar>
    </cfRule>
  </conditionalFormatting>
  <conditionalFormatting sqref="F33:F34">
    <cfRule type="dataBar" priority="5">
      <dataBar>
        <cfvo type="min"/>
        <cfvo type="max"/>
        <color rgb="FF638EC6"/>
      </dataBar>
    </cfRule>
  </conditionalFormatting>
  <pageMargins left="0.5" right="0.5" top="0.6" bottom="0.6"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3"/>
  <sheetViews>
    <sheetView topLeftCell="A2" workbookViewId="0">
      <selection sqref="A1:J1"/>
    </sheetView>
  </sheetViews>
  <sheetFormatPr defaultRowHeight="14.4" x14ac:dyDescent="0.3"/>
  <cols>
    <col min="1" max="1" width="17" customWidth="1"/>
    <col min="2" max="2" width="15" customWidth="1"/>
    <col min="3" max="3" width="10" customWidth="1"/>
    <col min="4" max="4" width="9" customWidth="1"/>
    <col min="5" max="5" width="14" customWidth="1"/>
    <col min="6" max="8" width="10" customWidth="1"/>
    <col min="9" max="9" width="9" customWidth="1"/>
    <col min="10" max="10" width="52" customWidth="1"/>
  </cols>
  <sheetData>
    <row r="1" spans="1:10" ht="22.05" customHeight="1" x14ac:dyDescent="0.4">
      <c r="A1" s="12" t="s">
        <v>378</v>
      </c>
      <c r="B1" s="11"/>
      <c r="C1" s="11"/>
      <c r="D1" s="11"/>
      <c r="E1" s="11"/>
      <c r="F1" s="11"/>
      <c r="G1" s="11"/>
      <c r="H1" s="11"/>
      <c r="I1" s="11"/>
      <c r="J1" s="11"/>
    </row>
    <row r="2" spans="1:10" ht="43.95" customHeight="1" x14ac:dyDescent="0.3">
      <c r="A2" s="10" t="s">
        <v>379</v>
      </c>
      <c r="B2" s="11"/>
      <c r="C2" s="11"/>
      <c r="D2" s="11"/>
      <c r="E2" s="11"/>
      <c r="F2" s="11"/>
      <c r="G2" s="11"/>
      <c r="H2" s="11"/>
      <c r="I2" s="11"/>
      <c r="J2" s="11"/>
    </row>
    <row r="4" spans="1:10" ht="18" customHeight="1" x14ac:dyDescent="0.3">
      <c r="A4" s="9" t="s">
        <v>326</v>
      </c>
      <c r="B4" s="11"/>
      <c r="C4" s="11"/>
      <c r="D4" s="11"/>
      <c r="E4" s="11"/>
      <c r="F4" s="11"/>
      <c r="G4" s="11"/>
      <c r="H4" s="11"/>
      <c r="I4" s="11"/>
      <c r="J4" s="11"/>
    </row>
    <row r="5" spans="1:10" ht="28.8" x14ac:dyDescent="0.3">
      <c r="A5" s="18" t="s">
        <v>327</v>
      </c>
      <c r="B5" s="18" t="s">
        <v>159</v>
      </c>
      <c r="C5" s="18" t="s">
        <v>36</v>
      </c>
      <c r="D5" s="18" t="s">
        <v>37</v>
      </c>
      <c r="E5" s="18" t="s">
        <v>38</v>
      </c>
      <c r="F5" s="18" t="s">
        <v>154</v>
      </c>
      <c r="G5" s="6" t="s">
        <v>328</v>
      </c>
      <c r="H5" s="11"/>
      <c r="I5" s="11"/>
      <c r="J5" s="11"/>
    </row>
    <row r="6" spans="1:10" x14ac:dyDescent="0.3">
      <c r="A6" s="16" t="s">
        <v>329</v>
      </c>
      <c r="B6" s="16" t="s">
        <v>16</v>
      </c>
      <c r="C6" s="17">
        <v>137</v>
      </c>
      <c r="D6" s="17">
        <v>132</v>
      </c>
      <c r="E6" s="17">
        <v>5</v>
      </c>
      <c r="F6" s="20">
        <v>0.96350000000000002</v>
      </c>
      <c r="G6" s="5" t="s">
        <v>330</v>
      </c>
      <c r="H6" s="11"/>
      <c r="I6" s="11"/>
      <c r="J6" s="11"/>
    </row>
    <row r="7" spans="1:10" x14ac:dyDescent="0.3">
      <c r="A7" s="16" t="s">
        <v>329</v>
      </c>
      <c r="B7" s="16" t="s">
        <v>17</v>
      </c>
      <c r="C7" s="17">
        <v>13</v>
      </c>
      <c r="D7" s="17">
        <v>13</v>
      </c>
      <c r="E7" s="17">
        <v>0</v>
      </c>
      <c r="F7" s="20">
        <v>1</v>
      </c>
      <c r="G7" s="5" t="s">
        <v>25</v>
      </c>
      <c r="H7" s="11"/>
      <c r="I7" s="11"/>
      <c r="J7" s="11"/>
    </row>
    <row r="8" spans="1:10" x14ac:dyDescent="0.3">
      <c r="A8" s="16" t="s">
        <v>347</v>
      </c>
      <c r="B8" s="16" t="s">
        <v>16</v>
      </c>
      <c r="C8" s="17">
        <v>33</v>
      </c>
      <c r="D8" s="17">
        <v>32</v>
      </c>
      <c r="E8" s="17">
        <v>1</v>
      </c>
      <c r="F8" s="20">
        <v>0.96970000000000001</v>
      </c>
      <c r="G8" s="5" t="s">
        <v>380</v>
      </c>
      <c r="H8" s="11"/>
      <c r="I8" s="11"/>
      <c r="J8" s="11"/>
    </row>
    <row r="9" spans="1:10" x14ac:dyDescent="0.3">
      <c r="A9" s="16" t="s">
        <v>368</v>
      </c>
      <c r="B9" s="16" t="s">
        <v>16</v>
      </c>
      <c r="C9" s="17">
        <v>13</v>
      </c>
      <c r="D9" s="17">
        <v>1</v>
      </c>
      <c r="E9" s="17">
        <v>12</v>
      </c>
      <c r="F9" s="20">
        <v>7.6899999999999996E-2</v>
      </c>
      <c r="G9" s="5" t="s">
        <v>381</v>
      </c>
      <c r="H9" s="11"/>
      <c r="I9" s="11"/>
      <c r="J9" s="11"/>
    </row>
    <row r="10" spans="1:10" x14ac:dyDescent="0.3">
      <c r="A10" s="16" t="s">
        <v>369</v>
      </c>
      <c r="B10" s="16" t="s">
        <v>167</v>
      </c>
      <c r="C10" s="17">
        <v>57</v>
      </c>
      <c r="D10" s="17">
        <v>8</v>
      </c>
      <c r="E10" s="17">
        <v>49</v>
      </c>
      <c r="F10" s="20">
        <v>0.1404</v>
      </c>
      <c r="G10" s="5" t="s">
        <v>382</v>
      </c>
      <c r="H10" s="11"/>
      <c r="I10" s="11"/>
      <c r="J10" s="11"/>
    </row>
    <row r="12" spans="1:10" ht="18" customHeight="1" x14ac:dyDescent="0.3">
      <c r="A12" s="9" t="s">
        <v>332</v>
      </c>
      <c r="B12" s="11"/>
      <c r="C12" s="11"/>
      <c r="D12" s="11"/>
      <c r="E12" s="11"/>
      <c r="F12" s="11"/>
      <c r="G12" s="11"/>
      <c r="H12" s="11"/>
      <c r="I12" s="11"/>
      <c r="J12" s="11"/>
    </row>
    <row r="13" spans="1:10" ht="16.05" customHeight="1" x14ac:dyDescent="0.3">
      <c r="A13" s="8" t="s">
        <v>383</v>
      </c>
      <c r="B13" s="11"/>
      <c r="C13" s="11"/>
      <c r="D13" s="11"/>
      <c r="E13" s="11"/>
      <c r="F13" s="11"/>
      <c r="G13" s="11"/>
      <c r="H13" s="11"/>
      <c r="I13" s="11"/>
      <c r="J13" s="11"/>
    </row>
    <row r="14" spans="1:10" x14ac:dyDescent="0.3">
      <c r="A14" s="18" t="s">
        <v>7</v>
      </c>
      <c r="B14" s="6" t="s">
        <v>334</v>
      </c>
      <c r="C14" s="11"/>
      <c r="D14" s="11"/>
      <c r="E14" s="11"/>
      <c r="F14" s="18" t="s">
        <v>90</v>
      </c>
      <c r="G14" s="18" t="s">
        <v>335</v>
      </c>
    </row>
    <row r="15" spans="1:10" x14ac:dyDescent="0.3">
      <c r="A15" s="17">
        <v>1</v>
      </c>
      <c r="B15" s="4" t="s">
        <v>336</v>
      </c>
      <c r="C15" s="11"/>
      <c r="D15" s="11"/>
      <c r="E15" s="11"/>
      <c r="F15" s="17">
        <v>2</v>
      </c>
      <c r="G15" s="20">
        <v>0.4</v>
      </c>
    </row>
    <row r="16" spans="1:10" x14ac:dyDescent="0.3">
      <c r="A16" s="17">
        <v>2</v>
      </c>
      <c r="B16" s="4" t="s">
        <v>337</v>
      </c>
      <c r="C16" s="11"/>
      <c r="D16" s="11"/>
      <c r="E16" s="11"/>
      <c r="F16" s="17">
        <v>2</v>
      </c>
      <c r="G16" s="20">
        <v>0.4</v>
      </c>
    </row>
    <row r="17" spans="1:10" x14ac:dyDescent="0.3">
      <c r="A17" s="17">
        <v>3</v>
      </c>
      <c r="B17" s="4" t="s">
        <v>350</v>
      </c>
      <c r="C17" s="11"/>
      <c r="D17" s="11"/>
      <c r="E17" s="11"/>
      <c r="F17" s="17">
        <v>1</v>
      </c>
      <c r="G17" s="20">
        <v>0.2</v>
      </c>
    </row>
    <row r="19" spans="1:10" ht="16.05" customHeight="1" x14ac:dyDescent="0.3">
      <c r="A19" s="8" t="s">
        <v>384</v>
      </c>
      <c r="B19" s="11"/>
      <c r="C19" s="11"/>
      <c r="D19" s="11"/>
      <c r="E19" s="11"/>
      <c r="F19" s="11"/>
      <c r="G19" s="11"/>
      <c r="H19" s="11"/>
      <c r="I19" s="11"/>
      <c r="J19" s="11"/>
    </row>
    <row r="20" spans="1:10" ht="16.05" customHeight="1" x14ac:dyDescent="0.3">
      <c r="A20" s="8" t="s">
        <v>385</v>
      </c>
      <c r="B20" s="11"/>
      <c r="C20" s="11"/>
      <c r="D20" s="11"/>
      <c r="E20" s="11"/>
      <c r="F20" s="11"/>
      <c r="G20" s="11"/>
      <c r="H20" s="11"/>
      <c r="I20" s="11"/>
      <c r="J20" s="11"/>
    </row>
    <row r="21" spans="1:10" x14ac:dyDescent="0.3">
      <c r="A21" s="18" t="s">
        <v>7</v>
      </c>
      <c r="B21" s="6" t="s">
        <v>334</v>
      </c>
      <c r="C21" s="11"/>
      <c r="D21" s="11"/>
      <c r="E21" s="11"/>
      <c r="F21" s="18" t="s">
        <v>90</v>
      </c>
      <c r="G21" s="18" t="s">
        <v>335</v>
      </c>
    </row>
    <row r="22" spans="1:10" x14ac:dyDescent="0.3">
      <c r="A22" s="17">
        <v>1</v>
      </c>
      <c r="B22" s="4" t="s">
        <v>337</v>
      </c>
      <c r="C22" s="11"/>
      <c r="D22" s="11"/>
      <c r="E22" s="11"/>
      <c r="F22" s="17">
        <v>1</v>
      </c>
      <c r="G22" s="20">
        <v>1</v>
      </c>
    </row>
    <row r="24" spans="1:10" ht="16.05" customHeight="1" x14ac:dyDescent="0.3">
      <c r="A24" s="8" t="s">
        <v>386</v>
      </c>
      <c r="B24" s="11"/>
      <c r="C24" s="11"/>
      <c r="D24" s="11"/>
      <c r="E24" s="11"/>
      <c r="F24" s="11"/>
      <c r="G24" s="11"/>
      <c r="H24" s="11"/>
      <c r="I24" s="11"/>
      <c r="J24" s="11"/>
    </row>
    <row r="25" spans="1:10" x14ac:dyDescent="0.3">
      <c r="A25" s="18" t="s">
        <v>7</v>
      </c>
      <c r="B25" s="6" t="s">
        <v>334</v>
      </c>
      <c r="C25" s="11"/>
      <c r="D25" s="11"/>
      <c r="E25" s="11"/>
      <c r="F25" s="18" t="s">
        <v>90</v>
      </c>
      <c r="G25" s="18" t="s">
        <v>335</v>
      </c>
    </row>
    <row r="26" spans="1:10" x14ac:dyDescent="0.3">
      <c r="A26" s="17">
        <v>1</v>
      </c>
      <c r="B26" s="4" t="s">
        <v>387</v>
      </c>
      <c r="C26" s="11"/>
      <c r="D26" s="11"/>
      <c r="E26" s="11"/>
      <c r="F26" s="17">
        <v>12</v>
      </c>
      <c r="G26" s="20">
        <v>1</v>
      </c>
    </row>
    <row r="28" spans="1:10" ht="16.05" customHeight="1" x14ac:dyDescent="0.3">
      <c r="A28" s="8" t="s">
        <v>388</v>
      </c>
      <c r="B28" s="11"/>
      <c r="C28" s="11"/>
      <c r="D28" s="11"/>
      <c r="E28" s="11"/>
      <c r="F28" s="11"/>
      <c r="G28" s="11"/>
      <c r="H28" s="11"/>
      <c r="I28" s="11"/>
      <c r="J28" s="11"/>
    </row>
    <row r="29" spans="1:10" x14ac:dyDescent="0.3">
      <c r="A29" s="18" t="s">
        <v>7</v>
      </c>
      <c r="B29" s="6" t="s">
        <v>334</v>
      </c>
      <c r="C29" s="11"/>
      <c r="D29" s="11"/>
      <c r="E29" s="11"/>
      <c r="F29" s="18" t="s">
        <v>90</v>
      </c>
      <c r="G29" s="18" t="s">
        <v>335</v>
      </c>
    </row>
    <row r="30" spans="1:10" x14ac:dyDescent="0.3">
      <c r="A30" s="17">
        <v>1</v>
      </c>
      <c r="B30" s="4" t="s">
        <v>376</v>
      </c>
      <c r="C30" s="11"/>
      <c r="D30" s="11"/>
      <c r="E30" s="11"/>
      <c r="F30" s="17">
        <v>31</v>
      </c>
      <c r="G30" s="20">
        <v>0.63270000000000004</v>
      </c>
    </row>
    <row r="31" spans="1:10" x14ac:dyDescent="0.3">
      <c r="A31" s="17">
        <v>2</v>
      </c>
      <c r="B31" s="4" t="s">
        <v>377</v>
      </c>
      <c r="C31" s="11"/>
      <c r="D31" s="11"/>
      <c r="E31" s="11"/>
      <c r="F31" s="17">
        <v>19</v>
      </c>
      <c r="G31" s="20">
        <v>0.38779999999999998</v>
      </c>
    </row>
    <row r="33" spans="1:10" ht="18" customHeight="1" x14ac:dyDescent="0.3">
      <c r="A33" s="9" t="s">
        <v>340</v>
      </c>
      <c r="B33" s="11"/>
      <c r="C33" s="11"/>
      <c r="D33" s="11"/>
      <c r="E33" s="11"/>
      <c r="F33" s="11"/>
      <c r="G33" s="11"/>
      <c r="H33" s="11"/>
      <c r="I33" s="11"/>
      <c r="J33" s="11"/>
    </row>
    <row r="34" spans="1:10" ht="28.8" x14ac:dyDescent="0.3">
      <c r="A34" s="18" t="s">
        <v>34</v>
      </c>
      <c r="B34" s="18" t="s">
        <v>8</v>
      </c>
      <c r="C34" s="18" t="s">
        <v>341</v>
      </c>
      <c r="D34" s="18" t="s">
        <v>159</v>
      </c>
      <c r="E34" s="18" t="s">
        <v>35</v>
      </c>
      <c r="F34" s="18" t="s">
        <v>36</v>
      </c>
      <c r="G34" s="18" t="s">
        <v>37</v>
      </c>
      <c r="H34" s="18" t="s">
        <v>38</v>
      </c>
      <c r="I34" s="18" t="s">
        <v>342</v>
      </c>
      <c r="J34" s="18" t="s">
        <v>188</v>
      </c>
    </row>
    <row r="35" spans="1:10" ht="13.5" customHeight="1" x14ac:dyDescent="0.3">
      <c r="A35" s="16" t="s">
        <v>234</v>
      </c>
      <c r="B35" s="16" t="s">
        <v>11</v>
      </c>
      <c r="C35" s="16" t="s">
        <v>156</v>
      </c>
      <c r="D35" s="16" t="s">
        <v>16</v>
      </c>
      <c r="E35" s="16" t="s">
        <v>224</v>
      </c>
      <c r="F35" s="17">
        <v>44</v>
      </c>
      <c r="G35" s="17">
        <v>44</v>
      </c>
      <c r="H35" s="17">
        <v>0</v>
      </c>
      <c r="I35" s="20">
        <v>1</v>
      </c>
      <c r="J35" s="21" t="s">
        <v>189</v>
      </c>
    </row>
    <row r="36" spans="1:10" ht="40.049999999999997" customHeight="1" x14ac:dyDescent="0.3">
      <c r="A36" s="16" t="s">
        <v>235</v>
      </c>
      <c r="B36" s="16" t="s">
        <v>169</v>
      </c>
      <c r="C36" s="16" t="s">
        <v>157</v>
      </c>
      <c r="D36" s="16" t="s">
        <v>167</v>
      </c>
      <c r="E36" s="16" t="s">
        <v>230</v>
      </c>
      <c r="F36" s="17">
        <v>15</v>
      </c>
      <c r="G36" s="17">
        <v>0</v>
      </c>
      <c r="H36" s="17">
        <v>15</v>
      </c>
      <c r="I36" s="20">
        <v>0</v>
      </c>
      <c r="J36" s="21" t="s">
        <v>236</v>
      </c>
    </row>
    <row r="37" spans="1:10" ht="13.5" customHeight="1" x14ac:dyDescent="0.3">
      <c r="A37" s="16" t="s">
        <v>235</v>
      </c>
      <c r="B37" s="16" t="s">
        <v>11</v>
      </c>
      <c r="C37" s="16" t="s">
        <v>156</v>
      </c>
      <c r="D37" s="16" t="s">
        <v>16</v>
      </c>
      <c r="E37" s="16" t="s">
        <v>224</v>
      </c>
      <c r="F37" s="17">
        <v>35</v>
      </c>
      <c r="G37" s="17">
        <v>33</v>
      </c>
      <c r="H37" s="17">
        <v>2</v>
      </c>
      <c r="I37" s="20">
        <v>0.94289999999999996</v>
      </c>
      <c r="J37" s="21" t="s">
        <v>237</v>
      </c>
    </row>
    <row r="38" spans="1:10" ht="13.5" customHeight="1" x14ac:dyDescent="0.3">
      <c r="A38" s="16" t="s">
        <v>238</v>
      </c>
      <c r="B38" s="16" t="s">
        <v>11</v>
      </c>
      <c r="C38" s="16" t="s">
        <v>156</v>
      </c>
      <c r="D38" s="16" t="s">
        <v>17</v>
      </c>
      <c r="E38" s="16" t="s">
        <v>239</v>
      </c>
      <c r="F38" s="17">
        <v>8</v>
      </c>
      <c r="G38" s="17">
        <v>8</v>
      </c>
      <c r="H38" s="17">
        <v>0</v>
      </c>
      <c r="I38" s="20">
        <v>1</v>
      </c>
      <c r="J38" s="21" t="s">
        <v>189</v>
      </c>
    </row>
    <row r="39" spans="1:10" ht="13.5" customHeight="1" x14ac:dyDescent="0.3">
      <c r="A39" s="16" t="s">
        <v>238</v>
      </c>
      <c r="B39" s="16" t="s">
        <v>11</v>
      </c>
      <c r="C39" s="16" t="s">
        <v>156</v>
      </c>
      <c r="D39" s="16" t="s">
        <v>16</v>
      </c>
      <c r="E39" s="16" t="s">
        <v>240</v>
      </c>
      <c r="F39" s="17">
        <v>43</v>
      </c>
      <c r="G39" s="17">
        <v>41</v>
      </c>
      <c r="H39" s="17">
        <v>2</v>
      </c>
      <c r="I39" s="20">
        <v>0.95350000000000001</v>
      </c>
      <c r="J39" s="21" t="s">
        <v>241</v>
      </c>
    </row>
    <row r="40" spans="1:10" ht="13.5" customHeight="1" x14ac:dyDescent="0.3">
      <c r="A40" s="16" t="s">
        <v>238</v>
      </c>
      <c r="B40" s="16" t="s">
        <v>88</v>
      </c>
      <c r="C40" s="16" t="s">
        <v>156</v>
      </c>
      <c r="D40" s="16" t="s">
        <v>16</v>
      </c>
      <c r="E40" s="16" t="s">
        <v>29</v>
      </c>
      <c r="F40" s="17">
        <v>10</v>
      </c>
      <c r="G40" s="17">
        <v>10</v>
      </c>
      <c r="H40" s="17">
        <v>0</v>
      </c>
      <c r="I40" s="20">
        <v>1</v>
      </c>
      <c r="J40" s="21" t="s">
        <v>242</v>
      </c>
    </row>
    <row r="41" spans="1:10" ht="40.049999999999997" customHeight="1" x14ac:dyDescent="0.3">
      <c r="A41" s="16" t="s">
        <v>243</v>
      </c>
      <c r="B41" s="16" t="s">
        <v>169</v>
      </c>
      <c r="C41" s="16" t="s">
        <v>157</v>
      </c>
      <c r="D41" s="16" t="s">
        <v>167</v>
      </c>
      <c r="E41" s="16" t="s">
        <v>244</v>
      </c>
      <c r="F41" s="17">
        <v>13</v>
      </c>
      <c r="G41" s="17">
        <v>2</v>
      </c>
      <c r="H41" s="17">
        <v>11</v>
      </c>
      <c r="I41" s="20">
        <v>0.15379999999999999</v>
      </c>
      <c r="J41" s="21" t="s">
        <v>245</v>
      </c>
    </row>
    <row r="42" spans="1:10" ht="27" customHeight="1" x14ac:dyDescent="0.3">
      <c r="A42" s="16" t="s">
        <v>243</v>
      </c>
      <c r="B42" s="16" t="s">
        <v>169</v>
      </c>
      <c r="C42" s="16" t="s">
        <v>156</v>
      </c>
      <c r="D42" s="16" t="s">
        <v>16</v>
      </c>
      <c r="E42" s="16" t="s">
        <v>244</v>
      </c>
      <c r="F42" s="17">
        <v>13</v>
      </c>
      <c r="G42" s="17">
        <v>1</v>
      </c>
      <c r="H42" s="17">
        <v>12</v>
      </c>
      <c r="I42" s="20">
        <v>7.6899999999999996E-2</v>
      </c>
      <c r="J42" s="21" t="s">
        <v>246</v>
      </c>
    </row>
    <row r="43" spans="1:10" ht="13.5" customHeight="1" x14ac:dyDescent="0.3">
      <c r="A43" s="16" t="s">
        <v>247</v>
      </c>
      <c r="B43" s="16" t="s">
        <v>88</v>
      </c>
      <c r="C43" s="16" t="s">
        <v>156</v>
      </c>
      <c r="D43" s="16" t="s">
        <v>16</v>
      </c>
      <c r="E43" s="16" t="s">
        <v>29</v>
      </c>
      <c r="F43" s="17">
        <v>23</v>
      </c>
      <c r="G43" s="17">
        <v>22</v>
      </c>
      <c r="H43" s="17">
        <v>1</v>
      </c>
      <c r="I43" s="20">
        <v>0.95650000000000002</v>
      </c>
      <c r="J43" s="21" t="s">
        <v>248</v>
      </c>
    </row>
    <row r="44" spans="1:10" ht="13.5" customHeight="1" x14ac:dyDescent="0.3">
      <c r="A44" s="16" t="s">
        <v>249</v>
      </c>
      <c r="B44" s="16" t="s">
        <v>11</v>
      </c>
      <c r="C44" s="16" t="s">
        <v>156</v>
      </c>
      <c r="D44" s="16" t="s">
        <v>17</v>
      </c>
      <c r="E44" s="16" t="s">
        <v>239</v>
      </c>
      <c r="F44" s="17">
        <v>5</v>
      </c>
      <c r="G44" s="17">
        <v>5</v>
      </c>
      <c r="H44" s="17">
        <v>0</v>
      </c>
      <c r="I44" s="20">
        <v>1</v>
      </c>
      <c r="J44" s="21" t="s">
        <v>189</v>
      </c>
    </row>
    <row r="45" spans="1:10" ht="13.5" customHeight="1" x14ac:dyDescent="0.3">
      <c r="A45" s="16" t="s">
        <v>249</v>
      </c>
      <c r="B45" s="16" t="s">
        <v>11</v>
      </c>
      <c r="C45" s="16" t="s">
        <v>156</v>
      </c>
      <c r="D45" s="16" t="s">
        <v>16</v>
      </c>
      <c r="E45" s="16" t="s">
        <v>240</v>
      </c>
      <c r="F45" s="17">
        <v>15</v>
      </c>
      <c r="G45" s="17">
        <v>14</v>
      </c>
      <c r="H45" s="17">
        <v>1</v>
      </c>
      <c r="I45" s="20">
        <v>0.93330000000000002</v>
      </c>
      <c r="J45" s="21" t="s">
        <v>250</v>
      </c>
    </row>
    <row r="46" spans="1:10" ht="40.049999999999997" customHeight="1" x14ac:dyDescent="0.3">
      <c r="A46" s="16" t="s">
        <v>251</v>
      </c>
      <c r="B46" s="16" t="s">
        <v>169</v>
      </c>
      <c r="C46" s="16" t="s">
        <v>157</v>
      </c>
      <c r="D46" s="16" t="s">
        <v>167</v>
      </c>
      <c r="E46" s="16" t="s">
        <v>244</v>
      </c>
      <c r="F46" s="17">
        <v>29</v>
      </c>
      <c r="G46" s="17">
        <v>6</v>
      </c>
      <c r="H46" s="17">
        <v>23</v>
      </c>
      <c r="I46" s="20">
        <v>0.2069</v>
      </c>
      <c r="J46" s="21" t="s">
        <v>252</v>
      </c>
    </row>
    <row r="48" ht="16.5" customHeight="1">
      <c r="A48" s="45" t="inlineStr">
        <is>
          <t>Key Takeaways</t>
        </is>
      </c>
      <c r="B48" s="45"/>
      <c r="C48" s="45"/>
      <c r="D48" s="45"/>
      <c r="E48" s="45"/>
      <c r="F48" s="45"/>
      <c r="G48" s="45"/>
      <c r="H48" s="45"/>
      <c r="I48" s="45"/>
      <c r="J48" s="45"/>
    </row>
    <row r="49" ht="15.0" customHeight="1">
      <c r="A49" s="46" t="inlineStr">
        <is>
          <t xml:space="preserve">➢ 666541 (Pelvic @ Martins): 96.4% FPY on 137 — clean month; scattered singles only (bowel, urethra, membrane).</t>
        </is>
      </c>
      <c r="B49" s="46"/>
      <c r="C49" s="46"/>
      <c r="D49" s="46"/>
      <c r="E49" s="46"/>
      <c r="F49" s="46"/>
      <c r="G49" s="46"/>
      <c r="H49" s="46"/>
      <c r="I49" s="46"/>
      <c r="J49" s="46"/>
    </row>
    <row r="50" ht="15.0" customHeight="1">
      <c r="A50" s="46" t="inlineStr">
        <is>
          <t xml:space="preserve">➢ 666506 (Pelvic @ Martins): 100% FPY on 13 — no failures.</t>
        </is>
      </c>
      <c r="B50" s="46"/>
      <c r="C50" s="46"/>
      <c r="D50" s="46"/>
      <c r="E50" s="46"/>
      <c r="F50" s="46"/>
      <c r="G50" s="46"/>
      <c r="H50" s="46"/>
      <c r="I50" s="46"/>
      <c r="J50" s="46"/>
    </row>
    <row r="51" ht="15.0" customHeight="1">
      <c r="A51" s="46" t="inlineStr">
        <is>
          <t xml:space="preserve">➢ 666541 (Pelvic @ Parks): 97.0% FPY on 33 — strong start on the new spec after the 518 → 541 transition (8/10).</t>
        </is>
      </c>
      <c r="B51" s="46"/>
      <c r="C51" s="46"/>
      <c r="D51" s="46"/>
      <c r="E51" s="46"/>
      <c r="F51" s="46"/>
      <c r="G51" s="46"/>
      <c r="H51" s="46"/>
      <c r="I51" s="46"/>
      <c r="J51" s="46"/>
    </row>
    <row r="52" ht="27.0" customHeight="1">
      <c r="A52" s="46" t="inlineStr">
        <is>
          <t xml:space="preserve">➢ 666521 (Thoracic @ Nahunta): 14.0% FPY on 57 across 3 visits — worsening: 31 lung lacerations and heart damage surging 2 → 19; escalated with Ricardo.</t>
        </is>
      </c>
      <c r="B52" s="46"/>
      <c r="C52" s="46"/>
      <c r="D52" s="46"/>
      <c r="E52" s="46"/>
      <c r="F52" s="46"/>
      <c r="G52" s="46"/>
      <c r="H52" s="46"/>
      <c r="I52" s="46"/>
      <c r="J52" s="46"/>
    </row>
    <row r="53" ht="27.0" customHeight="1">
      <c r="A53" s="47" t="inlineStr">
        <is>
          <t xml:space="preserve">➢ 666541 (Pelvic @ Nahunta): 8/12 line (13/1/12) is provisional — no defect breakdown recorded (pelvics deprioritized on the line); confirm.</t>
        </is>
      </c>
      <c r="B53" s="47"/>
      <c r="C53" s="47"/>
      <c r="D53" s="47"/>
      <c r="E53" s="47"/>
      <c r="F53" s="47"/>
      <c r="G53" s="47"/>
      <c r="H53" s="47"/>
      <c r="I53" s="47"/>
      <c r="J53" s="47"/>
    </row>
  </sheetData>
  <mergeCells count="33">
    <mergeCell ref="B31:E31"/>
    <mergeCell ref="A33:J33"/>
    <mergeCell ref="B25:E25"/>
    <mergeCell ref="B26:E26"/>
    <mergeCell ref="A28:J28"/>
    <mergeCell ref="B29:E29"/>
    <mergeCell ref="B30:E30"/>
    <mergeCell ref="A19:J19"/>
    <mergeCell ref="A20:J20"/>
    <mergeCell ref="B21:E21"/>
    <mergeCell ref="B22:E22"/>
    <mergeCell ref="A24:J24"/>
    <mergeCell ref="A13:J13"/>
    <mergeCell ref="B14:E14"/>
    <mergeCell ref="B15:E15"/>
    <mergeCell ref="B16:E16"/>
    <mergeCell ref="B17:E17"/>
    <mergeCell ref="G7:J7"/>
    <mergeCell ref="G8:J8"/>
    <mergeCell ref="G9:J9"/>
    <mergeCell ref="G10:J10"/>
    <mergeCell ref="A12:J12"/>
    <mergeCell ref="A1:J1"/>
    <mergeCell ref="A2:J2"/>
    <mergeCell ref="A4:J4"/>
    <mergeCell ref="G5:J5"/>
    <mergeCell ref="G6:J6"/>
    <mergeCell ref="A48:J48"/>
    <mergeCell ref="A49:J49"/>
    <mergeCell ref="A50:J50"/>
    <mergeCell ref="A51:J51"/>
    <mergeCell ref="A52:J52"/>
    <mergeCell ref="A53:J53"/>
  </mergeCells>
  <conditionalFormatting sqref="F6:F10">
    <cfRule type="colorScale" priority="1">
      <colorScale>
        <cfvo type="num" val="0.3"/>
        <cfvo type="num" val="0.8"/>
        <cfvo type="num" val="1"/>
        <color rgb="FFF8696B"/>
        <color rgb="FFFFEB84"/>
        <color rgb="FF63BE7B"/>
      </colorScale>
    </cfRule>
  </conditionalFormatting>
  <conditionalFormatting sqref="F15:F17">
    <cfRule type="dataBar" priority="2">
      <dataBar>
        <cfvo type="min"/>
        <cfvo type="max"/>
        <color rgb="FF638EC6"/>
      </dataBar>
    </cfRule>
  </conditionalFormatting>
  <conditionalFormatting sqref="F22">
    <cfRule type="dataBar" priority="3">
      <dataBar>
        <cfvo type="min"/>
        <cfvo type="max"/>
        <color rgb="FF638EC6"/>
      </dataBar>
    </cfRule>
  </conditionalFormatting>
  <conditionalFormatting sqref="F26">
    <cfRule type="dataBar" priority="4">
      <dataBar>
        <cfvo type="min"/>
        <cfvo type="max"/>
        <color rgb="FF638EC6"/>
      </dataBar>
    </cfRule>
  </conditionalFormatting>
  <conditionalFormatting sqref="F30:F31">
    <cfRule type="dataBar" priority="5">
      <dataBar>
        <cfvo type="min"/>
        <cfvo type="max"/>
        <color rgb="FF638EC6"/>
      </dataBar>
    </cfRule>
  </conditionalFormatting>
  <pageMargins left="0.5" right="0.5" top="0.6" bottom="0.6"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37"/>
  <sheetViews>
    <sheetView workbookViewId="0"/>
  </sheetViews>
  <sheetFormatPr defaultRowHeight="14.4" x14ac:dyDescent="0.3"/>
  <cols>
    <col min="1" max="1" width="98" customWidth="1"/>
  </cols>
  <sheetData>
    <row r="1" spans="1:1" ht="21" x14ac:dyDescent="0.4">
      <c r="A1" s="13" t="s">
        <v>389</v>
      </c>
    </row>
    <row r="2" spans="1:1" ht="24" x14ac:dyDescent="0.3">
      <c r="A2" s="14" t="s">
        <v>390</v>
      </c>
    </row>
    <row r="4" spans="1:1" ht="15.6" x14ac:dyDescent="0.3">
      <c r="A4" s="15" t="s">
        <v>391</v>
      </c>
    </row>
    <row r="5" spans="1:1" ht="69" x14ac:dyDescent="0.3">
      <c r="A5" s="24" t="s">
        <v>392</v>
      </c>
    </row>
    <row r="7" spans="1:1" ht="15.6" x14ac:dyDescent="0.3">
      <c r="A7" s="15" t="s">
        <v>393</v>
      </c>
    </row>
    <row r="8" spans="1:1" x14ac:dyDescent="0.3">
      <c r="A8" s="23" t="s">
        <v>394</v>
      </c>
    </row>
    <row r="9" spans="1:1" ht="69" x14ac:dyDescent="0.3">
      <c r="A9" s="24" t="s">
        <v>395</v>
      </c>
    </row>
    <row r="10" spans="1:1" x14ac:dyDescent="0.3">
      <c r="A10" s="23" t="s">
        <v>396</v>
      </c>
    </row>
    <row r="11" spans="1:1" ht="82.8" x14ac:dyDescent="0.3">
      <c r="A11" s="24" t="s">
        <v>397</v>
      </c>
    </row>
    <row r="13" spans="1:1" ht="15.6" x14ac:dyDescent="0.3">
      <c r="A13" s="15" t="s">
        <v>398</v>
      </c>
    </row>
    <row r="14" spans="1:1" ht="41.4" x14ac:dyDescent="0.3">
      <c r="A14" s="24" t="s">
        <v>399</v>
      </c>
    </row>
    <row r="15" spans="1:1" ht="41.4" x14ac:dyDescent="0.3">
      <c r="A15" s="24" t="s">
        <v>400</v>
      </c>
    </row>
    <row r="16" spans="1:1" ht="55.2" x14ac:dyDescent="0.3">
      <c r="A16" s="24" t="s">
        <v>401</v>
      </c>
    </row>
    <row r="18" spans="1:1" ht="15.6" x14ac:dyDescent="0.3">
      <c r="A18" s="15" t="s">
        <v>402</v>
      </c>
    </row>
    <row r="19" spans="1:1" ht="82.8" x14ac:dyDescent="0.3">
      <c r="A19" s="24" t="s">
        <v>403</v>
      </c>
    </row>
    <row r="20" spans="1:1" x14ac:dyDescent="0.3">
      <c r="A20" s="23" t="s">
        <v>404</v>
      </c>
    </row>
    <row r="21" spans="1:1" ht="27.6" x14ac:dyDescent="0.3">
      <c r="A21" s="24" t="s">
        <v>405</v>
      </c>
    </row>
    <row r="23" spans="1:1" ht="15.6" x14ac:dyDescent="0.3">
      <c r="A23" s="15" t="s">
        <v>406</v>
      </c>
    </row>
    <row r="24" spans="1:1" ht="55.2" x14ac:dyDescent="0.3">
      <c r="A24" s="24" t="s">
        <v>407</v>
      </c>
    </row>
    <row r="25" spans="1:1" x14ac:dyDescent="0.3">
      <c r="A25" s="23" t="s">
        <v>408</v>
      </c>
    </row>
    <row r="26" spans="1:1" ht="41.4" x14ac:dyDescent="0.3">
      <c r="A26" s="24" t="s">
        <v>409</v>
      </c>
    </row>
    <row r="28" spans="1:1" ht="15.6" x14ac:dyDescent="0.3">
      <c r="A28" s="15" t="s">
        <v>410</v>
      </c>
    </row>
    <row r="29" spans="1:1" ht="27.6" x14ac:dyDescent="0.3">
      <c r="A29" s="24" t="s">
        <v>411</v>
      </c>
    </row>
    <row r="30" spans="1:1" x14ac:dyDescent="0.3">
      <c r="A30" s="23" t="s">
        <v>412</v>
      </c>
    </row>
    <row r="31" spans="1:1" ht="69" x14ac:dyDescent="0.3">
      <c r="A31" s="24" t="s">
        <v>413</v>
      </c>
    </row>
    <row r="33" spans="1:1" ht="15.6" x14ac:dyDescent="0.3">
      <c r="A33" s="15" t="s">
        <v>414</v>
      </c>
    </row>
    <row r="34" spans="1:1" ht="82.8" x14ac:dyDescent="0.3">
      <c r="A34" s="24" t="s">
        <v>415</v>
      </c>
    </row>
    <row r="36" spans="1:1" ht="15.6" x14ac:dyDescent="0.3">
      <c r="A36" s="15" t="s">
        <v>416</v>
      </c>
    </row>
    <row r="37" spans="1:1" ht="151.80000000000001" x14ac:dyDescent="0.3">
      <c r="A37" s="24" t="s">
        <v>417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133"/>
  <sheetViews>
    <sheetView zoomScaleNormal="100" workbookViewId="0">
      <selection activeCell="A19" sqref="A19"/>
    </sheetView>
  </sheetViews>
  <sheetFormatPr defaultColWidth="8.6640625" defaultRowHeight="14.4" x14ac:dyDescent="0.3"/>
  <cols>
    <col min="1" max="1" width="38" style="25" customWidth="1"/>
    <col min="2" max="2" width="4" style="25" customWidth="1"/>
    <col min="3" max="3" width="60" style="25" customWidth="1"/>
    <col min="4" max="4" width="4" style="25" customWidth="1"/>
    <col min="5" max="5" width="50" style="25" customWidth="1"/>
    <col min="6" max="16384" width="8.6640625" style="25"/>
  </cols>
  <sheetData>
    <row r="1" spans="1:6" ht="19.5" customHeight="1" x14ac:dyDescent="0.4">
      <c r="A1" s="12" t="s">
        <v>92</v>
      </c>
      <c r="B1" s="12"/>
      <c r="C1" s="12"/>
      <c r="D1" s="12"/>
      <c r="E1" s="12"/>
      <c r="F1" s="12"/>
    </row>
    <row r="2" spans="1:6" ht="34.5" customHeight="1" x14ac:dyDescent="0.3">
      <c r="A2" s="3" t="s">
        <v>93</v>
      </c>
      <c r="B2" s="3"/>
      <c r="C2" s="3"/>
      <c r="D2" s="3"/>
      <c r="E2" s="3"/>
      <c r="F2" s="3"/>
    </row>
    <row r="4" spans="1:6" ht="24" customHeight="1" x14ac:dyDescent="0.3">
      <c r="A4" s="9" t="s">
        <v>94</v>
      </c>
      <c r="B4" s="9"/>
      <c r="C4" s="9"/>
      <c r="D4" s="9"/>
      <c r="E4" s="9"/>
    </row>
    <row r="5" spans="1:6" ht="15" customHeight="1" x14ac:dyDescent="0.3">
      <c r="A5" s="22" t="s">
        <v>95</v>
      </c>
      <c r="C5" s="22" t="s">
        <v>96</v>
      </c>
      <c r="E5" s="22" t="s">
        <v>97</v>
      </c>
    </row>
    <row r="6" spans="1:6" ht="18" customHeight="1" x14ac:dyDescent="0.3">
      <c r="C6" s="2" t="s">
        <v>6</v>
      </c>
      <c r="E6" s="1" t="s">
        <v>98</v>
      </c>
    </row>
    <row r="7" spans="1:6" ht="18" customHeight="1" x14ac:dyDescent="0.3">
      <c r="C7" s="2"/>
      <c r="E7" s="1"/>
    </row>
    <row r="8" spans="1:6" ht="18" customHeight="1" x14ac:dyDescent="0.3">
      <c r="C8" s="2"/>
      <c r="E8" s="1"/>
    </row>
    <row r="9" spans="1:6" ht="18" customHeight="1" x14ac:dyDescent="0.3">
      <c r="C9" s="2"/>
      <c r="E9" s="1"/>
    </row>
    <row r="10" spans="1:6" ht="18" customHeight="1" x14ac:dyDescent="0.3">
      <c r="C10" s="2"/>
      <c r="E10" s="1"/>
    </row>
    <row r="11" spans="1:6" ht="18" customHeight="1" x14ac:dyDescent="0.3">
      <c r="C11" s="2"/>
      <c r="E11" s="1"/>
    </row>
    <row r="12" spans="1:6" ht="18" customHeight="1" x14ac:dyDescent="0.3">
      <c r="C12" s="2"/>
      <c r="E12" s="1"/>
    </row>
    <row r="13" spans="1:6" ht="18" customHeight="1" x14ac:dyDescent="0.3">
      <c r="C13" s="2"/>
      <c r="E13" s="1"/>
    </row>
    <row r="14" spans="1:6" ht="18" customHeight="1" x14ac:dyDescent="0.3">
      <c r="C14" s="2"/>
      <c r="E14" s="1"/>
    </row>
    <row r="15" spans="1:6" ht="18" customHeight="1" x14ac:dyDescent="0.3">
      <c r="C15" s="2"/>
      <c r="E15" s="1"/>
    </row>
    <row r="16" spans="1:6" ht="18" customHeight="1" x14ac:dyDescent="0.3">
      <c r="C16" s="2"/>
      <c r="E16" s="1"/>
    </row>
    <row r="17" spans="1:5" ht="18" customHeight="1" x14ac:dyDescent="0.3">
      <c r="C17" s="2"/>
      <c r="E17" s="1"/>
    </row>
    <row r="18" spans="1:5" ht="18" customHeight="1" x14ac:dyDescent="0.3">
      <c r="C18" s="2"/>
      <c r="E18" s="1"/>
    </row>
    <row r="19" spans="1:5" ht="18" customHeight="1" x14ac:dyDescent="0.3">
      <c r="C19" s="2"/>
      <c r="E19" s="1"/>
    </row>
    <row r="20" spans="1:5" ht="18" customHeight="1" x14ac:dyDescent="0.3">
      <c r="C20" s="2"/>
      <c r="E20" s="1"/>
    </row>
    <row r="21" spans="1:5" ht="18" customHeight="1" x14ac:dyDescent="0.3">
      <c r="C21" s="2"/>
      <c r="E21" s="1"/>
    </row>
    <row r="22" spans="1:5" ht="18" customHeight="1" x14ac:dyDescent="0.3">
      <c r="C22" s="2"/>
      <c r="E22" s="1"/>
    </row>
    <row r="23" spans="1:5" ht="18" customHeight="1" x14ac:dyDescent="0.3">
      <c r="C23" s="2"/>
      <c r="E23" s="1"/>
    </row>
    <row r="26" spans="1:5" ht="24" customHeight="1" x14ac:dyDescent="0.3">
      <c r="A26" s="9" t="s">
        <v>99</v>
      </c>
      <c r="B26" s="9"/>
      <c r="C26" s="9"/>
      <c r="D26" s="9"/>
      <c r="E26" s="9"/>
    </row>
    <row r="27" spans="1:5" ht="15" customHeight="1" x14ac:dyDescent="0.3">
      <c r="A27" s="22" t="s">
        <v>95</v>
      </c>
      <c r="C27" s="22" t="s">
        <v>96</v>
      </c>
      <c r="E27" s="22" t="s">
        <v>97</v>
      </c>
    </row>
    <row r="28" spans="1:5" ht="18" customHeight="1" x14ac:dyDescent="0.3">
      <c r="C28" s="2" t="s">
        <v>100</v>
      </c>
      <c r="E28" s="1" t="s">
        <v>101</v>
      </c>
    </row>
    <row r="29" spans="1:5" ht="18" customHeight="1" x14ac:dyDescent="0.3">
      <c r="C29" s="2"/>
      <c r="E29" s="1"/>
    </row>
    <row r="30" spans="1:5" ht="18" customHeight="1" x14ac:dyDescent="0.3">
      <c r="C30" s="2"/>
      <c r="E30" s="1"/>
    </row>
    <row r="31" spans="1:5" ht="18" customHeight="1" x14ac:dyDescent="0.3">
      <c r="C31" s="2"/>
      <c r="E31" s="1"/>
    </row>
    <row r="32" spans="1:5" ht="18" customHeight="1" x14ac:dyDescent="0.3">
      <c r="C32" s="2"/>
      <c r="E32" s="1"/>
    </row>
    <row r="33" spans="1:5" ht="18" customHeight="1" x14ac:dyDescent="0.3">
      <c r="C33" s="2"/>
      <c r="E33" s="1"/>
    </row>
    <row r="34" spans="1:5" ht="18" customHeight="1" x14ac:dyDescent="0.3">
      <c r="C34" s="2"/>
      <c r="E34" s="1"/>
    </row>
    <row r="35" spans="1:5" ht="18" customHeight="1" x14ac:dyDescent="0.3">
      <c r="C35" s="2"/>
      <c r="E35" s="1"/>
    </row>
    <row r="36" spans="1:5" ht="18" customHeight="1" x14ac:dyDescent="0.3">
      <c r="C36" s="2"/>
      <c r="E36" s="1"/>
    </row>
    <row r="37" spans="1:5" ht="18" customHeight="1" x14ac:dyDescent="0.3">
      <c r="C37" s="2"/>
      <c r="E37" s="1"/>
    </row>
    <row r="38" spans="1:5" ht="18" customHeight="1" x14ac:dyDescent="0.3">
      <c r="C38" s="2"/>
      <c r="E38" s="1"/>
    </row>
    <row r="39" spans="1:5" ht="18" customHeight="1" x14ac:dyDescent="0.3">
      <c r="C39" s="2"/>
      <c r="E39" s="1"/>
    </row>
    <row r="40" spans="1:5" ht="18" customHeight="1" x14ac:dyDescent="0.3">
      <c r="C40" s="2"/>
      <c r="E40" s="1"/>
    </row>
    <row r="41" spans="1:5" ht="18" customHeight="1" x14ac:dyDescent="0.3">
      <c r="C41" s="2"/>
      <c r="E41" s="1"/>
    </row>
    <row r="42" spans="1:5" ht="18" customHeight="1" x14ac:dyDescent="0.3">
      <c r="C42" s="2"/>
      <c r="E42" s="1"/>
    </row>
    <row r="43" spans="1:5" ht="18" customHeight="1" x14ac:dyDescent="0.3">
      <c r="C43" s="2"/>
      <c r="E43" s="1"/>
    </row>
    <row r="44" spans="1:5" ht="18" customHeight="1" x14ac:dyDescent="0.3">
      <c r="C44" s="2"/>
      <c r="E44" s="1"/>
    </row>
    <row r="45" spans="1:5" ht="18" customHeight="1" x14ac:dyDescent="0.3">
      <c r="C45" s="2"/>
      <c r="E45" s="1"/>
    </row>
    <row r="48" spans="1:5" ht="24" customHeight="1" x14ac:dyDescent="0.3">
      <c r="A48" s="9" t="s">
        <v>102</v>
      </c>
      <c r="B48" s="9"/>
      <c r="C48" s="9"/>
      <c r="D48" s="9"/>
      <c r="E48" s="9"/>
    </row>
    <row r="49" spans="1:5" ht="15" customHeight="1" x14ac:dyDescent="0.3">
      <c r="A49" s="22" t="s">
        <v>95</v>
      </c>
      <c r="C49" s="22" t="s">
        <v>96</v>
      </c>
      <c r="E49" s="22" t="s">
        <v>97</v>
      </c>
    </row>
    <row r="50" spans="1:5" ht="18" customHeight="1" x14ac:dyDescent="0.3">
      <c r="C50" s="2" t="s">
        <v>103</v>
      </c>
      <c r="E50" s="1" t="s">
        <v>104</v>
      </c>
    </row>
    <row r="51" spans="1:5" ht="18" customHeight="1" x14ac:dyDescent="0.3">
      <c r="C51" s="2"/>
      <c r="E51" s="1"/>
    </row>
    <row r="52" spans="1:5" ht="18" customHeight="1" x14ac:dyDescent="0.3">
      <c r="C52" s="2"/>
      <c r="E52" s="1"/>
    </row>
    <row r="53" spans="1:5" ht="18" customHeight="1" x14ac:dyDescent="0.3">
      <c r="C53" s="2"/>
      <c r="E53" s="1"/>
    </row>
    <row r="54" spans="1:5" ht="18" customHeight="1" x14ac:dyDescent="0.3">
      <c r="C54" s="2"/>
      <c r="E54" s="1"/>
    </row>
    <row r="55" spans="1:5" ht="18" customHeight="1" x14ac:dyDescent="0.3">
      <c r="C55" s="2"/>
      <c r="E55" s="1"/>
    </row>
    <row r="56" spans="1:5" ht="18" customHeight="1" x14ac:dyDescent="0.3">
      <c r="C56" s="2"/>
      <c r="E56" s="1"/>
    </row>
    <row r="57" spans="1:5" ht="18" customHeight="1" x14ac:dyDescent="0.3">
      <c r="C57" s="2"/>
      <c r="E57" s="1"/>
    </row>
    <row r="58" spans="1:5" ht="18" customHeight="1" x14ac:dyDescent="0.3">
      <c r="C58" s="2"/>
      <c r="E58" s="1"/>
    </row>
    <row r="59" spans="1:5" ht="18" customHeight="1" x14ac:dyDescent="0.3">
      <c r="C59" s="2"/>
      <c r="E59" s="1"/>
    </row>
    <row r="60" spans="1:5" ht="18" customHeight="1" x14ac:dyDescent="0.3">
      <c r="C60" s="2"/>
      <c r="E60" s="1"/>
    </row>
    <row r="61" spans="1:5" ht="18" customHeight="1" x14ac:dyDescent="0.3">
      <c r="C61" s="2"/>
      <c r="E61" s="1"/>
    </row>
    <row r="62" spans="1:5" ht="18" customHeight="1" x14ac:dyDescent="0.3">
      <c r="C62" s="2"/>
      <c r="E62" s="1"/>
    </row>
    <row r="63" spans="1:5" ht="18" customHeight="1" x14ac:dyDescent="0.3">
      <c r="C63" s="2"/>
      <c r="E63" s="1"/>
    </row>
    <row r="64" spans="1:5" ht="18" customHeight="1" x14ac:dyDescent="0.3">
      <c r="C64" s="2"/>
      <c r="E64" s="1"/>
    </row>
    <row r="65" spans="1:5" ht="18" customHeight="1" x14ac:dyDescent="0.3">
      <c r="C65" s="2"/>
      <c r="E65" s="1"/>
    </row>
    <row r="66" spans="1:5" ht="18" customHeight="1" x14ac:dyDescent="0.3">
      <c r="C66" s="2"/>
      <c r="E66" s="1"/>
    </row>
    <row r="67" spans="1:5" ht="18" customHeight="1" x14ac:dyDescent="0.3">
      <c r="C67" s="2"/>
      <c r="E67" s="1"/>
    </row>
    <row r="70" spans="1:5" ht="24" customHeight="1" x14ac:dyDescent="0.3">
      <c r="A70" s="9" t="s">
        <v>105</v>
      </c>
      <c r="B70" s="9"/>
      <c r="C70" s="9"/>
      <c r="D70" s="9"/>
      <c r="E70" s="9"/>
    </row>
    <row r="71" spans="1:5" ht="15" customHeight="1" x14ac:dyDescent="0.3">
      <c r="A71" s="22" t="s">
        <v>95</v>
      </c>
      <c r="C71" s="22" t="s">
        <v>96</v>
      </c>
      <c r="E71" s="22" t="s">
        <v>97</v>
      </c>
    </row>
    <row r="72" spans="1:5" ht="18" customHeight="1" x14ac:dyDescent="0.3">
      <c r="C72" s="2" t="s">
        <v>5</v>
      </c>
      <c r="E72" s="1" t="s">
        <v>106</v>
      </c>
    </row>
    <row r="73" spans="1:5" ht="18" customHeight="1" x14ac:dyDescent="0.3">
      <c r="C73" s="2"/>
      <c r="E73" s="1"/>
    </row>
    <row r="74" spans="1:5" ht="18" customHeight="1" x14ac:dyDescent="0.3">
      <c r="C74" s="2"/>
      <c r="E74" s="1"/>
    </row>
    <row r="75" spans="1:5" ht="18" customHeight="1" x14ac:dyDescent="0.3">
      <c r="C75" s="2"/>
      <c r="E75" s="1"/>
    </row>
    <row r="76" spans="1:5" ht="18" customHeight="1" x14ac:dyDescent="0.3">
      <c r="C76" s="2"/>
      <c r="E76" s="1"/>
    </row>
    <row r="77" spans="1:5" ht="18" customHeight="1" x14ac:dyDescent="0.3">
      <c r="C77" s="2"/>
      <c r="E77" s="1"/>
    </row>
    <row r="78" spans="1:5" ht="18" customHeight="1" x14ac:dyDescent="0.3">
      <c r="C78" s="2"/>
      <c r="E78" s="1"/>
    </row>
    <row r="79" spans="1:5" ht="18" customHeight="1" x14ac:dyDescent="0.3">
      <c r="C79" s="2"/>
      <c r="E79" s="1"/>
    </row>
    <row r="80" spans="1:5" ht="18" customHeight="1" x14ac:dyDescent="0.3">
      <c r="C80" s="2"/>
      <c r="E80" s="1"/>
    </row>
    <row r="81" spans="1:5" ht="18" customHeight="1" x14ac:dyDescent="0.3">
      <c r="C81" s="2"/>
      <c r="E81" s="1"/>
    </row>
    <row r="82" spans="1:5" ht="18" customHeight="1" x14ac:dyDescent="0.3">
      <c r="C82" s="2"/>
      <c r="E82" s="1"/>
    </row>
    <row r="83" spans="1:5" ht="18" customHeight="1" x14ac:dyDescent="0.3">
      <c r="C83" s="2"/>
      <c r="E83" s="1"/>
    </row>
    <row r="84" spans="1:5" ht="18" customHeight="1" x14ac:dyDescent="0.3">
      <c r="C84" s="2"/>
      <c r="E84" s="1"/>
    </row>
    <row r="85" spans="1:5" ht="18" customHeight="1" x14ac:dyDescent="0.3">
      <c r="C85" s="2"/>
      <c r="E85" s="1"/>
    </row>
    <row r="86" spans="1:5" ht="18" customHeight="1" x14ac:dyDescent="0.3">
      <c r="C86" s="2"/>
      <c r="E86" s="1"/>
    </row>
    <row r="87" spans="1:5" ht="18" customHeight="1" x14ac:dyDescent="0.3">
      <c r="C87" s="2"/>
      <c r="E87" s="1"/>
    </row>
    <row r="88" spans="1:5" ht="18" customHeight="1" x14ac:dyDescent="0.3">
      <c r="C88" s="2"/>
      <c r="E88" s="1"/>
    </row>
    <row r="89" spans="1:5" ht="18" customHeight="1" x14ac:dyDescent="0.3">
      <c r="C89" s="2"/>
      <c r="E89" s="1"/>
    </row>
    <row r="92" spans="1:5" ht="24" customHeight="1" x14ac:dyDescent="0.3">
      <c r="A92" s="9" t="s">
        <v>107</v>
      </c>
      <c r="B92" s="9"/>
      <c r="C92" s="9"/>
      <c r="D92" s="9"/>
      <c r="E92" s="9"/>
    </row>
    <row r="93" spans="1:5" ht="15" customHeight="1" x14ac:dyDescent="0.3">
      <c r="A93" s="22" t="s">
        <v>95</v>
      </c>
      <c r="C93" s="22" t="s">
        <v>96</v>
      </c>
      <c r="E93" s="22" t="s">
        <v>97</v>
      </c>
    </row>
    <row r="94" spans="1:5" ht="18" customHeight="1" x14ac:dyDescent="0.3">
      <c r="C94" s="2" t="s">
        <v>5</v>
      </c>
      <c r="E94" s="1" t="s">
        <v>108</v>
      </c>
    </row>
    <row r="95" spans="1:5" ht="18" customHeight="1" x14ac:dyDescent="0.3">
      <c r="C95" s="2"/>
      <c r="E95" s="1"/>
    </row>
    <row r="96" spans="1:5" ht="18" customHeight="1" x14ac:dyDescent="0.3">
      <c r="C96" s="2"/>
      <c r="E96" s="1"/>
    </row>
    <row r="97" spans="3:5" ht="18" customHeight="1" x14ac:dyDescent="0.3">
      <c r="C97" s="2"/>
      <c r="E97" s="1"/>
    </row>
    <row r="98" spans="3:5" ht="18" customHeight="1" x14ac:dyDescent="0.3">
      <c r="C98" s="2"/>
      <c r="E98" s="1"/>
    </row>
    <row r="99" spans="3:5" ht="18" customHeight="1" x14ac:dyDescent="0.3">
      <c r="C99" s="2"/>
      <c r="E99" s="1"/>
    </row>
    <row r="100" spans="3:5" ht="18" customHeight="1" x14ac:dyDescent="0.3">
      <c r="C100" s="2"/>
      <c r="E100" s="1"/>
    </row>
    <row r="101" spans="3:5" ht="18" customHeight="1" x14ac:dyDescent="0.3">
      <c r="C101" s="2"/>
      <c r="E101" s="1"/>
    </row>
    <row r="102" spans="3:5" ht="18" customHeight="1" x14ac:dyDescent="0.3">
      <c r="C102" s="2"/>
      <c r="E102" s="1"/>
    </row>
    <row r="103" spans="3:5" ht="18" customHeight="1" x14ac:dyDescent="0.3">
      <c r="C103" s="2"/>
      <c r="E103" s="1"/>
    </row>
    <row r="104" spans="3:5" ht="18" customHeight="1" x14ac:dyDescent="0.3">
      <c r="C104" s="2"/>
      <c r="E104" s="1"/>
    </row>
    <row r="105" spans="3:5" ht="18" customHeight="1" x14ac:dyDescent="0.3">
      <c r="C105" s="2"/>
      <c r="E105" s="1"/>
    </row>
    <row r="106" spans="3:5" ht="18" customHeight="1" x14ac:dyDescent="0.3">
      <c r="C106" s="2"/>
      <c r="E106" s="1"/>
    </row>
    <row r="107" spans="3:5" ht="18" customHeight="1" x14ac:dyDescent="0.3">
      <c r="C107" s="2"/>
      <c r="E107" s="1"/>
    </row>
    <row r="108" spans="3:5" ht="18" customHeight="1" x14ac:dyDescent="0.3">
      <c r="C108" s="2"/>
      <c r="E108" s="1"/>
    </row>
    <row r="109" spans="3:5" ht="18" customHeight="1" x14ac:dyDescent="0.3">
      <c r="C109" s="2"/>
      <c r="E109" s="1"/>
    </row>
    <row r="110" spans="3:5" ht="18" customHeight="1" x14ac:dyDescent="0.3">
      <c r="C110" s="2"/>
      <c r="E110" s="1"/>
    </row>
    <row r="111" spans="3:5" ht="18" customHeight="1" x14ac:dyDescent="0.3">
      <c r="C111" s="2"/>
      <c r="E111" s="1"/>
    </row>
    <row r="114" spans="1:5" ht="24" customHeight="1" x14ac:dyDescent="0.3">
      <c r="A114" s="9" t="s">
        <v>109</v>
      </c>
      <c r="B114" s="9"/>
      <c r="C114" s="9"/>
      <c r="D114" s="9"/>
      <c r="E114" s="9"/>
    </row>
    <row r="115" spans="1:5" ht="15" customHeight="1" x14ac:dyDescent="0.3">
      <c r="A115" s="22" t="s">
        <v>95</v>
      </c>
      <c r="C115" s="22" t="s">
        <v>96</v>
      </c>
      <c r="E115" s="22" t="s">
        <v>97</v>
      </c>
    </row>
    <row r="116" spans="1:5" ht="18" customHeight="1" x14ac:dyDescent="0.3">
      <c r="C116" s="2" t="s">
        <v>5</v>
      </c>
      <c r="E116" s="1" t="s">
        <v>110</v>
      </c>
    </row>
    <row r="117" spans="1:5" ht="18" customHeight="1" x14ac:dyDescent="0.3">
      <c r="C117" s="2"/>
      <c r="E117" s="1"/>
    </row>
    <row r="118" spans="1:5" ht="18" customHeight="1" x14ac:dyDescent="0.3">
      <c r="C118" s="2"/>
      <c r="E118" s="1"/>
    </row>
    <row r="119" spans="1:5" ht="18" customHeight="1" x14ac:dyDescent="0.3">
      <c r="C119" s="2"/>
      <c r="E119" s="1"/>
    </row>
    <row r="120" spans="1:5" ht="18" customHeight="1" x14ac:dyDescent="0.3">
      <c r="C120" s="2"/>
      <c r="E120" s="1"/>
    </row>
    <row r="121" spans="1:5" ht="18" customHeight="1" x14ac:dyDescent="0.3">
      <c r="C121" s="2"/>
      <c r="E121" s="1"/>
    </row>
    <row r="122" spans="1:5" ht="18" customHeight="1" x14ac:dyDescent="0.3">
      <c r="C122" s="2"/>
      <c r="E122" s="1"/>
    </row>
    <row r="123" spans="1:5" ht="18" customHeight="1" x14ac:dyDescent="0.3">
      <c r="C123" s="2"/>
      <c r="E123" s="1"/>
    </row>
    <row r="124" spans="1:5" ht="18" customHeight="1" x14ac:dyDescent="0.3">
      <c r="C124" s="2"/>
      <c r="E124" s="1"/>
    </row>
    <row r="125" spans="1:5" ht="18" customHeight="1" x14ac:dyDescent="0.3">
      <c r="C125" s="2"/>
      <c r="E125" s="1"/>
    </row>
    <row r="126" spans="1:5" ht="18" customHeight="1" x14ac:dyDescent="0.3">
      <c r="C126" s="2"/>
      <c r="E126" s="1"/>
    </row>
    <row r="127" spans="1:5" ht="18" customHeight="1" x14ac:dyDescent="0.3">
      <c r="C127" s="2"/>
      <c r="E127" s="1"/>
    </row>
    <row r="128" spans="1:5" ht="18" customHeight="1" x14ac:dyDescent="0.3">
      <c r="C128" s="2"/>
      <c r="E128" s="1"/>
    </row>
    <row r="129" spans="3:5" ht="18" customHeight="1" x14ac:dyDescent="0.3">
      <c r="C129" s="2"/>
      <c r="E129" s="1"/>
    </row>
    <row r="130" spans="3:5" ht="18" customHeight="1" x14ac:dyDescent="0.3">
      <c r="C130" s="2"/>
      <c r="E130" s="1"/>
    </row>
    <row r="131" spans="3:5" ht="18" customHeight="1" x14ac:dyDescent="0.3">
      <c r="C131" s="2"/>
      <c r="E131" s="1"/>
    </row>
    <row r="132" spans="3:5" ht="18" customHeight="1" x14ac:dyDescent="0.3">
      <c r="C132" s="2"/>
      <c r="E132" s="1"/>
    </row>
    <row r="133" spans="3:5" ht="18" customHeight="1" x14ac:dyDescent="0.3">
      <c r="C133" s="2"/>
      <c r="E133" s="1"/>
    </row>
  </sheetData>
  <mergeCells count="20">
    <mergeCell ref="A114:E114"/>
    <mergeCell ref="C116:C133"/>
    <mergeCell ref="E116:E133"/>
    <mergeCell ref="A70:E70"/>
    <mergeCell ref="C72:C89"/>
    <mergeCell ref="E72:E89"/>
    <mergeCell ref="A92:E92"/>
    <mergeCell ref="C94:C111"/>
    <mergeCell ref="E94:E111"/>
    <mergeCell ref="A26:E26"/>
    <mergeCell ref="C28:C45"/>
    <mergeCell ref="E28:E45"/>
    <mergeCell ref="A48:E48"/>
    <mergeCell ref="C50:C67"/>
    <mergeCell ref="E50:E67"/>
    <mergeCell ref="A1:F1"/>
    <mergeCell ref="A2:F2"/>
    <mergeCell ref="A4:E4"/>
    <mergeCell ref="C6:C23"/>
    <mergeCell ref="E6:E23"/>
  </mergeCells>
  <pageMargins left="0.75" right="0.75" top="1" bottom="1"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5"/>
  <sheetViews>
    <sheetView topLeftCell="A12" zoomScaleNormal="100" workbookViewId="0">
      <selection activeCell="A19" sqref="A19"/>
    </sheetView>
  </sheetViews>
  <sheetFormatPr defaultColWidth="8.6640625" defaultRowHeight="14.4" x14ac:dyDescent="0.3"/>
  <cols>
    <col min="1" max="1" width="22" style="25" customWidth="1"/>
    <col min="2" max="2" width="95" style="25" customWidth="1"/>
    <col min="3" max="16384" width="8.6640625" style="25"/>
  </cols>
  <sheetData>
    <row r="1" spans="1:6" ht="19.5" customHeight="1" x14ac:dyDescent="0.4">
      <c r="A1" s="12" t="s">
        <v>111</v>
      </c>
      <c r="B1" s="12"/>
      <c r="C1" s="12"/>
      <c r="D1" s="12"/>
      <c r="E1" s="12"/>
      <c r="F1" s="12"/>
    </row>
    <row r="2" spans="1:6" ht="30" customHeight="1" x14ac:dyDescent="0.3">
      <c r="A2" s="26"/>
      <c r="B2" s="26"/>
    </row>
    <row r="3" spans="1:6" ht="30" customHeight="1" x14ac:dyDescent="0.3">
      <c r="A3" s="26" t="s">
        <v>112</v>
      </c>
      <c r="B3" s="26" t="s">
        <v>113</v>
      </c>
    </row>
    <row r="4" spans="1:6" ht="30" customHeight="1" x14ac:dyDescent="0.3">
      <c r="A4" s="26" t="s">
        <v>114</v>
      </c>
      <c r="B4" s="26" t="s">
        <v>115</v>
      </c>
    </row>
    <row r="5" spans="1:6" ht="30" customHeight="1" x14ac:dyDescent="0.3">
      <c r="A5" s="26"/>
      <c r="B5" s="26" t="s">
        <v>116</v>
      </c>
    </row>
    <row r="6" spans="1:6" ht="30" customHeight="1" x14ac:dyDescent="0.3">
      <c r="A6" s="26"/>
      <c r="B6" s="26" t="s">
        <v>117</v>
      </c>
    </row>
    <row r="7" spans="1:6" ht="30" customHeight="1" x14ac:dyDescent="0.3">
      <c r="A7" s="26" t="s">
        <v>118</v>
      </c>
      <c r="B7" s="26" t="s">
        <v>119</v>
      </c>
    </row>
    <row r="8" spans="1:6" ht="30" customHeight="1" x14ac:dyDescent="0.3">
      <c r="A8" s="26" t="s">
        <v>120</v>
      </c>
      <c r="B8" s="26" t="s">
        <v>121</v>
      </c>
    </row>
    <row r="9" spans="1:6" ht="30" customHeight="1" x14ac:dyDescent="0.3">
      <c r="A9" s="27"/>
      <c r="B9" s="27"/>
    </row>
    <row r="10" spans="1:6" ht="30" customHeight="1" x14ac:dyDescent="0.3">
      <c r="A10" s="27" t="s">
        <v>122</v>
      </c>
      <c r="B10" s="27"/>
    </row>
    <row r="11" spans="1:6" ht="30" customHeight="1" x14ac:dyDescent="0.3">
      <c r="A11" s="26" t="s">
        <v>123</v>
      </c>
      <c r="B11" s="26" t="s">
        <v>124</v>
      </c>
    </row>
    <row r="12" spans="1:6" ht="30" customHeight="1" x14ac:dyDescent="0.3">
      <c r="A12" s="26" t="s">
        <v>125</v>
      </c>
      <c r="B12" s="26" t="s">
        <v>126</v>
      </c>
    </row>
    <row r="13" spans="1:6" ht="30" customHeight="1" x14ac:dyDescent="0.3">
      <c r="A13" s="26" t="s">
        <v>127</v>
      </c>
      <c r="B13" s="26" t="s">
        <v>128</v>
      </c>
    </row>
    <row r="14" spans="1:6" ht="30" customHeight="1" x14ac:dyDescent="0.3">
      <c r="A14" s="26" t="s">
        <v>129</v>
      </c>
      <c r="B14" s="26" t="s">
        <v>130</v>
      </c>
    </row>
    <row r="15" spans="1:6" ht="30" customHeight="1" x14ac:dyDescent="0.3">
      <c r="A15" s="26" t="s">
        <v>131</v>
      </c>
      <c r="B15" s="26" t="s">
        <v>132</v>
      </c>
    </row>
    <row r="16" spans="1:6" ht="30" customHeight="1" x14ac:dyDescent="0.3">
      <c r="A16" s="26" t="s">
        <v>133</v>
      </c>
      <c r="B16" s="26" t="s">
        <v>134</v>
      </c>
    </row>
    <row r="17" spans="1:2" ht="30" customHeight="1" x14ac:dyDescent="0.3">
      <c r="A17" s="26" t="s">
        <v>135</v>
      </c>
      <c r="B17" s="26" t="s">
        <v>136</v>
      </c>
    </row>
    <row r="18" spans="1:2" ht="30" customHeight="1" x14ac:dyDescent="0.3">
      <c r="A18" s="26" t="s">
        <v>137</v>
      </c>
      <c r="B18" s="26" t="s">
        <v>138</v>
      </c>
    </row>
    <row r="19" spans="1:2" ht="30" customHeight="1" x14ac:dyDescent="0.3">
      <c r="A19" s="26"/>
      <c r="B19" s="26"/>
    </row>
    <row r="20" spans="1:2" ht="30" customHeight="1" x14ac:dyDescent="0.3">
      <c r="A20" s="27" t="s">
        <v>139</v>
      </c>
      <c r="B20" s="27"/>
    </row>
    <row r="21" spans="1:2" ht="30" customHeight="1" x14ac:dyDescent="0.3">
      <c r="A21" s="26" t="s">
        <v>140</v>
      </c>
      <c r="B21" s="26" t="s">
        <v>141</v>
      </c>
    </row>
    <row r="22" spans="1:2" ht="30" customHeight="1" x14ac:dyDescent="0.3">
      <c r="A22" s="26" t="s">
        <v>142</v>
      </c>
      <c r="B22" s="26" t="s">
        <v>143</v>
      </c>
    </row>
    <row r="23" spans="1:2" ht="30" customHeight="1" x14ac:dyDescent="0.3">
      <c r="A23" s="26" t="s">
        <v>144</v>
      </c>
      <c r="B23" s="26" t="s">
        <v>145</v>
      </c>
    </row>
    <row r="24" spans="1:2" ht="30" customHeight="1" x14ac:dyDescent="0.3">
      <c r="A24" s="26" t="s">
        <v>146</v>
      </c>
      <c r="B24" s="26" t="s">
        <v>147</v>
      </c>
    </row>
    <row r="25" spans="1:2" ht="30" customHeight="1" x14ac:dyDescent="0.3">
      <c r="A25" s="26" t="s">
        <v>148</v>
      </c>
      <c r="B25" s="26" t="s">
        <v>149</v>
      </c>
    </row>
  </sheetData>
  <mergeCells count="1">
    <mergeCell ref="A1:F1"/>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dimension ref="A1:P56"/>
  <sheetViews>
    <sheetView workbookViewId="0">
      <selection activeCell="A1" sqref="A1"/>
    </sheetView>
  </sheetViews>
  <sheetFormatPr defaultRowHeight="15"/>
  <cols>
    <col min="1" max="1" width="13" customWidth="1"/>
    <col min="2" max="2" width="8" customWidth="1"/>
    <col min="3" max="3" width="9" customWidth="1"/>
    <col min="4" max="4" width="9" customWidth="1"/>
    <col min="5" max="5" width="20" customWidth="1"/>
    <col min="6" max="8" width="8" customWidth="1"/>
    <col min="9" max="9" width="9" customWidth="1"/>
    <col min="10" max="10" width="30" customWidth="1"/>
    <col min="11" max="11" width="12" customWidth="1"/>
    <col min="12" max="13" width="9" customWidth="1"/>
    <col min="14" max="14" width="9" customWidth="1"/>
    <col min="15" max="15" width="21" customWidth="1"/>
    <col min="16" max="16" width="11" customWidth="1"/>
  </cols>
  <sheetData>
    <row r="1" ht="22" customHeight="1">
      <c r="A1" s="1" t="inlineStr">
        <is>
          <t xml:space="preserve">SH vs ATM — Batch-to-Batch Comparison</t>
        </is>
      </c>
    </row>
    <row r="2" ht="58" customHeight="1">
      <c r="A2" s="2" t="inlineStr">
        <is>
          <t xml:space="preserve">Batches inspected on the slaughterhouse floor that also appear in the ATM (SAP) receipt data, matched on batch/lot number. 12 matched batches: 10 Martins pelvic 666541 + 2 Nahunta thoracic 666521. SH figures are floor samples; ATM figures are the full received quantity. 'ATM review' = scrap postings (movement 551); the lag column shows how long after the SH inspection the batch was revised at ATM.</t>
        </is>
      </c>
    </row>
    <row r="3"/>
    <row r="4" ht="18" customHeight="1">
      <c r="A4" s="3" t="inlineStr">
        <is>
          <t xml:space="preserve">BATCH-TO-BATCH: SH FLOOR vs ATM RECEIPT REVIEW</t>
        </is>
      </c>
    </row>
    <row r="5" ht="27" customHeight="1">
      <c r="A5" s="11" t="inlineStr">
        <is>
          <t xml:space="preserve">Batch / Lot</t>
        </is>
      </c>
      <c r="B5" s="11" t="inlineStr">
        <is>
          <t xml:space="preserve">Part</t>
        </is>
      </c>
      <c r="C5" s="11" t="inlineStr">
        <is>
          <t xml:space="preserve">Tissue</t>
        </is>
      </c>
      <c r="D5" s="11" t="inlineStr">
        <is>
          <t xml:space="preserve">SH site</t>
        </is>
      </c>
      <c r="E5" s="11" t="inlineStr">
        <is>
          <t xml:space="preserve">SH inspection dates</t>
        </is>
      </c>
      <c r="F5" s="11" t="inlineStr">
        <is>
          <t xml:space="preserve">SH # Insp</t>
        </is>
      </c>
      <c r="G5" s="11" t="inlineStr">
        <is>
          <t xml:space="preserve">SH # Pass</t>
        </is>
      </c>
      <c r="H5" s="11" t="inlineStr">
        <is>
          <t xml:space="preserve">SH # Fail</t>
        </is>
      </c>
      <c r="I5" s="11" t="inlineStr">
        <is>
          <t xml:space="preserve">SH FPY</t>
        </is>
      </c>
      <c r="J5" s="11" t="inlineStr">
        <is>
          <t xml:space="preserve">SH top defects</t>
        </is>
      </c>
      <c r="K5" s="11" t="inlineStr">
        <is>
          <t xml:space="preserve">ATM first receipt</t>
        </is>
      </c>
      <c r="L5" s="11" t="inlineStr">
        <is>
          <t xml:space="preserve">ATM # Recv</t>
        </is>
      </c>
      <c r="M5" s="11" t="inlineStr">
        <is>
          <t xml:space="preserve">ATM # Scrap</t>
        </is>
      </c>
      <c r="N5" s="11" t="inlineStr">
        <is>
          <t xml:space="preserve">ATM Scrap %</t>
        </is>
      </c>
      <c r="O5" s="11" t="inlineStr">
        <is>
          <t xml:space="preserve">ATM review window</t>
        </is>
      </c>
      <c r="P5" s="11" t="inlineStr">
        <is>
          <t xml:space="preserve">Days SH → ATM review</t>
        </is>
      </c>
    </row>
    <row r="6" ht="27" customHeight="1">
      <c r="A6" s="5" t="inlineStr">
        <is>
          <t xml:space="preserve">5502378434</t>
        </is>
      </c>
      <c r="B6" s="5" t="inlineStr">
        <is>
          <t xml:space="preserve">666541</t>
        </is>
      </c>
      <c r="C6" s="5" t="inlineStr">
        <is>
          <t xml:space="preserve">Pelvic</t>
        </is>
      </c>
      <c r="D6" s="5" t="inlineStr">
        <is>
          <t xml:space="preserve">Martins</t>
        </is>
      </c>
      <c r="E6" s="5" t="inlineStr">
        <is>
          <t xml:space="preserve">04-13, 04-15</t>
        </is>
      </c>
      <c r="F6" s="6" t="n">
        <v>65</v>
      </c>
      <c r="G6" s="6" t="n">
        <v>60</v>
      </c>
      <c r="H6" s="6" t="n">
        <v>5</v>
      </c>
      <c r="I6" s="15" t="n">
        <v>0.9231</v>
      </c>
      <c r="J6" s="16" t="inlineStr">
        <is>
          <t xml:space="preserve">Urethra (2), Other (2), Bowel damage (1)</t>
        </is>
      </c>
      <c r="K6" s="5" t="inlineStr">
        <is>
          <t xml:space="preserve">2026-04-02</t>
        </is>
      </c>
      <c r="L6" s="6" t="n">
        <v>542</v>
      </c>
      <c r="M6" s="6" t="n">
        <v>24</v>
      </c>
      <c r="N6" s="15" t="n">
        <v>0.0443</v>
      </c>
      <c r="O6" s="5" t="inlineStr">
        <is>
          <t xml:space="preserve">2026-05-01 → 2026-05-13</t>
        </is>
      </c>
      <c r="P6" s="6" t="n">
        <v>18</v>
      </c>
    </row>
    <row r="7" ht="27" customHeight="1">
      <c r="A7" s="5" t="inlineStr">
        <is>
          <t xml:space="preserve">5502391862</t>
        </is>
      </c>
      <c r="B7" s="5" t="inlineStr">
        <is>
          <t xml:space="preserve">666541</t>
        </is>
      </c>
      <c r="C7" s="5" t="inlineStr">
        <is>
          <t xml:space="preserve">Pelvic</t>
        </is>
      </c>
      <c r="D7" s="5" t="inlineStr">
        <is>
          <t xml:space="preserve">Martins</t>
        </is>
      </c>
      <c r="E7" s="5" t="inlineStr">
        <is>
          <t xml:space="preserve">04-20, 04-22</t>
        </is>
      </c>
      <c r="F7" s="6" t="n">
        <v>57</v>
      </c>
      <c r="G7" s="6" t="n">
        <v>56</v>
      </c>
      <c r="H7" s="6" t="n">
        <v>1</v>
      </c>
      <c r="I7" s="15" t="n">
        <v>0.9825</v>
      </c>
      <c r="J7" s="16" t="inlineStr">
        <is>
          <t xml:space="preserve">Bowel damage (1)</t>
        </is>
      </c>
      <c r="K7" s="5" t="inlineStr">
        <is>
          <t xml:space="preserve">2026-04-16</t>
        </is>
      </c>
      <c r="L7" s="6" t="n">
        <v>423</v>
      </c>
      <c r="M7" s="6" t="n">
        <v>7</v>
      </c>
      <c r="N7" s="15" t="n">
        <v>0.0165</v>
      </c>
      <c r="O7" s="5" t="inlineStr">
        <is>
          <t xml:space="preserve">2026-05-21 → 2026-05-21</t>
        </is>
      </c>
      <c r="P7" s="6" t="n">
        <v>31</v>
      </c>
    </row>
    <row r="8" ht="27" customHeight="1">
      <c r="A8" s="5" t="inlineStr">
        <is>
          <t xml:space="preserve">5502404928</t>
        </is>
      </c>
      <c r="B8" s="5" t="inlineStr">
        <is>
          <t xml:space="preserve">666541</t>
        </is>
      </c>
      <c r="C8" s="5" t="inlineStr">
        <is>
          <t xml:space="preserve">Pelvic</t>
        </is>
      </c>
      <c r="D8" s="5" t="inlineStr">
        <is>
          <t xml:space="preserve">Martins</t>
        </is>
      </c>
      <c r="E8" s="5" t="inlineStr">
        <is>
          <t xml:space="preserve">05-04, 05-06</t>
        </is>
      </c>
      <c r="F8" s="6" t="n">
        <v>62</v>
      </c>
      <c r="G8" s="6" t="n">
        <v>58</v>
      </c>
      <c r="H8" s="6" t="n">
        <v>4</v>
      </c>
      <c r="I8" s="15" t="n">
        <v>0.9355</v>
      </c>
      <c r="J8" s="16" t="inlineStr">
        <is>
          <t xml:space="preserve">Urethra (4)</t>
        </is>
      </c>
      <c r="K8" s="5" t="inlineStr">
        <is>
          <t xml:space="preserve">2026-04-29</t>
        </is>
      </c>
      <c r="L8" s="6" t="n">
        <v>347</v>
      </c>
      <c r="M8" s="6" t="n">
        <v>22</v>
      </c>
      <c r="N8" s="15" t="n">
        <v>0.0634</v>
      </c>
      <c r="O8" s="5" t="inlineStr">
        <is>
          <t xml:space="preserve">2026-05-29 → 2026-07-30</t>
        </is>
      </c>
      <c r="P8" s="6" t="n">
        <v>25</v>
      </c>
    </row>
    <row r="9" ht="27" customHeight="1">
      <c r="A9" s="5" t="inlineStr">
        <is>
          <t xml:space="preserve">5502421192</t>
        </is>
      </c>
      <c r="B9" s="5" t="inlineStr">
        <is>
          <t xml:space="preserve">666541</t>
        </is>
      </c>
      <c r="C9" s="5" t="inlineStr">
        <is>
          <t xml:space="preserve">Pelvic</t>
        </is>
      </c>
      <c r="D9" s="5" t="inlineStr">
        <is>
          <t xml:space="preserve">Martins</t>
        </is>
      </c>
      <c r="E9" s="5" t="inlineStr">
        <is>
          <t xml:space="preserve">05-18, 05-21, 05-27</t>
        </is>
      </c>
      <c r="F9" s="6" t="n">
        <v>132</v>
      </c>
      <c r="G9" s="6" t="n">
        <v>123</v>
      </c>
      <c r="H9" s="6" t="n">
        <v>9</v>
      </c>
      <c r="I9" s="15" t="n">
        <v>0.9318</v>
      </c>
      <c r="J9" s="16" t="inlineStr">
        <is>
          <t xml:space="preserve">Urethra (5), Membrane damage (2), Short block (1)</t>
        </is>
      </c>
      <c r="K9" s="5" t="inlineStr">
        <is>
          <t xml:space="preserve">2026-05-13</t>
        </is>
      </c>
      <c r="L9" s="6" t="n">
        <v>367</v>
      </c>
      <c r="M9" s="6" t="n">
        <v>24</v>
      </c>
      <c r="N9" s="15" t="n">
        <v>0.0654</v>
      </c>
      <c r="O9" s="5" t="inlineStr">
        <is>
          <t xml:space="preserve">2026-06-03 → 2026-06-18</t>
        </is>
      </c>
      <c r="P9" s="6" t="n">
        <v>16</v>
      </c>
    </row>
    <row r="10" ht="27" customHeight="1">
      <c r="A10" s="5" t="inlineStr">
        <is>
          <t xml:space="preserve">5502428786</t>
        </is>
      </c>
      <c r="B10" s="5" t="inlineStr">
        <is>
          <t xml:space="preserve">666541</t>
        </is>
      </c>
      <c r="C10" s="5" t="inlineStr">
        <is>
          <t xml:space="preserve">Pelvic</t>
        </is>
      </c>
      <c r="D10" s="5" t="inlineStr">
        <is>
          <t xml:space="preserve">Martins</t>
        </is>
      </c>
      <c r="E10" s="5" t="inlineStr">
        <is>
          <t xml:space="preserve">06-01, 06-03, 06-08</t>
        </is>
      </c>
      <c r="F10" s="6" t="n">
        <v>71</v>
      </c>
      <c r="G10" s="6" t="n">
        <v>68</v>
      </c>
      <c r="H10" s="6" t="n">
        <v>3</v>
      </c>
      <c r="I10" s="15" t="n">
        <v>0.9577</v>
      </c>
      <c r="J10" s="16" t="inlineStr">
        <is>
          <t xml:space="preserve">Urethra (3)</t>
        </is>
      </c>
      <c r="K10" s="5" t="inlineStr">
        <is>
          <t xml:space="preserve">2026-05-20</t>
        </is>
      </c>
      <c r="L10" s="6" t="n">
        <v>246</v>
      </c>
      <c r="M10" s="6" t="n">
        <v>7</v>
      </c>
      <c r="N10" s="15" t="n">
        <v>0.0285</v>
      </c>
      <c r="O10" s="5" t="inlineStr">
        <is>
          <t xml:space="preserve">2026-06-18 → 2026-06-24</t>
        </is>
      </c>
      <c r="P10" s="6" t="n">
        <v>17</v>
      </c>
    </row>
    <row r="11" ht="27" customHeight="1">
      <c r="A11" s="5" t="inlineStr">
        <is>
          <t xml:space="preserve">5502462845</t>
        </is>
      </c>
      <c r="B11" s="5" t="inlineStr">
        <is>
          <t xml:space="preserve">666541</t>
        </is>
      </c>
      <c r="C11" s="5" t="inlineStr">
        <is>
          <t xml:space="preserve">Pelvic</t>
        </is>
      </c>
      <c r="D11" s="5" t="inlineStr">
        <is>
          <t xml:space="preserve">Martins</t>
        </is>
      </c>
      <c r="E11" s="5" t="inlineStr">
        <is>
          <t xml:space="preserve">06-15, 06-24</t>
        </is>
      </c>
      <c r="F11" s="6" t="n">
        <v>65</v>
      </c>
      <c r="G11" s="6" t="n">
        <v>60</v>
      </c>
      <c r="H11" s="6" t="n">
        <v>5</v>
      </c>
      <c r="I11" s="15" t="n">
        <v>0.9231</v>
      </c>
      <c r="J11" s="16" t="inlineStr">
        <is>
          <t xml:space="preserve">Membrane damage (3), Bowel damage (1), Urethra (1)</t>
        </is>
      </c>
      <c r="K11" s="5" t="inlineStr">
        <is>
          <t xml:space="preserve">2026-06-10</t>
        </is>
      </c>
      <c r="L11" s="6" t="n">
        <v>270</v>
      </c>
      <c r="M11" s="6" t="n">
        <v>13</v>
      </c>
      <c r="N11" s="15" t="n">
        <v>0.0481</v>
      </c>
      <c r="O11" s="5" t="inlineStr">
        <is>
          <t xml:space="preserve">2026-06-30 → 2026-07-09</t>
        </is>
      </c>
      <c r="P11" s="6" t="n">
        <v>15</v>
      </c>
    </row>
    <row r="12" ht="27" customHeight="1">
      <c r="A12" s="5" t="inlineStr">
        <is>
          <t xml:space="preserve">5502471460</t>
        </is>
      </c>
      <c r="B12" s="5" t="inlineStr">
        <is>
          <t xml:space="preserve">666541</t>
        </is>
      </c>
      <c r="C12" s="5" t="inlineStr">
        <is>
          <t xml:space="preserve">Pelvic</t>
        </is>
      </c>
      <c r="D12" s="5" t="inlineStr">
        <is>
          <t xml:space="preserve">Martins</t>
        </is>
      </c>
      <c r="E12" s="5" t="inlineStr">
        <is>
          <t xml:space="preserve">06-29, 07-06</t>
        </is>
      </c>
      <c r="F12" s="6" t="n">
        <v>28</v>
      </c>
      <c r="G12" s="6" t="n">
        <v>27</v>
      </c>
      <c r="H12" s="6" t="n">
        <v>1</v>
      </c>
      <c r="I12" s="15" t="n">
        <v>0.9643</v>
      </c>
      <c r="J12" s="16" t="inlineStr">
        <is>
          <t xml:space="preserve">Urethra (1)</t>
        </is>
      </c>
      <c r="K12" s="5" t="inlineStr">
        <is>
          <t xml:space="preserve">2026-06-17</t>
        </is>
      </c>
      <c r="L12" s="6" t="n">
        <v>267</v>
      </c>
      <c r="M12" s="6" t="n">
        <v>30</v>
      </c>
      <c r="N12" s="15" t="n">
        <v>0.1124</v>
      </c>
      <c r="O12" s="5" t="inlineStr">
        <is>
          <t xml:space="preserve">2026-07-09 → 2026-08-06</t>
        </is>
      </c>
      <c r="P12" s="6" t="n">
        <v>10</v>
      </c>
    </row>
    <row r="13" ht="27" customHeight="1">
      <c r="A13" s="5" t="inlineStr">
        <is>
          <t xml:space="preserve">5502495107</t>
        </is>
      </c>
      <c r="B13" s="5" t="inlineStr">
        <is>
          <t xml:space="preserve">666541</t>
        </is>
      </c>
      <c r="C13" s="5" t="inlineStr">
        <is>
          <t xml:space="preserve">Pelvic</t>
        </is>
      </c>
      <c r="D13" s="5" t="inlineStr">
        <is>
          <t xml:space="preserve">Martins</t>
        </is>
      </c>
      <c r="E13" s="5" t="inlineStr">
        <is>
          <t xml:space="preserve">07-13, 07-20</t>
        </is>
      </c>
      <c r="F13" s="6" t="n">
        <v>103</v>
      </c>
      <c r="G13" s="6" t="n">
        <v>99</v>
      </c>
      <c r="H13" s="6" t="n">
        <v>4</v>
      </c>
      <c r="I13" s="15" t="n">
        <v>0.9612</v>
      </c>
      <c r="J13" s="16" t="inlineStr">
        <is>
          <t xml:space="preserve">Urethra (2), Membrane damage (1), Other (1)</t>
        </is>
      </c>
      <c r="K13" s="5" t="inlineStr">
        <is>
          <t xml:space="preserve">2026-07-08</t>
        </is>
      </c>
      <c r="L13" s="6" t="n">
        <v>309</v>
      </c>
      <c r="M13" s="6" t="n">
        <v>9</v>
      </c>
      <c r="N13" s="15" t="n">
        <v>0.0291</v>
      </c>
      <c r="O13" s="5" t="inlineStr">
        <is>
          <t xml:space="preserve">2026-07-30 → 2026-08-12</t>
        </is>
      </c>
      <c r="P13" s="6" t="n">
        <v>17</v>
      </c>
    </row>
    <row r="14" ht="27" customHeight="1">
      <c r="A14" s="5" t="inlineStr">
        <is>
          <t xml:space="preserve">5502512228</t>
        </is>
      </c>
      <c r="B14" s="5" t="inlineStr">
        <is>
          <t xml:space="preserve">666541</t>
        </is>
      </c>
      <c r="C14" s="5" t="inlineStr">
        <is>
          <t xml:space="preserve">Pelvic</t>
        </is>
      </c>
      <c r="D14" s="5" t="inlineStr">
        <is>
          <t xml:space="preserve">Martins</t>
        </is>
      </c>
      <c r="E14" s="5" t="inlineStr">
        <is>
          <t xml:space="preserve">07-27, 08-03, 08-05</t>
        </is>
      </c>
      <c r="F14" s="6" t="n">
        <v>125</v>
      </c>
      <c r="G14" s="6" t="n">
        <v>122</v>
      </c>
      <c r="H14" s="6" t="n">
        <v>3</v>
      </c>
      <c r="I14" s="15" t="n">
        <v>0.976</v>
      </c>
      <c r="J14" s="16" t="inlineStr">
        <is>
          <t xml:space="preserve">Membrane damage (2), Bowel damage (1)</t>
        </is>
      </c>
      <c r="K14" s="5" t="inlineStr">
        <is>
          <t xml:space="preserve">2026-07-27</t>
        </is>
      </c>
      <c r="L14" s="6" t="n">
        <v>431</v>
      </c>
      <c r="M14" s="6" t="n">
        <v>7</v>
      </c>
      <c r="N14" s="15" t="n">
        <v>0.0162</v>
      </c>
      <c r="O14" s="5" t="inlineStr">
        <is>
          <t xml:space="preserve">2026-08-18 → 2026-08-19</t>
        </is>
      </c>
      <c r="P14" s="6" t="n">
        <v>22</v>
      </c>
    </row>
    <row r="15" ht="27" customHeight="1">
      <c r="A15" s="5" t="inlineStr">
        <is>
          <t xml:space="preserve">5502523269</t>
        </is>
      </c>
      <c r="B15" s="5" t="inlineStr">
        <is>
          <t xml:space="preserve">666541</t>
        </is>
      </c>
      <c r="C15" s="5" t="inlineStr">
        <is>
          <t xml:space="preserve">Pelvic</t>
        </is>
      </c>
      <c r="D15" s="5" t="inlineStr">
        <is>
          <t xml:space="preserve">Martins</t>
        </is>
      </c>
      <c r="E15" s="5" t="inlineStr">
        <is>
          <t xml:space="preserve">08-10, 08-17</t>
        </is>
      </c>
      <c r="F15" s="6" t="n">
        <v>58</v>
      </c>
      <c r="G15" s="6" t="n">
        <v>55</v>
      </c>
      <c r="H15" s="6" t="n">
        <v>3</v>
      </c>
      <c r="I15" s="15" t="n">
        <v>0.9483</v>
      </c>
      <c r="J15" s="16" t="inlineStr">
        <is>
          <t xml:space="preserve">Urethra (2), Bowel damage (1)</t>
        </is>
      </c>
      <c r="K15" s="5" t="inlineStr">
        <is>
          <t xml:space="preserve">2026-08-05</t>
        </is>
      </c>
      <c r="L15" s="6" t="n">
        <v>316</v>
      </c>
      <c r="M15" s="6" t="n">
        <v>0</v>
      </c>
      <c r="N15" s="15" t="n">
        <v>0.0</v>
      </c>
      <c r="O15" s="5" t="inlineStr">
        <is>
          <t xml:space="preserve">not yet reviewed</t>
        </is>
      </c>
      <c r="P15" s="5" t="inlineStr">
        <is>
          <t xml:space="preserve">—</t>
        </is>
      </c>
    </row>
    <row r="16" ht="27" customHeight="1">
      <c r="A16" s="5" t="inlineStr">
        <is>
          <t xml:space="preserve">5502512218</t>
        </is>
      </c>
      <c r="B16" s="5" t="inlineStr">
        <is>
          <t xml:space="preserve">666521</t>
        </is>
      </c>
      <c r="C16" s="5" t="inlineStr">
        <is>
          <t xml:space="preserve">Thoracic</t>
        </is>
      </c>
      <c r="D16" s="5" t="inlineStr">
        <is>
          <t xml:space="preserve">Nahunta</t>
        </is>
      </c>
      <c r="E16" s="5" t="inlineStr">
        <is>
          <t xml:space="preserve">07-29, 08-05</t>
        </is>
      </c>
      <c r="F16" s="6" t="n">
        <v>34</v>
      </c>
      <c r="G16" s="6" t="n">
        <v>6</v>
      </c>
      <c r="H16" s="6" t="n">
        <v>28</v>
      </c>
      <c r="I16" s="15" t="n">
        <v>0.1765</v>
      </c>
      <c r="J16" s="16" t="inlineStr">
        <is>
          <t xml:space="preserve">Lung laceration (22), Heart damage (6)</t>
        </is>
      </c>
      <c r="K16" s="5" t="inlineStr">
        <is>
          <t xml:space="preserve">2026-07-23</t>
        </is>
      </c>
      <c r="L16" s="6" t="n">
        <v>24</v>
      </c>
      <c r="M16" s="6" t="n">
        <v>8</v>
      </c>
      <c r="N16" s="15" t="n">
        <v>0.3333</v>
      </c>
      <c r="O16" s="5" t="inlineStr">
        <is>
          <t xml:space="preserve">2026-08-17 → 2026-08-17</t>
        </is>
      </c>
      <c r="P16" s="6" t="n">
        <v>19</v>
      </c>
    </row>
    <row r="17" ht="27" customHeight="1">
      <c r="A17" s="5" t="inlineStr">
        <is>
          <t xml:space="preserve">5502523283</t>
        </is>
      </c>
      <c r="B17" s="5" t="inlineStr">
        <is>
          <t xml:space="preserve">666521</t>
        </is>
      </c>
      <c r="C17" s="5" t="inlineStr">
        <is>
          <t xml:space="preserve">Thoracic</t>
        </is>
      </c>
      <c r="D17" s="5" t="inlineStr">
        <is>
          <t xml:space="preserve">Nahunta</t>
        </is>
      </c>
      <c r="E17" s="5" t="inlineStr">
        <is>
          <t xml:space="preserve">08-12, 08-19</t>
        </is>
      </c>
      <c r="F17" s="6" t="n">
        <v>42</v>
      </c>
      <c r="G17" s="6" t="n">
        <v>8</v>
      </c>
      <c r="H17" s="6" t="n">
        <v>34</v>
      </c>
      <c r="I17" s="15" t="n">
        <v>0.1905</v>
      </c>
      <c r="J17" s="16" t="inlineStr">
        <is>
          <t xml:space="preserve">Lung laceration (20), Heart damage (15)</t>
        </is>
      </c>
      <c r="K17" s="5" t="inlineStr">
        <is>
          <t xml:space="preserve">2026-08-05</t>
        </is>
      </c>
      <c r="L17" s="6" t="n">
        <v>17</v>
      </c>
      <c r="M17" s="6" t="n">
        <v>0</v>
      </c>
      <c r="N17" s="15" t="n">
        <v>0.0</v>
      </c>
      <c r="O17" s="5" t="inlineStr">
        <is>
          <t xml:space="preserve">not yet reviewed</t>
        </is>
      </c>
      <c r="P17" s="5" t="inlineStr">
        <is>
          <t xml:space="preserve">—</t>
        </is>
      </c>
    </row>
    <row r="18"/>
    <row r="19" ht="18" customHeight="1">
      <c r="A19" s="3" t="inlineStr">
        <is>
          <t xml:space="preserve">ATM SCRAP REASONS BY BATCH (units, net of reversals)</t>
        </is>
      </c>
    </row>
    <row r="20" ht="40" customHeight="1">
      <c r="A20" s="11" t="inlineStr">
        <is>
          <t xml:space="preserve">Batch / Lot</t>
        </is>
      </c>
      <c r="B20" s="11" t="inlineStr">
        <is>
          <t xml:space="preserve">9972 Laceration/Cut</t>
        </is>
      </c>
      <c r="C20" s="11" t="inlineStr">
        <is>
          <t xml:space="preserve">9976 Spoilage</t>
        </is>
      </c>
      <c r="D20" s="11" t="inlineStr">
        <is>
          <t xml:space="preserve">9983 Incorrect Dimensions</t>
        </is>
      </c>
      <c r="E20" s="11" t="inlineStr">
        <is>
          <t xml:space="preserve">9986 Bladder Length</t>
        </is>
      </c>
      <c r="F20" s="11" t="inlineStr">
        <is>
          <t xml:space="preserve">9987 Blood Clots</t>
        </is>
      </c>
      <c r="G20" s="11" t="inlineStr">
        <is>
          <t xml:space="preserve">9988 Exposed Urethra</t>
        </is>
      </c>
      <c r="H20" s="11" t="inlineStr">
        <is>
          <t xml:space="preserve">9991 R&amp;D/Testing</t>
        </is>
      </c>
      <c r="I20" s="11" t="inlineStr">
        <is>
          <t xml:space="preserve">1220 (unmapped — confirm label)</t>
        </is>
      </c>
      <c r="J20" s="11" t="inlineStr">
        <is>
          <t xml:space="preserve">Total</t>
        </is>
      </c>
    </row>
    <row r="21">
      <c r="A21" s="5" t="inlineStr">
        <is>
          <t xml:space="preserve">5502378434</t>
        </is>
      </c>
      <c r="B21" s="6" t="n">
        <v>17</v>
      </c>
      <c r="C21" s="6" t="n">
        <v>1</v>
      </c>
      <c r="E21" s="6" t="n">
        <v>2</v>
      </c>
      <c r="F21" s="6" t="n">
        <v>4</v>
      </c>
      <c r="J21" s="6" t="n">
        <v>24</v>
      </c>
    </row>
    <row r="22">
      <c r="A22" s="5" t="inlineStr">
        <is>
          <t xml:space="preserve">5502391862</t>
        </is>
      </c>
      <c r="B22" s="6" t="n">
        <v>7</v>
      </c>
      <c r="J22" s="6" t="n">
        <v>7</v>
      </c>
    </row>
    <row r="23">
      <c r="A23" s="5" t="inlineStr">
        <is>
          <t xml:space="preserve">5502404928</t>
        </is>
      </c>
      <c r="B23" s="6" t="n">
        <v>12</v>
      </c>
      <c r="H23" s="6" t="n">
        <v>10</v>
      </c>
      <c r="J23" s="6" t="n">
        <v>22</v>
      </c>
    </row>
    <row r="24">
      <c r="A24" s="5" t="inlineStr">
        <is>
          <t xml:space="preserve">5502421192</t>
        </is>
      </c>
      <c r="B24" s="6" t="n">
        <v>21</v>
      </c>
      <c r="G24" s="6" t="n">
        <v>3</v>
      </c>
      <c r="J24" s="6" t="n">
        <v>24</v>
      </c>
    </row>
    <row r="25">
      <c r="A25" s="5" t="inlineStr">
        <is>
          <t xml:space="preserve">5502428786</t>
        </is>
      </c>
      <c r="B25" s="6" t="n">
        <v>2</v>
      </c>
      <c r="G25" s="6" t="n">
        <v>5</v>
      </c>
      <c r="J25" s="6" t="n">
        <v>7</v>
      </c>
    </row>
    <row r="26">
      <c r="A26" s="5" t="inlineStr">
        <is>
          <t xml:space="preserve">5502462845</t>
        </is>
      </c>
      <c r="B26" s="6" t="n">
        <v>10</v>
      </c>
      <c r="D26" s="6" t="n">
        <v>1</v>
      </c>
      <c r="E26" s="6" t="n">
        <v>1</v>
      </c>
      <c r="G26" s="6" t="n">
        <v>1</v>
      </c>
      <c r="J26" s="6" t="n">
        <v>13</v>
      </c>
    </row>
    <row r="27">
      <c r="A27" s="5" t="inlineStr">
        <is>
          <t xml:space="preserve">5502471460</t>
        </is>
      </c>
      <c r="B27" s="6" t="n">
        <v>13</v>
      </c>
      <c r="C27" s="6" t="n">
        <v>1</v>
      </c>
      <c r="E27" s="6" t="n">
        <v>1</v>
      </c>
      <c r="F27" s="6" t="n">
        <v>9</v>
      </c>
      <c r="G27" s="6" t="n">
        <v>1</v>
      </c>
      <c r="I27" s="6" t="n">
        <v>5</v>
      </c>
      <c r="J27" s="6" t="n">
        <v>30</v>
      </c>
    </row>
    <row r="28">
      <c r="A28" s="5" t="inlineStr">
        <is>
          <t xml:space="preserve">5502495107</t>
        </is>
      </c>
      <c r="B28" s="6" t="n">
        <v>3</v>
      </c>
      <c r="G28" s="6" t="n">
        <v>6</v>
      </c>
      <c r="J28" s="6" t="n">
        <v>9</v>
      </c>
    </row>
    <row r="29">
      <c r="A29" s="5" t="inlineStr">
        <is>
          <t xml:space="preserve">5502512228</t>
        </is>
      </c>
      <c r="B29" s="6" t="n">
        <v>4</v>
      </c>
      <c r="E29" s="6" t="n">
        <v>3</v>
      </c>
      <c r="J29" s="6" t="n">
        <v>7</v>
      </c>
    </row>
    <row r="30">
      <c r="A30" s="5" t="inlineStr">
        <is>
          <t xml:space="preserve">5502512218</t>
        </is>
      </c>
      <c r="B30" s="6" t="n">
        <v>8</v>
      </c>
      <c r="J30" s="6" t="n">
        <v>8</v>
      </c>
    </row>
    <row r="31"/>
    <row r="32" ht="18" customHeight="1">
      <c r="A32" s="3" t="inlineStr">
        <is>
          <t xml:space="preserve">ATM REASON-CODE LEGEND</t>
        </is>
      </c>
    </row>
    <row r="33">
      <c r="A33" s="5" t="inlineStr">
        <is>
          <t xml:space="preserve">1220</t>
        </is>
      </c>
      <c r="B33" s="16" t="inlineStr">
        <is>
          <t xml:space="preserve">(unmapped — confirm label) ●</t>
        </is>
      </c>
      <c r="G33" s="5" t="inlineStr">
        <is>
          <t xml:space="preserve">9986</t>
        </is>
      </c>
      <c r="H33" s="16" t="inlineStr">
        <is>
          <t xml:space="preserve">Bladder Length ●</t>
        </is>
      </c>
    </row>
    <row r="34">
      <c r="A34" s="5" t="inlineStr">
        <is>
          <t xml:space="preserve">9972</t>
        </is>
      </c>
      <c r="B34" s="16" t="inlineStr">
        <is>
          <t xml:space="preserve">Laceration/Cut ●</t>
        </is>
      </c>
      <c r="G34" s="5" t="inlineStr">
        <is>
          <t xml:space="preserve">9987</t>
        </is>
      </c>
      <c r="H34" s="16" t="inlineStr">
        <is>
          <t xml:space="preserve">Blood Clots ●</t>
        </is>
      </c>
    </row>
    <row r="35">
      <c r="A35" s="5" t="inlineStr">
        <is>
          <t xml:space="preserve">9973</t>
        </is>
      </c>
      <c r="B35" s="16" t="inlineStr">
        <is>
          <t xml:space="preserve">Out of Spec</t>
        </is>
      </c>
      <c r="G35" s="5" t="inlineStr">
        <is>
          <t xml:space="preserve">9988</t>
        </is>
      </c>
      <c r="H35" s="16" t="inlineStr">
        <is>
          <t xml:space="preserve">Exposed Urethra ●</t>
        </is>
      </c>
    </row>
    <row r="36">
      <c r="A36" s="5" t="inlineStr">
        <is>
          <t xml:space="preserve">9974</t>
        </is>
      </c>
      <c r="B36" s="16" t="inlineStr">
        <is>
          <t xml:space="preserve">Membrane Too Small</t>
        </is>
      </c>
      <c r="G36" s="5" t="inlineStr">
        <is>
          <t xml:space="preserve">9989</t>
        </is>
      </c>
      <c r="H36" s="16" t="inlineStr">
        <is>
          <t xml:space="preserve">Expired Material</t>
        </is>
      </c>
    </row>
    <row r="37">
      <c r="A37" s="5" t="inlineStr">
        <is>
          <t xml:space="preserve">9975</t>
        </is>
      </c>
      <c r="B37" s="16" t="inlineStr">
        <is>
          <t xml:space="preserve">Reduced Lymph Node</t>
        </is>
      </c>
      <c r="G37" s="5" t="inlineStr">
        <is>
          <t xml:space="preserve">9990</t>
        </is>
      </c>
      <c r="H37" s="16" t="inlineStr">
        <is>
          <t xml:space="preserve">Loss of Traceability</t>
        </is>
      </c>
    </row>
    <row r="38">
      <c r="A38" s="5" t="inlineStr">
        <is>
          <t xml:space="preserve">9976</t>
        </is>
      </c>
      <c r="B38" s="16" t="inlineStr">
        <is>
          <t xml:space="preserve">Spoilage ●</t>
        </is>
      </c>
      <c r="G38" s="5" t="inlineStr">
        <is>
          <t xml:space="preserve">9991</t>
        </is>
      </c>
      <c r="H38" s="16" t="inlineStr">
        <is>
          <t xml:space="preserve">R&amp;D/Testing ●</t>
        </is>
      </c>
    </row>
    <row r="39">
      <c r="A39" s="5" t="inlineStr">
        <is>
          <t xml:space="preserve">9977</t>
        </is>
      </c>
      <c r="B39" s="16" t="inlineStr">
        <is>
          <t xml:space="preserve">Ureter Too Short</t>
        </is>
      </c>
      <c r="G39" s="5" t="inlineStr">
        <is>
          <t xml:space="preserve">9992</t>
        </is>
      </c>
      <c r="H39" s="16" t="inlineStr">
        <is>
          <t xml:space="preserve">Label Issue</t>
        </is>
      </c>
    </row>
    <row r="40">
      <c r="A40" s="5" t="inlineStr">
        <is>
          <t xml:space="preserve">9978</t>
        </is>
      </c>
      <c r="B40" s="16" t="inlineStr">
        <is>
          <t xml:space="preserve">Damage to Suspensory</t>
        </is>
      </c>
      <c r="G40" s="5" t="inlineStr">
        <is>
          <t xml:space="preserve">9993</t>
        </is>
      </c>
      <c r="H40" s="16" t="inlineStr">
        <is>
          <t xml:space="preserve">3X Refreeze</t>
        </is>
      </c>
    </row>
    <row r="41">
      <c r="A41" s="5" t="inlineStr">
        <is>
          <t xml:space="preserve">9979</t>
        </is>
      </c>
      <c r="B41" s="16" t="inlineStr">
        <is>
          <t xml:space="preserve">Damage to Broad Ligament</t>
        </is>
      </c>
      <c r="G41" s="5" t="inlineStr">
        <is>
          <t xml:space="preserve">9994</t>
        </is>
      </c>
      <c r="H41" s="16" t="inlineStr">
        <is>
          <t xml:space="preserve">Line Clearance</t>
        </is>
      </c>
    </row>
    <row r="42">
      <c r="A42" s="5" t="inlineStr">
        <is>
          <t xml:space="preserve">9980</t>
        </is>
      </c>
      <c r="B42" s="16" t="inlineStr">
        <is>
          <t xml:space="preserve">Overfilled Jejunum</t>
        </is>
      </c>
      <c r="G42" s="5" t="inlineStr">
        <is>
          <t xml:space="preserve">9995</t>
        </is>
      </c>
      <c r="H42" s="16" t="inlineStr">
        <is>
          <t xml:space="preserve">Received Damage</t>
        </is>
      </c>
    </row>
    <row r="43">
      <c r="A43" s="5" t="inlineStr">
        <is>
          <t xml:space="preserve">9981</t>
        </is>
      </c>
      <c r="B43" s="16" t="inlineStr">
        <is>
          <t xml:space="preserve">Incorrect Thickness</t>
        </is>
      </c>
      <c r="G43" s="5" t="inlineStr">
        <is>
          <t xml:space="preserve">9996</t>
        </is>
      </c>
      <c r="H43" s="16" t="inlineStr">
        <is>
          <t xml:space="preserve">Missing Anatomy</t>
        </is>
      </c>
    </row>
    <row r="44">
      <c r="A44" s="5" t="inlineStr">
        <is>
          <t xml:space="preserve">9982</t>
        </is>
      </c>
      <c r="B44" s="16" t="inlineStr">
        <is>
          <t xml:space="preserve">Incorrect Color</t>
        </is>
      </c>
      <c r="G44" s="5" t="inlineStr">
        <is>
          <t xml:space="preserve">9997</t>
        </is>
      </c>
      <c r="H44" s="16" t="inlineStr">
        <is>
          <t xml:space="preserve">Mesentery Damage</t>
        </is>
      </c>
    </row>
    <row r="45">
      <c r="A45" s="5" t="inlineStr">
        <is>
          <t xml:space="preserve">9983</t>
        </is>
      </c>
      <c r="B45" s="16" t="inlineStr">
        <is>
          <t xml:space="preserve">Incorrect Dimensions ●</t>
        </is>
      </c>
      <c r="G45" s="5" t="inlineStr">
        <is>
          <t xml:space="preserve">9998</t>
        </is>
      </c>
      <c r="H45" s="16" t="inlineStr">
        <is>
          <t xml:space="preserve">Urethra Damage</t>
        </is>
      </c>
    </row>
    <row r="46">
      <c r="A46" s="5" t="inlineStr">
        <is>
          <t xml:space="preserve">9984</t>
        </is>
      </c>
      <c r="B46" s="16" t="inlineStr">
        <is>
          <t xml:space="preserve">Partial Qty</t>
        </is>
      </c>
      <c r="G46" s="5" t="inlineStr">
        <is>
          <t xml:space="preserve">9999</t>
        </is>
      </c>
      <c r="H46" s="16" t="inlineStr">
        <is>
          <t xml:space="preserve">Bladder Damage</t>
        </is>
      </c>
    </row>
    <row r="47">
      <c r="A47" s="5" t="inlineStr">
        <is>
          <t xml:space="preserve">9985</t>
        </is>
      </c>
      <c r="B47" s="16" t="inlineStr">
        <is>
          <t xml:space="preserve">Tech Damaged</t>
        </is>
      </c>
    </row>
    <row r="48">
      <c r="A48" s="20" t="inlineStr">
        <is>
          <t xml:space="preserve">● = code appears in the matched batches above.</t>
        </is>
      </c>
    </row>
    <row r="49"/>
    <row r="50" ht="18" customHeight="1">
      <c r="A50" s="3" t="inlineStr">
        <is>
          <t xml:space="preserve">READ &amp; NOTES</t>
        </is>
      </c>
    </row>
    <row r="51" ht="44" customHeight="1">
      <c r="A51" s="20" t="inlineStr">
        <is>
          <t xml:space="preserve">• The stories align: ATM's dominant code 9972 Laceration/Cut (97 units across matched batches) mirrors the cut/laceration damage the SH floor flags upstream. Exposed Urethra (9988) and Bladder Length (9986) echo the SH urethra/bladder and short-block findings.</t>
        </is>
      </c>
    </row>
    <row r="52" ht="44" customHeight="1">
      <c r="A52" s="20" t="inlineStr">
        <is>
          <t xml:space="preserve">• Some defects only surface post-freeze: Blood Clots (9987, 13 units) and Spoilage (9976) are ATM-only finds — invisible at the SH floor. Conversely, SH catches and scraps fails before shipment, so ATM sees the survivors.</t>
        </is>
      </c>
    </row>
    <row r="53" ht="44" customHeight="1">
      <c r="A53" s="20" t="inlineStr">
        <is>
          <t xml:space="preserve">• Timing: ATM 'first receipt' can precede the SH visit because a batch number spans multiple harvest weeks and accumulates shipments (SH samples on the floor mid-stream). The meaningful lag is SH inspection → ATM scrap review: 10–31 days (median ≈ 17) on matched batches.</t>
        </is>
      </c>
    </row>
    <row r="54" ht="44" customHeight="1">
      <c r="A54" s="20" t="inlineStr">
        <is>
          <t xml:space="preserve">• Thoracic reality check: batch 5502512218 failed 82% at the SH floor and the survivors still scrapped 33% at ATM (all 9972) — reinforcing that thoracic damage is harvesting-side. Batch 5502523283 (received 8/05) shows no ATM review yet.</t>
        </is>
      </c>
    </row>
    <row r="55" ht="44" customHeight="1">
      <c r="A55" s="20" t="inlineStr">
        <is>
          <t xml:space="preserve">• Not linkable: 666506 (non-intact) is not tracked at ATM. Parks batches exist in the ATM data (supplier-tagged) but Parks SH tally sheets carry no batch numbers — start recording lot numbers on Parks sheets to extend this comparison.</t>
        </is>
      </c>
    </row>
    <row r="56" ht="44" customHeight="1">
      <c r="A56" s="20" t="inlineStr">
        <is>
          <t xml:space="preserve">• Caveats: code 1220 (5 units, lot 5502471460) is not in the provided legend — confirm its label. 9991 R&amp;D/Testing (10 units, lot 5502404928) is a planned withdrawal, not a quality defect. Lot 5502523283 also carried a small Nahunta pelvic line at SH; the ATM batch is thoracic material only. Lot 5502523269 (received 8/05) has no scrap postings yet.</t>
        </is>
      </c>
    </row>
  </sheetData>
  <mergeCells count="42">
    <mergeCell ref="A1:P1"/>
    <mergeCell ref="A2:P2"/>
    <mergeCell ref="A4:P4"/>
    <mergeCell ref="A19:P19"/>
    <mergeCell ref="A32:P32"/>
    <mergeCell ref="B33:E33"/>
    <mergeCell ref="H33:K33"/>
    <mergeCell ref="B34:E34"/>
    <mergeCell ref="H34:K34"/>
    <mergeCell ref="B35:E35"/>
    <mergeCell ref="H35:K35"/>
    <mergeCell ref="B36:E36"/>
    <mergeCell ref="H36:K36"/>
    <mergeCell ref="B37:E37"/>
    <mergeCell ref="H37:K37"/>
    <mergeCell ref="B38:E38"/>
    <mergeCell ref="H38:K38"/>
    <mergeCell ref="B39:E39"/>
    <mergeCell ref="H39:K39"/>
    <mergeCell ref="B40:E40"/>
    <mergeCell ref="H40:K40"/>
    <mergeCell ref="B41:E41"/>
    <mergeCell ref="H41:K41"/>
    <mergeCell ref="B42:E42"/>
    <mergeCell ref="H42:K42"/>
    <mergeCell ref="B43:E43"/>
    <mergeCell ref="H43:K43"/>
    <mergeCell ref="B44:E44"/>
    <mergeCell ref="H44:K44"/>
    <mergeCell ref="B45:E45"/>
    <mergeCell ref="H45:K45"/>
    <mergeCell ref="B46:E46"/>
    <mergeCell ref="H46:K46"/>
    <mergeCell ref="B47:E47"/>
    <mergeCell ref="A48:P48"/>
    <mergeCell ref="A50:P50"/>
    <mergeCell ref="A51:P51"/>
    <mergeCell ref="A52:P52"/>
    <mergeCell ref="A53:P53"/>
    <mergeCell ref="A54:P54"/>
    <mergeCell ref="A55:P55"/>
    <mergeCell ref="A56:P56"/>
  </mergeCells>
  <conditionalFormatting sqref="I6:I17">
    <cfRule type="colorScale" priority="1">
      <colorScale>
        <cfvo type="num" val="0.3"/>
        <cfvo type="num" val="0.8"/>
        <cfvo type="num" val="1"/>
        <color rgb="FFF8696B"/>
        <color rgb="FFFFEB84"/>
        <color rgb="FF63BE7B"/>
      </colorScale>
    </cfRule>
  </conditionalFormatting>
  <conditionalFormatting sqref="N6:N17">
    <cfRule type="colorScale" priority="2">
      <colorScale>
        <cfvo type="num" val="0"/>
        <cfvo type="num" val="0.1"/>
        <cfvo type="num" val="0.35"/>
        <color rgb="FF63BE7B"/>
        <color rgb="FFFFEB84"/>
        <color rgb="FFF8696B"/>
      </colorScale>
    </cfRule>
  </conditionalFormatting>
  <conditionalFormatting sqref="B21:I30">
    <cfRule type="dataBar" priority="3">
      <dataBar>
        <cfvo type="min"/>
        <cfvo type="max"/>
        <color rgb="FF638EC6"/>
      </dataBar>
    </cfRule>
  </conditionalFormatting>
  <pageMargins left="0.5" right="0.5" top="0.6" bottom="0.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Slaughterhouse IQC</vt:lpstr>
      <vt:lpstr>Quality Dashboard</vt:lpstr>
      <vt:lpstr>Monthly Breakdown</vt:lpstr>
      <vt:lpstr>Apr 2026</vt:lpstr>
      <vt:lpstr>May 2026</vt:lpstr>
      <vt:lpstr>Jun 2026</vt:lpstr>
      <vt:lpstr>Jul 2026</vt:lpstr>
      <vt:lpstr>Aug 2026</vt:lpstr>
      <vt:lpstr>SmartAssessment</vt:lpstr>
      <vt:lpstr>Defect Atlas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Oscar Penny</dc:creator>
  <dc:description/>
  <cp:lastModifiedBy>Oscar Penny</cp:lastModifiedBy>
  <cp:revision>4</cp:revision>
  <cp:lastPrinted>2026-05-12T17:20:15Z</cp:lastPrinted>
  <dcterms:created xsi:type="dcterms:W3CDTF">2026-05-12T17:19:46Z</dcterms:created>
  <dcterms:modified xsi:type="dcterms:W3CDTF">2026-08-20T15:12:57Z</dcterms:modified>
  <dc:language>en-US</dc:language>
</cp:coreProperties>
</file>