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openny\Downloads\"/>
    </mc:Choice>
  </mc:AlternateContent>
  <xr:revisionPtr revIDLastSave="0" documentId="13_ncr:1_{4AF5B7AE-7C39-443A-A727-02EDC1CD4660}" xr6:coauthVersionLast="47" xr6:coauthVersionMax="47" xr10:uidLastSave="{00000000-0000-0000-0000-000000000000}"/>
  <bookViews>
    <workbookView xWindow="40560" yWindow="-16350" windowWidth="29040" windowHeight="15720" tabRatio="500" firstSheet="1" activeTab="6" xr2:uid="{00000000-000D-0000-FFFF-FFFF00000000}"/>
  </bookViews>
  <sheets>
    <sheet name="Slaughterhouse IQC" sheetId="2" r:id="rId1"/>
    <sheet name="Quality Dashboard" sheetId="14" r:id="rId2"/>
    <sheet name="Monthly Breakdown" sheetId="15" r:id="rId3"/>
    <sheet name="SH vs ATM by Batch" sheetId="21" r:id="rId16"/>
    <sheet name="SH vs ATM Issues" sheetId="22" r:id="rId17"/>
    <sheet name="Issue Data" sheetId="23" state="hidden" r:id="rId18"/>
    <sheet name="Apr 2026" sheetId="16" r:id="rId4"/>
    <sheet name="May 2026" sheetId="17" r:id="rId5"/>
    <sheet name="Jun 2026" sheetId="18" r:id="rId6"/>
    <sheet name="Jul 2026" sheetId="19" r:id="rId7"/>
    <sheet name="Aug 2026" sheetId="20" r:id="rId8"/>
    <sheet name="SmartAssessment" sheetId="12" r:id="rId9"/>
    <sheet name="Defect Atlas" sheetId="9" r:id="rId10"/>
    <sheet name="README" sheetId="10"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93" i="15" l="1"/>
  <c r="F93" i="15"/>
  <c r="E93" i="15"/>
  <c r="D93" i="15"/>
  <c r="C93" i="15"/>
  <c r="B93" i="15"/>
  <c r="C89" i="15"/>
  <c r="B89" i="15"/>
  <c r="F88" i="15"/>
  <c r="E88" i="15"/>
  <c r="D88" i="15"/>
  <c r="C88" i="15"/>
  <c r="B88" i="15"/>
  <c r="G88" i="15" s="1"/>
  <c r="F87" i="15"/>
  <c r="F89" i="15" s="1"/>
  <c r="E87" i="15"/>
  <c r="D87" i="15"/>
  <c r="C87" i="15"/>
  <c r="B87" i="15"/>
  <c r="F86" i="15"/>
  <c r="E86" i="15"/>
  <c r="E89" i="15" s="1"/>
  <c r="D86" i="15"/>
  <c r="D89" i="15" s="1"/>
  <c r="C86" i="15"/>
  <c r="B86" i="15"/>
  <c r="G86" i="15" s="1"/>
  <c r="G82" i="15"/>
  <c r="F82" i="15"/>
  <c r="E82" i="15"/>
  <c r="D82" i="15"/>
  <c r="C82" i="15"/>
  <c r="B82" i="15"/>
  <c r="F79" i="15"/>
  <c r="E79" i="15"/>
  <c r="D79" i="15"/>
  <c r="F78" i="15"/>
  <c r="E78" i="15"/>
  <c r="D78" i="15"/>
  <c r="C78" i="15"/>
  <c r="B78" i="15"/>
  <c r="G78" i="15" s="1"/>
  <c r="F77" i="15"/>
  <c r="E77" i="15"/>
  <c r="D77" i="15"/>
  <c r="C77" i="15"/>
  <c r="B77" i="15"/>
  <c r="G77" i="15" s="1"/>
  <c r="F76" i="15"/>
  <c r="E76" i="15"/>
  <c r="D76" i="15"/>
  <c r="C76" i="15"/>
  <c r="C79" i="15" s="1"/>
  <c r="B76" i="15"/>
  <c r="B79" i="15" s="1"/>
  <c r="G72" i="15"/>
  <c r="F72" i="15"/>
  <c r="E72" i="15"/>
  <c r="D72" i="15"/>
  <c r="C72" i="15"/>
  <c r="B72" i="15"/>
  <c r="C69" i="15"/>
  <c r="B69" i="15"/>
  <c r="F68" i="15"/>
  <c r="E68" i="15"/>
  <c r="D68" i="15"/>
  <c r="C68" i="15"/>
  <c r="B68" i="15"/>
  <c r="G68" i="15" s="1"/>
  <c r="F67" i="15"/>
  <c r="G67" i="15" s="1"/>
  <c r="E67" i="15"/>
  <c r="D67" i="15"/>
  <c r="C67" i="15"/>
  <c r="B67" i="15"/>
  <c r="F66" i="15"/>
  <c r="E66" i="15"/>
  <c r="E69" i="15" s="1"/>
  <c r="D66" i="15"/>
  <c r="D69" i="15" s="1"/>
  <c r="C66" i="15"/>
  <c r="B66" i="15"/>
  <c r="G66" i="15" s="1"/>
  <c r="G69" i="15" s="1"/>
  <c r="G62" i="15"/>
  <c r="F62" i="15"/>
  <c r="E62" i="15"/>
  <c r="D62" i="15"/>
  <c r="C62" i="15"/>
  <c r="B62" i="15"/>
  <c r="F55" i="15"/>
  <c r="E55" i="15"/>
  <c r="D55" i="15"/>
  <c r="F54" i="15"/>
  <c r="E54" i="15"/>
  <c r="D54" i="15"/>
  <c r="C54" i="15"/>
  <c r="B54" i="15"/>
  <c r="G54" i="15" s="1"/>
  <c r="F53" i="15"/>
  <c r="E53" i="15"/>
  <c r="D53" i="15"/>
  <c r="C53" i="15"/>
  <c r="B53" i="15"/>
  <c r="G53" i="15" s="1"/>
  <c r="F52" i="15"/>
  <c r="E52" i="15"/>
  <c r="D52" i="15"/>
  <c r="C52" i="15"/>
  <c r="C55" i="15" s="1"/>
  <c r="B52" i="15"/>
  <c r="B55" i="15" s="1"/>
  <c r="G48" i="15"/>
  <c r="F48" i="15"/>
  <c r="E48" i="15"/>
  <c r="D48" i="15"/>
  <c r="C48" i="15"/>
  <c r="B48" i="15"/>
  <c r="C41" i="15"/>
  <c r="B41" i="15"/>
  <c r="F40" i="15"/>
  <c r="E40" i="15"/>
  <c r="D40" i="15"/>
  <c r="C40" i="15"/>
  <c r="B40" i="15"/>
  <c r="G40" i="15" s="1"/>
  <c r="F39" i="15"/>
  <c r="G39" i="15" s="1"/>
  <c r="E39" i="15"/>
  <c r="D39" i="15"/>
  <c r="C39" i="15"/>
  <c r="B39" i="15"/>
  <c r="F38" i="15"/>
  <c r="E38" i="15"/>
  <c r="E41" i="15" s="1"/>
  <c r="D38" i="15"/>
  <c r="D41" i="15" s="1"/>
  <c r="C38" i="15"/>
  <c r="B38" i="15"/>
  <c r="G38" i="15" s="1"/>
  <c r="G41" i="15" s="1"/>
  <c r="G34" i="15"/>
  <c r="F34" i="15"/>
  <c r="E34" i="15"/>
  <c r="D34" i="15"/>
  <c r="C34" i="15"/>
  <c r="B34" i="15"/>
  <c r="F27" i="15"/>
  <c r="E27" i="15"/>
  <c r="D27" i="15"/>
  <c r="F26" i="15"/>
  <c r="E26" i="15"/>
  <c r="D26" i="15"/>
  <c r="C26" i="15"/>
  <c r="B26" i="15"/>
  <c r="G26" i="15" s="1"/>
  <c r="F25" i="15"/>
  <c r="E25" i="15"/>
  <c r="D25" i="15"/>
  <c r="C25" i="15"/>
  <c r="B25" i="15"/>
  <c r="G25" i="15" s="1"/>
  <c r="F24" i="15"/>
  <c r="E24" i="15"/>
  <c r="D24" i="15"/>
  <c r="C24" i="15"/>
  <c r="C27" i="15" s="1"/>
  <c r="B24" i="15"/>
  <c r="B27" i="15" s="1"/>
  <c r="G20" i="15"/>
  <c r="F20" i="15"/>
  <c r="E20" i="15"/>
  <c r="D20" i="15"/>
  <c r="C20" i="15"/>
  <c r="B20" i="15"/>
  <c r="G19" i="15"/>
  <c r="F19" i="15"/>
  <c r="E19" i="15"/>
  <c r="D19" i="15"/>
  <c r="C19" i="15"/>
  <c r="B19" i="15"/>
  <c r="G18" i="15"/>
  <c r="F18" i="15"/>
  <c r="E18" i="15"/>
  <c r="D18" i="15"/>
  <c r="C18" i="15"/>
  <c r="B18" i="15"/>
  <c r="G17" i="15"/>
  <c r="F17" i="15"/>
  <c r="E17" i="15"/>
  <c r="D17" i="15"/>
  <c r="C17" i="15"/>
  <c r="B17" i="15"/>
  <c r="G16" i="15"/>
  <c r="F16" i="15"/>
  <c r="E16" i="15"/>
  <c r="D16" i="15"/>
  <c r="C16" i="15"/>
  <c r="B16" i="15"/>
  <c r="G15" i="15"/>
  <c r="F15" i="15"/>
  <c r="E15" i="15"/>
  <c r="D15" i="15"/>
  <c r="C15" i="15"/>
  <c r="B15" i="15"/>
  <c r="G11" i="15"/>
  <c r="F11" i="15"/>
  <c r="E11" i="15"/>
  <c r="D11" i="15"/>
  <c r="C11" i="15"/>
  <c r="B11" i="15"/>
  <c r="G10" i="15"/>
  <c r="F10" i="15"/>
  <c r="E10" i="15"/>
  <c r="D10" i="15"/>
  <c r="C10" i="15"/>
  <c r="B10" i="15"/>
  <c r="G9" i="15"/>
  <c r="F9" i="15"/>
  <c r="E9" i="15"/>
  <c r="D9" i="15"/>
  <c r="C9" i="15"/>
  <c r="B9" i="15"/>
  <c r="G8" i="15"/>
  <c r="F8" i="15"/>
  <c r="E8" i="15"/>
  <c r="D8" i="15"/>
  <c r="C8" i="15"/>
  <c r="B8" i="15"/>
  <c r="G7" i="15"/>
  <c r="F7" i="15"/>
  <c r="E7" i="15"/>
  <c r="D7" i="15"/>
  <c r="C7" i="15"/>
  <c r="B7" i="15"/>
  <c r="G6" i="15"/>
  <c r="F6" i="15"/>
  <c r="E6" i="15"/>
  <c r="D6" i="15"/>
  <c r="C6" i="15"/>
  <c r="B6" i="15"/>
  <c r="K70" i="2"/>
  <c r="J70" i="2"/>
  <c r="L70" i="2" s="1"/>
  <c r="I70" i="2"/>
  <c r="K69" i="2"/>
  <c r="J69" i="2"/>
  <c r="L69" i="2" s="1"/>
  <c r="I69" i="2"/>
  <c r="K68" i="2"/>
  <c r="J68" i="2"/>
  <c r="L68" i="2" s="1"/>
  <c r="I68"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L7" i="2"/>
  <c r="L6" i="2"/>
  <c r="E21" i="14"/>
  <c r="G21" i="14" s="1"/>
  <c r="D21" i="14"/>
  <c r="F21" i="14" s="1"/>
  <c r="C21" i="14"/>
  <c r="E20" i="14"/>
  <c r="G20" i="14" s="1"/>
  <c r="D20" i="14"/>
  <c r="F20" i="14" s="1"/>
  <c r="C20" i="14"/>
  <c r="E19" i="14"/>
  <c r="G19" i="14" s="1"/>
  <c r="D19" i="14"/>
  <c r="F19" i="14" s="1"/>
  <c r="C19" i="14"/>
  <c r="H15" i="14"/>
  <c r="G15" i="14"/>
  <c r="F15" i="14"/>
  <c r="E15" i="14"/>
  <c r="D15" i="14"/>
  <c r="F14" i="14"/>
  <c r="H14" i="14" s="1"/>
  <c r="E14" i="14"/>
  <c r="G14" i="14" s="1"/>
  <c r="D14" i="14"/>
  <c r="F13" i="14"/>
  <c r="H13" i="14" s="1"/>
  <c r="E13" i="14"/>
  <c r="G13" i="14" s="1"/>
  <c r="D13" i="14"/>
  <c r="F12" i="14"/>
  <c r="H12" i="14" s="1"/>
  <c r="E12" i="14"/>
  <c r="G12" i="14" s="1"/>
  <c r="D12" i="14"/>
  <c r="D7" i="14"/>
  <c r="F7" i="14" s="1"/>
  <c r="C7" i="14"/>
  <c r="E7" i="14" s="1"/>
  <c r="B7" i="14"/>
  <c r="D6" i="14"/>
  <c r="D8" i="14" s="1"/>
  <c r="C6" i="14"/>
  <c r="C8" i="14" s="1"/>
  <c r="B6" i="14"/>
  <c r="B8" i="14" s="1"/>
  <c r="E8" i="14" l="1"/>
  <c r="F8" i="14"/>
  <c r="F6" i="14"/>
  <c r="G87" i="15"/>
  <c r="G89" i="15" s="1"/>
  <c r="E6" i="14"/>
  <c r="F69" i="15"/>
  <c r="G24" i="15"/>
  <c r="G27" i="15" s="1"/>
  <c r="F41" i="15"/>
  <c r="G52" i="15"/>
  <c r="G55" i="15" s="1"/>
  <c r="G76" i="15"/>
  <c r="G79" i="15" s="1"/>
</calcChain>
</file>

<file path=xl/sharedStrings.xml><?xml version="1.0" encoding="utf-8"?>
<sst xmlns="http://schemas.openxmlformats.org/spreadsheetml/2006/main" count="1554" uniqueCount="418">
  <si>
    <t>2026-04-13</t>
  </si>
  <si>
    <t>2026-04-20</t>
  </si>
  <si>
    <t>2026-05-04</t>
  </si>
  <si>
    <t>2026-05-28</t>
  </si>
  <si>
    <t>Total</t>
  </si>
  <si>
    <t>Critical Mesentery Hole/Laceration (&gt;0.5")</t>
  </si>
  <si>
    <t>Bladder Laceration (exposing internal)</t>
  </si>
  <si>
    <t>Rank</t>
  </si>
  <si>
    <t>Slaughterhouse</t>
  </si>
  <si>
    <t>Inspector</t>
  </si>
  <si>
    <t>SH Tech</t>
  </si>
  <si>
    <t>Martins</t>
  </si>
  <si>
    <t>Toni</t>
  </si>
  <si>
    <t>Jesus</t>
  </si>
  <si>
    <t>5502378434</t>
  </si>
  <si>
    <t>5502378430</t>
  </si>
  <si>
    <t>666541</t>
  </si>
  <si>
    <t>666506</t>
  </si>
  <si>
    <t>5502391862</t>
  </si>
  <si>
    <t>5502391858</t>
  </si>
  <si>
    <t>5502404928</t>
  </si>
  <si>
    <t>5502404924</t>
  </si>
  <si>
    <t>5502421192</t>
  </si>
  <si>
    <t>5502421188</t>
  </si>
  <si>
    <t>2026-05-27</t>
  </si>
  <si>
    <t>—</t>
  </si>
  <si>
    <t>Parks Family Meats</t>
  </si>
  <si>
    <t>Rasmin</t>
  </si>
  <si>
    <t>Natalie</t>
  </si>
  <si>
    <t>(no batch data)</t>
  </si>
  <si>
    <t>666518</t>
  </si>
  <si>
    <t>5502428786</t>
  </si>
  <si>
    <t>5502428782</t>
  </si>
  <si>
    <t>2026-06-02</t>
  </si>
  <si>
    <t>Harvest Date</t>
  </si>
  <si>
    <t>Lot</t>
  </si>
  <si>
    <t># Inspected</t>
  </si>
  <si>
    <t># Pass</t>
  </si>
  <si>
    <t># Fail</t>
  </si>
  <si>
    <t>Intact</t>
  </si>
  <si>
    <t>1 hole in bowel; 1 label marked for thin area in bowel</t>
  </si>
  <si>
    <t>2026-04-15</t>
  </si>
  <si>
    <t>2 blood clots (moved to non-intact); 2 scrapped for cut in urethra</t>
  </si>
  <si>
    <t>Non-intact</t>
  </si>
  <si>
    <t>3 labels used for thin area in bowel (ran out of labels)</t>
  </si>
  <si>
    <t>Ran out of time (bagging set for later; SH tech start time changed to 8:00–4:30 PM)</t>
  </si>
  <si>
    <t>2026-04-22</t>
  </si>
  <si>
    <t>1 damaged bowel</t>
  </si>
  <si>
    <t>2 damaged after cleaning</t>
  </si>
  <si>
    <t>2 damaged bowel</t>
  </si>
  <si>
    <t>1 damaged urethra</t>
  </si>
  <si>
    <t>2026-05-06</t>
  </si>
  <si>
    <t>3 damaged urethra</t>
  </si>
  <si>
    <t>1 small bladder</t>
  </si>
  <si>
    <t>2026-05-18</t>
  </si>
  <si>
    <t>3 cut urethra; 1 short block</t>
  </si>
  <si>
    <t>2026-05-21</t>
  </si>
  <si>
    <t>2 cut urethra</t>
  </si>
  <si>
    <t>1 deformed ligaments clumped together</t>
  </si>
  <si>
    <t>1 damaged membrane and ureter</t>
  </si>
  <si>
    <t>1 hole in bowel; 2 membrane damage &gt;0.5"</t>
  </si>
  <si>
    <t>4 mesentery length too short in critical zone; 1 bladder damage (internals exposed)</t>
  </si>
  <si>
    <t>2026-06-01</t>
  </si>
  <si>
    <t>2026-06-03</t>
  </si>
  <si>
    <t>2 scrapped urethra</t>
  </si>
  <si>
    <t>1. 666506 = non-intact</t>
  </si>
  <si>
    <t>In the source tally sheets, PN 666541 is labeled 'intact' and PN 666506 is labeled 'Non intact'. Scrap reasons include phrases like '2 blood clots, moved to non intact', suggesting 666506 is a downgrade/recovery spec rather than an independent product line. Confirm with Quality before relying on this interpretation.</t>
  </si>
  <si>
    <t>2. Different lot suffixes for intact vs non-intact</t>
  </si>
  <si>
    <t>Intact and non-intact batches from the same kill day carry DIFFERENT lot numbers (e.g. Visit 1: 5502378434 intact / 5502378430 non-intact; Visit 3: 5502404928 intact / 5502404924 non-intact). The prefix ties them to the same kill but they are tracked separately. This is what 'same batch number but not exactly' refers to.</t>
  </si>
  <si>
    <t>3. 'Ran out of time' event on 04/20</t>
  </si>
  <si>
    <t>Lot 5502391862 intact had zero units inspected on 04/20 due to a schedule conflict (bagging set later, SH tech start time changed to 8:00–4:30 PM). 57 units from that lot were inspected on 04/22 instead. Process note, not a quality signal — but if it recurs, sampling discipline at the slaughterhouse is worth revisiting.</t>
  </si>
  <si>
    <t>4. 'Damaged urethra' dominates Visit 3</t>
  </si>
  <si>
    <t>On Visit 3 (05/04 + 05/06), 7 of 8 failures across both intact and non-intact were 'damaged urethra' — a sharp departure from prior visits, where bowel-related defects dominated. Worth checking whether harvest technique or tooling changed, or whether the long pre-inspection wait on 05/04 (see next note) contributed.</t>
  </si>
  <si>
    <t>5. Long truck wait on 05/04 (Visit 3)</t>
  </si>
  <si>
    <t>Source tally-sheet notes record: 'Monday 05/04 waited 2 hour for truck to deliver at 10:15 am. Had almost 3 hours of waiting.' Tissue sitting longer pre-inspection plausibly correlates with the urethra-damage spike that day. Worth tagging future inspections with delivery time so this can be analyzed quantitatively.</t>
  </si>
  <si>
    <t>6. Source file typos</t>
  </si>
  <si>
    <t>Source tally sheets carry '25026' instead of '2026' in the Date and Kill Date fields (Harvest Date is correct). Not reflected here — clean dates used throughout. One-line correction in the tally-sheet template would fix it going forward.</t>
  </si>
  <si>
    <t>7. Stage-to-stage scope</t>
  </si>
  <si>
    <t>Three lots now have BOTH SH and ATM data: 5502378434, 5502391862, and 5502404928. The 666506 non-intact lots remain untracked at ATM. As lots accumulate, the SH-vs-ATM yield gap is the cleanest available proxy for freeze/thaw/transport damage.</t>
  </si>
  <si>
    <t>9. Lot 5502421192 reused on the 05/27 sheet</t>
  </si>
  <si>
    <t>The 05/27 Martins tally sheet records the intact lot as 5502421192 — identical to Visit 4's intact lot (harvested 05/18 &amp; 05/21). A single fresh lot spanning 05/18–05/27 is unlikely, so this is probably a tally-sheet carry-over from the prior week's template. It is recorded here as a separate Visit 5 (harvest 05/27), NOT merged into Visit 4, pending confirmation of the true lot number with the SH.</t>
  </si>
  <si>
    <t>10. New slaughterhouse &amp; inspection team (Parks, 05/28)</t>
  </si>
  <si>
    <t>First SH-floor inspection at Parks Family Meats, with a new ATM inspector (Rasmin) and new SH tech (Natalie) vs. Toni / Jesus at Martins. Source PN was written 668518 and normalized to 666518 (per the workbook's typo convention). No batch/lot was recorded ('no batch data'), so this visit has no SH→ATM link, and the related Parks ATM lot 5502428883 (7 received / 7 scrapped, 'before our visit') has no SH-floor counterpart here. Date taken from the source date field (05/28); the carried-over note text mentioning '5/27' and non-intact labels does not apply to this intact-only Parks visit.</t>
  </si>
  <si>
    <t>11. Visit 7 harvest-date split (06/01 vs 06/03)</t>
  </si>
  <si>
    <t>The 06/01 &amp; 06/03 Martins tally sheet did not label which counts belong to which day. Based on the note that 06/01 finished early (truck no-show, cleanup 1pm), the smaller counts were assigned to 06/01 (9 intact, 7 non-intact) and the larger to 06/03 (45 intact, 29 non-intact), placing the 2 urethra scraps on 06/03. Flip the two raw rows if the source intended otherwise — the batch-level rollup is identical either way.</t>
  </si>
  <si>
    <t>12. New visits 7 (Martins) &amp; 8 (Parks)</t>
  </si>
  <si>
    <t>Visit 7 adds intact lot 5502428786 and non-intact lot 5502428782 (Martins). Visit 8 is the second Parks visit (intact-only, no batch/lot; PN normalized 668518 → 666518). The Parks visit date 06/02 is the cached value of a volatile =NOW()-1 field on the source sheet, so it is nominal. One non-intact Martins row (29 inspected) had a blank pass cell on the source; recorded as 29 pass since fail = 0.</t>
  </si>
  <si>
    <t>Description</t>
  </si>
  <si>
    <t>Parks</t>
  </si>
  <si>
    <t>GRAND TOTAL</t>
  </si>
  <si>
    <t>Count</t>
  </si>
  <si>
    <t>Metric</t>
  </si>
  <si>
    <t>Defect Atlas — Visual Reference</t>
  </si>
  <si>
    <t>Visual reference for inspector training and supplier feedback. Each section pairs the defect category with the original IQC reference photo. Use the right-hand column to record which canonical defect category each photo maps to.</t>
  </si>
  <si>
    <t>1. Bladder Laceration exposing internal surfaces</t>
  </si>
  <si>
    <t>Reference photo</t>
  </si>
  <si>
    <t>Canonical defect category</t>
  </si>
  <si>
    <t>Inspector notes</t>
  </si>
  <si>
    <t>Per spec 668741-RevD §6.1.2. Right-hand panel shows a normal bladder for contrast. Exposing the inner mucosa is the disqualifier — surface scratches that do not penetrate are acceptable.</t>
  </si>
  <si>
    <t>2. Bladder Length Undersize  +  Urethra Laceration</t>
  </si>
  <si>
    <t>Bladder Length Undersize  /  Urethra Laceration (exposing internal)</t>
  </si>
  <si>
    <t>Top: bladder measured below the lower spec limit (was &lt;3", relaxed to &lt;2" on 2026-03-23). Bottom: urethral laceration that exposes the lumen vs one that does not. Only lumen-exposing lacerations are scrapped.</t>
  </si>
  <si>
    <t>3. Urethra Laceration  +  Mesentery Laceration in critical area</t>
  </si>
  <si>
    <t>Urethra Laceration (exposing internal)  /  Critical Mesentery Hole/Laceration (&gt;0.5")</t>
  </si>
  <si>
    <t>Top-right: a missing urethral segment with a corresponding hole in the vagina — full disqualifier. Bottom: mesenteric membrane perforation in the critical area exceeding 0.5" diameter.</t>
  </si>
  <si>
    <t>4. Mesentery Laceration in critical area</t>
  </si>
  <si>
    <t>Multiple holes visible in the critical zone. Common at Martins early in the period (17 units on 2026-02-23) and again on 2026-03-16 (18 units) and 2026-04-20 (18 units). Pattern suggests harvest tool / technique variability rather than animal variability.</t>
  </si>
  <si>
    <t>5. Mesentery Critical Area — Example 1 (PN 666540 Male)</t>
  </si>
  <si>
    <t>Reference example for the male part. Spec ref: 668741 Rev E §6.1.4 – 6.1.4.1.</t>
  </si>
  <si>
    <t>6. Mesentery Critical Area — Examples 1-1 and 1-2 (PN 666541 Female)</t>
  </si>
  <si>
    <t>Reference examples for the female part, dated 2026-03-18. Spec ref: 668741 Rev E §6.1.4 – 6.1.4.1. Useful for inspector calibration sessions.</t>
  </si>
  <si>
    <t>Pelvic Blocks — Incoming Quality Control Reconstruction</t>
  </si>
  <si>
    <t>Period covered</t>
  </si>
  <si>
    <t>2026-02-09 through 2026-04-20 (11 weeks)</t>
  </si>
  <si>
    <t>Parts in scope</t>
  </si>
  <si>
    <t>666541 DV Tech Pelvic Block (Female – Martins)</t>
  </si>
  <si>
    <t>666540 DV Tech Pelvic Block (Male – Martins)</t>
  </si>
  <si>
    <t>666518 DV Tech Pelvic Block (Female – Parks)</t>
  </si>
  <si>
    <t>Slaughterhouses</t>
  </si>
  <si>
    <t>Martins (NC), Parks (NC)</t>
  </si>
  <si>
    <t>Source</t>
  </si>
  <si>
    <t>Reconstructed from IQC screenshots (CAPA 2026-01 dataset)</t>
  </si>
  <si>
    <t>WORKBOOK MAP</t>
  </si>
  <si>
    <t>Sheet</t>
  </si>
  <si>
    <t>Purpose</t>
  </si>
  <si>
    <t>Receipt Summary</t>
  </si>
  <si>
    <t>One row per receipt event with totals and rejection rate. Sorted by date. Conditional formatting highlights rejection-rate spikes.</t>
  </si>
  <si>
    <t>Master Data</t>
  </si>
  <si>
    <t>Long-format defect log: one row per (date × lot × defect). The single source of truth — every other sheet pivots from this.</t>
  </si>
  <si>
    <t>Defect Pivot 666541-F</t>
  </si>
  <si>
    <t>Defect counts × date for the female part at Martins. Rows = canonical defect; columns = receipt date.</t>
  </si>
  <si>
    <t>Defect Pivot 666540-M</t>
  </si>
  <si>
    <t>Same view for the male part at Martins.</t>
  </si>
  <si>
    <t>Defect Pivot 666518-F</t>
  </si>
  <si>
    <t>Same view for the female part at Parks.</t>
  </si>
  <si>
    <t>Supplier Comparison</t>
  </si>
  <si>
    <t>Martins vs Parks side-by-side: receipts, scrap, rejection rate, top-3 defects per supplier.</t>
  </si>
  <si>
    <t>Defect Atlas</t>
  </si>
  <si>
    <t>Visual reference for each defect category. Use during inspector training and supplier feedback.</t>
  </si>
  <si>
    <t>READING NOTES — IMPORTANT</t>
  </si>
  <si>
    <t>Spec drift</t>
  </si>
  <si>
    <t>Defect names changed mid-period. Same physical issue often appears under two names (e.g. 'Damage to Urethra' early, 'Lacerations on Urethra exposing internal surfaces' later). The Master Data sheet preserves the ORIGINAL defect name AND maps it to a CANONICAL category so trends remain comparable.</t>
  </si>
  <si>
    <t>Bladder length</t>
  </si>
  <si>
    <t>Lower spec changed from &lt;3" (Feb-Mar) to &lt;2" (late Mar onward). This will show as a sudden drop in the 'Bladder Length Undersize' line that is NOT a real quality improvement — it is a spec relaxation.</t>
  </si>
  <si>
    <t>New spec</t>
  </si>
  <si>
    <t>'Length of ≤7" of mesentery membrane from bladder neck' first appears 2026-03-30. Not a new defect — a newly-measured one.</t>
  </si>
  <si>
    <t>'Bood Clot'</t>
  </si>
  <si>
    <t>Source spec carries this typo. Normalized to 'Blood Clot' in the canonical category.</t>
  </si>
  <si>
    <t>Lot field</t>
  </si>
  <si>
    <t>Where lot number was not legible on the source screenshot, it is recorded as '(not recorded)'. The 2026-03-02 666541 batch with 160 units is labeled '(batch A)' to distinguish it from the 50-unit lot 5502291197 from the same date.</t>
  </si>
  <si>
    <t>Quality Dashboard — by Tissue Type, Part &amp; Slaughterhouse</t>
  </si>
  <si>
    <t>First-pass yield across all SH-floor incoming inspections (pre-freeze), Apr–Aug 2026. Live from the Inspection Log on the Slaughterhouse IQC tab. FPY = Pass / Inspected; Scrap % = Fail / Inspected.</t>
  </si>
  <si>
    <t>BY TISSUE TYPE</t>
  </si>
  <si>
    <t>Tissue Type</t>
  </si>
  <si>
    <t>First-Pass Yield</t>
  </si>
  <si>
    <t>Scrap %</t>
  </si>
  <si>
    <t>Pelvic</t>
  </si>
  <si>
    <t>Thoracic</t>
  </si>
  <si>
    <t>BY PART</t>
  </si>
  <si>
    <t>Part #</t>
  </si>
  <si>
    <t>Date span</t>
  </si>
  <si>
    <t>Pelvic block, intact</t>
  </si>
  <si>
    <t>Martins / Parks / Nahunta</t>
  </si>
  <si>
    <t>4/13 – 8/17</t>
  </si>
  <si>
    <t>Pelvic block, non-intact</t>
  </si>
  <si>
    <t>Pelvic block, intact (SM)</t>
  </si>
  <si>
    <t>5/28 – 7/30</t>
  </si>
  <si>
    <t>666521</t>
  </si>
  <si>
    <t>Thoracic (lung / heart)</t>
  </si>
  <si>
    <t>Nahunta</t>
  </si>
  <si>
    <t>7/29 – 8/19</t>
  </si>
  <si>
    <t>BY SLAUGHTERHOUSE</t>
  </si>
  <si>
    <t>Tissue / parts</t>
  </si>
  <si>
    <t>Pelvic 541 / 506</t>
  </si>
  <si>
    <t>Pelvic 518 → 541</t>
  </si>
  <si>
    <t>Thoracic 521 + pelvic 541</t>
  </si>
  <si>
    <t>TISSUE / PART READ</t>
  </si>
  <si>
    <t>666541 — Pelvic, intact · ~94% FPY (Martins / Parks / Nahunta)</t>
  </si>
  <si>
    <t>Performance-goal part. Steady ~95% at Martins; Parks now runs 666541 too (from 08/10). A provisional Nahunta 8/12 pelvic line (13/1/12) drags the average — see note 25. Rejects: urethra/bladder &amp; membrane damage, short blocks.</t>
  </si>
  <si>
    <t>666506 — Pelvic, non-intact · ~96% FPY (Martins)</t>
  </si>
  <si>
    <t>Tighter spec, best yield of the group. Rejects: membrane/urethra damage, a couple early blood clots.</t>
  </si>
  <si>
    <t>666518 — Pelvic, intact SM · ~84% FPY (Parks)</t>
  </si>
  <si>
    <t>Batch-less Parks pelvic; Parks transitioned to 666541 by mid-August. Through 07/30 ~84%, driven by short blocks and mesentery/ureter damage. See the Parks deep-dive deck.</t>
  </si>
  <si>
    <t>666521 — Thoracic · ~18% FPY (Nahunta)  — WORSENING</t>
  </si>
  <si>
    <t>Thoracic at Nahunta, declining: 32% (7/29) → 0% (8/5) → 15% (8/12) → 21% (8/19). Right-lung perimeter and now heart lacerations, harvesting-side. Escalated with Ricardo; heart lacerations (inspector-side) now the main gap.</t>
  </si>
  <si>
    <t>SH IQC Inspections — Slaughterhouse-Floor Incoming Quality</t>
  </si>
  <si>
    <t>Post-harvest, pre-freeze inspections at the slaughterhouse — all tissue types and parts. 59 part-inspections across 39 visit-days · 3 slaughterhouses (Martins, Parks, Nahunta) · Apr 13 – Aug 19, 2026. One row per part per harvest date.</t>
  </si>
  <si>
    <t>INSPECTION LOG</t>
  </si>
  <si>
    <t>Scrap reason / notes</t>
  </si>
  <si>
    <t/>
  </si>
  <si>
    <t>Intact (SM)</t>
  </si>
  <si>
    <t>2026-06-08</t>
  </si>
  <si>
    <t>1 short block</t>
  </si>
  <si>
    <t>1 cut urethra</t>
  </si>
  <si>
    <t>2026-06-15</t>
  </si>
  <si>
    <t>5502462845</t>
  </si>
  <si>
    <t>1 damaged bowel (source had two intact tally lines: 13/12/1 + 18/18/0, combined here)</t>
  </si>
  <si>
    <t>2026-06-16</t>
  </si>
  <si>
    <t>1 bladder hole; 1 ureter damage (many blocks failed upstream from miscuts during removal — see notes)</t>
  </si>
  <si>
    <t>2026-06-22</t>
  </si>
  <si>
    <t>1 bladder hole; 2 critical-area lacerations; 2 short blocks</t>
  </si>
  <si>
    <t>2026-06-24</t>
  </si>
  <si>
    <t>1 damaged bladder; 3 damaged membrane</t>
  </si>
  <si>
    <t>2026-06-25</t>
  </si>
  <si>
    <t>1 bladder hole; 1 ureter laceration; 1 short block</t>
  </si>
  <si>
    <t>2026-06-29</t>
  </si>
  <si>
    <t>5502471457</t>
  </si>
  <si>
    <t>2 damaged during bowel cleaning (bowel blockage burst); 2 short blocks; 1 critical-area laceration; 7 urethra/bladder lacerations (cuts near template edge)</t>
  </si>
  <si>
    <t>5502471460</t>
  </si>
  <si>
    <t>2026-07-06</t>
  </si>
  <si>
    <t>1 membrane damage larger than 1.5"</t>
  </si>
  <si>
    <t>2026-07-13</t>
  </si>
  <si>
    <t>5502495104</t>
  </si>
  <si>
    <t>2 damaged during bowel cleaning (bowel blockage burst); 3 short blocks (smaller pigs)</t>
  </si>
  <si>
    <t>5502495107</t>
  </si>
  <si>
    <t>1 damaged membrane; 1 damaged bladder</t>
  </si>
  <si>
    <t>2026-07-16</t>
  </si>
  <si>
    <t>2 short (bowel snapped before cut to length); 2 holes in mesentery critical area</t>
  </si>
  <si>
    <t>2026-07-20</t>
  </si>
  <si>
    <t>1 large membrane damage</t>
  </si>
  <si>
    <t>1 deformed bladder documented; source #Fail cell read 1, but 65 inspected − 63 pass = 2 → 1 reject undocumented (confirm)</t>
  </si>
  <si>
    <t>2026-07-27</t>
  </si>
  <si>
    <t>5502512225</t>
  </si>
  <si>
    <t>1 ureter damage; 1 mesentery hole in critical area &gt;0.5"; 1 bowel-colon separation past critical area</t>
  </si>
  <si>
    <t>5502512228</t>
  </si>
  <si>
    <t>1 damaged membrane larger than 0.5"</t>
  </si>
  <si>
    <t>2026-07-29</t>
  </si>
  <si>
    <t>Kris</t>
  </si>
  <si>
    <t>Jordan</t>
  </si>
  <si>
    <t>Lung / heart</t>
  </si>
  <si>
    <t>5502512218</t>
  </si>
  <si>
    <t>11 right-lung lacerations (mostly along the perimeter); 2 heart damage; 1 accepted with two sub-4cm perimeter lacerations that did not connect. Majority of damage attributed to the harvesting side.</t>
  </si>
  <si>
    <t>2026-07-30</t>
  </si>
  <si>
    <t>1 pelvic block short (majority of pigs received were male → lower numbers)</t>
  </si>
  <si>
    <t>2026-08-03</t>
  </si>
  <si>
    <t>2026-08-05</t>
  </si>
  <si>
    <t>11 right-lung lacerations (mostly along perimeter); 4 heart damage. Majority of damage harvesting-side; two units had no lung laceration but failed on heart.</t>
  </si>
  <si>
    <t>1 damaged membrane; 1 hole in bowel</t>
  </si>
  <si>
    <t>2026-08-10</t>
  </si>
  <si>
    <t>5502523266</t>
  </si>
  <si>
    <t>5502523269</t>
  </si>
  <si>
    <t>2 urethra damage</t>
  </si>
  <si>
    <t>No failures this day.</t>
  </si>
  <si>
    <t>2026-08-12</t>
  </si>
  <si>
    <t>5502523283</t>
  </si>
  <si>
    <t>9 right-lung lacerations; 3 heart damage (breakdown sums to 12 vs 11 recorded). No left-lung damage seen; requested Ricardo shadow next visit.</t>
  </si>
  <si>
    <t>Pelvic deprioritized — Jordan harvests other components first; no per-defect breakdown recorded (PROVISIONAL — confirm)</t>
  </si>
  <si>
    <t>2026-08-14</t>
  </si>
  <si>
    <t>Bowel separated from mesentery past the critical point</t>
  </si>
  <si>
    <t>2026-08-17</t>
  </si>
  <si>
    <t>1 hole in bowel (ran out of pigs, 3-hr wait, truck late)</t>
  </si>
  <si>
    <t>2026-08-19</t>
  </si>
  <si>
    <t>11 right-lung lacerations; 12 heart damage. Ricardo meeting reduced lung lacerations only until first break; heart lacerations (inspector-side) now the next gap.</t>
  </si>
  <si>
    <t>TOTALS BY TISSUE TYPE</t>
  </si>
  <si>
    <t>GRAND TOTAL (all tissue types)</t>
  </si>
  <si>
    <t>ATM RECEIPT COMPARISON</t>
  </si>
  <si>
    <t>Reserved for ATM (post-freeze receipt) inspection data. ATM data is no longer batch/lot-linked, so it will be compared by tissue type / part and time window rather than by lot. Populated when ATM data arrives.</t>
  </si>
  <si>
    <t>NOTES &amp; DATA CONVENTIONS</t>
  </si>
  <si>
    <t>8. Inspection coverage</t>
  </si>
  <si>
    <t>59 part-inspections across 39 visit-days and 3 slaughterhouses (Martins ×23, Parks ×12, Nahunta ×4), Apr 13 – Aug 19 2026. Tissue types: Pelvic (parts 666541/666506/666518) and Thoracic (666521). To extend, append rows to the log; the SUMIF/SUM ranges auto-cover them.</t>
  </si>
  <si>
    <t>13. New visits 9–12 (06/08–06/24)</t>
  </si>
  <si>
    <t>Visit 9 = 06/08 Martins; Visit 10 = 06/15 Martins; Visit 11 = 06/16 Parks (intact-only); Visit 12 = 06/24 Martins (intact-only). Source date/kill fields on several incoming sheets are volatile =NOW() captures (e.g. the Parks sheet sent 06/17 reads 06/16); the hand-entered harvest-date fields were used as the authoritative visit dates.</t>
  </si>
  <si>
    <t>14. Lot-number carry-over recurs (Visits 9 &amp; 12)</t>
  </si>
  <si>
    <t>Visit 9 (06/08) reuses Visit 7’s lots 5502428786/5502428782, and Visit 12 (06/24) reuses Visit 10’s intact lot 5502462845 — the same template carry-over pattern documented in note 9 for lot 5502421192. Each is recorded as its own visit with its own raw and rollup rows, but per the note-9 precedent only the FIRST occurrence of each lot is reconciled in the SH→ATM section, so the reused-lot inspections do not generate duplicate SH→ATM rows.</t>
  </si>
  <si>
    <t>15. Visit 10 (06/15) — two intact tally lines combined; no non-intact</t>
  </si>
  <si>
    <t>The source recorded two intact 666541 lines on 06/15 (13/12/1 and 18/18/0); they share date, lot and condition, so they are combined into a single raw row (31/30/1). No non-intact units were collected (the SH had met its non-intact quota and run low on labels), so lot 5502462842 appears in the metadata but has no raw/rollup row.</t>
  </si>
  <si>
    <t>16. Visit 11 (06/16 Parks) — heavy upstream miscut losses</t>
  </si>
  <si>
    <t>The inspector noted ~100 pigs slaughtered, with the majority of blocks failing BEFORE reaching IQC due to miscuts during block removal. Of the 16 that reached inspection, 14 passed (1 bladder hole, 1 ureter damage). That upstream loss is a Parks harvest-technique signal not captured in the pass/fail counts here. PN normalized 668518 → 666518 per note 10. Separately, the “PARKS0603” sheet (internal date 06/02, 7/7 intact, no batch) is the SAME inspection already recorded as Visit 8 and was not re-added.</t>
  </si>
  <si>
    <t>17. New Parks visits 13 (06/22) &amp; 14 (06/25)</t>
  </si>
  <si>
    <t>Two more intact-only Parks inspections (no batch data; PN normalized 668518 → 666518). Visit 13 (06/22) = 36 inspected / 31 pass / 5 fail (1 bladder hole, 2 critical-area lacerations, 2 short blocks); Visit 14 (06/25) = 19 inspected / 16 pass / 3 fail (1 bladder hole, 1 ureter laceration, 1 short block). Both were received after Visit 12, so Visit 13’s harvest date (06/22) precedes Visit 12’s (06/24 Martins) — visit numbers reflect processing order, as with the existing Visit 7/8 overlap. No batch on either, so neither has an SH→ATM link (consistent with Visits 6, 8 and 11). Short blocks and critical-zone mesentery damage continue to dominate Parks scrap.</t>
  </si>
  <si>
    <t>18. New visits 15–19 (06/29–07/13); two Parks fail-count corrections</t>
  </si>
  <si>
    <t>Visit 15 = 06/29 Martins; Visit 16 = 06/29 Parks; Visit 17 = 07/06 Martins; Visit 18 = 07/13 Martins; Visit 19 = 07/13 Parks. DATA-ACCURACY FIX: on both Parks sheets the source “# Fail” cell undercounted because blocks damaged during bowel-cleaning were written in the notes but not added to the fail tally. Corrected to inspected − pass, which matches the scrap breakdown — Visit 16 (06/29) = 50/38/12 (source cell read 10; 2 cleaning-damage + 2 short + 1 critical + 7 urethra/bladder = 12); Visit 19 (07/13) = 34/29/5 (source cell read 3; 2 cleaning-damage + 3 short = 5). Visit 17 (07/06) reuses Visit 15’s lots 5502471460/5502471457 — a tally-sheet carry-over recorded as a separate visit (see note 9). Visit 18’s inspector field was blank on the source; recorded as Toni, the standing Martins inspector.</t>
  </si>
  <si>
    <t>19. Visit 19 (Parks) harvest-date ambiguity</t>
  </si>
  <si>
    <t>The source file is named “PARKS_0713” (→ 07/13), was sent as a most-recent inspection, and a Martins 07/13 sheet arrived in the same batch — so Visit 19 is recorded as harvest 07/13/2026. However, all three internal date fields on that sheet (Date, Kill, Harvest) read 06/13/2026, likely a month typo. If 06/13 was intended, flip Visit 19’s date; the counts (34/29/5) are unaffected either way.</t>
  </si>
  <si>
    <t>20. New visits 20–23 (07/20–07/30); first thoracic &amp; new slaughterhouse</t>
  </si>
  <si>
    <t>Visit 20 = 07/20 Martins (reuses Visit 18 lots 5502495107 / 5502495104 — carry-over); Visit 21 = 07/27 Martins (new lots 5502512228 / 5502512225); Visit 22 = 07/29 Nahunta — the first THORACIC (PN 666521, lot 5502512218), a new product family at a new slaughterhouse with a new inspector/tech (Kris / Jordan), 19 inspected / 6 pass / 13 fail (31.6%); Visit 23 = 07/30 Parks (666518, majority-male pigs noted). The thoracic is logged in the raw data and summarized on the "Quality Summary by Part" tab, but is EXCLUDED from the pelvic-block rollup, TOTAL and SH→ATM sections so pelvic yield stays comparable across a single product family.</t>
  </si>
  <si>
    <t>21. Visit 20 (07/20 Martins 666541) count discrepancy</t>
  </si>
  <si>
    <t>The source tally read 65 inspected / 63 pass / 1 fail, which does not foot (65 − 63 = 2), and only one defect (deformed bladder) was written in. Recorded here as 65 / 63 / 2 to preserve the two counted columns and the workbook’s fail = inspected − pass convention. If the true fail is 1, correct the pass to 64 (or inspected to 64) and the second reject’s reason. Confirm with the tech.</t>
  </si>
  <si>
    <t>22. Workbook redesign</t>
  </si>
  <si>
    <t>Single tissue-agnostic inspection log (all tissue types in one chronological table) with tissue-type subtotals and a grand total covering every tissue type; metrics broken out by Tissue Type, Part and Slaughterhouse on the Quality Dashboard. The ATM Tableau tab and the legacy ATM-side analysis tabs (Receipt Summary, Master Data, Defect Pivots, Supplier Comparison, Defect Trends) were removed; ATM receipt data will be re-added in a batch-less format.</t>
  </si>
  <si>
    <t>23. August batch (07/16–08/19) &amp; de-duplication</t>
  </si>
  <si>
    <t>Added 15 new part-inspections across Martins, Parks and Nahunta. Re-sent sheets for 07/20, 07/27, 07/29 (thoracic) and 07/30 were matched to existing rows, not double-counted. Flags: Martins 08/03–08/05 lot recorded 5502512228 (source read '550251228', one digit dropped); Parks 07/16 harvest date taken from the filename/kill date (sheet Date field read 06/13 — typo); Parks 08/10 dated per filename (sheet Date field read 08/14).</t>
  </si>
  <si>
    <t>24. Parks spec transition 666518 → 666541</t>
  </si>
  <si>
    <t>Parks pelvic blocks are now received under PN 666541 (from 08/10); earlier Parks visits used 668518 → 666518. Both are Pelvic tissue; the by-part view now shows 666541 at Martins, Parks and Nahunta.</t>
  </si>
  <si>
    <t>25. Nahunta thoracic (666521) trend &amp; pelvic line</t>
  </si>
  <si>
    <t>First-pass yield fell 32% (7/29) → 0% (8/5) → 15% (8/12) → 21% (8/19); right-lung perimeter and increasingly heart lacerations dominate (harvesting-side; escalated with Ricardo). The 8/12 pelvic 666541 line reads 13/1/12 with no per-defect breakdown (pelvics deprioritized — Jordan harvests other components first); treat as provisional, confirm.</t>
  </si>
  <si>
    <t>Monthly Breakdown — Inspections by Tissue × Slaughterhouse</t>
  </si>
  <si>
    <t>Month-by-month view of every tissue-type / slaughterhouse / part combination: volumes, first-pass yield, and the issues found (scrap reasons normalized into standard defect categories). Apr–Aug 2026. Volume rows are live formulas over the Inspection Log; defect counts are analyst-categorized from the scrap notes (see notes at bottom).</t>
  </si>
  <si>
    <t>OVERVIEW — FIRST-PASS YIELD BY MONTH</t>
  </si>
  <si>
    <t>Tissue @ SH · Part</t>
  </si>
  <si>
    <t>April</t>
  </si>
  <si>
    <t>May</t>
  </si>
  <si>
    <t>June</t>
  </si>
  <si>
    <t>July</t>
  </si>
  <si>
    <t>August</t>
  </si>
  <si>
    <t>Pelvic @ Martins · 666541</t>
  </si>
  <si>
    <t>Pelvic @ Martins · 666506</t>
  </si>
  <si>
    <t>Pelvic @ Parks · 666518</t>
  </si>
  <si>
    <t>Pelvic @ Parks · 666541</t>
  </si>
  <si>
    <t>Pelvic @ Nahunta · 666541</t>
  </si>
  <si>
    <t>Thoracic @ Nahunta · 666521</t>
  </si>
  <si>
    <t>OVERVIEW — ISSUES FOUND (# FAILED) BY MONTH</t>
  </si>
  <si>
    <t>PELVIC @ MARTINS — 666541 (intact)</t>
  </si>
  <si>
    <t>Issues found (defect category counts)</t>
  </si>
  <si>
    <t xml:space="preserve">   Urethra / bladder damage</t>
  </si>
  <si>
    <t xml:space="preserve">   Membrane damage</t>
  </si>
  <si>
    <t xml:space="preserve">   Bowel damage / separation</t>
  </si>
  <si>
    <t xml:space="preserve">   Short block / mesentery length</t>
  </si>
  <si>
    <t xml:space="preserve">   Other / unspecified</t>
  </si>
  <si>
    <t xml:space="preserve">   Total issues</t>
  </si>
  <si>
    <t>PELVIC @ MARTINS — 666506 (non-intact)</t>
  </si>
  <si>
    <t>PELVIC @ PARKS — 666518 (intact, SM)</t>
  </si>
  <si>
    <t xml:space="preserve">   Critical-area laceration</t>
  </si>
  <si>
    <t xml:space="preserve">   Ureter damage</t>
  </si>
  <si>
    <t>PELVIC @ PARKS — 666541 (intact — spec transition, from 08/10)</t>
  </si>
  <si>
    <t>PELVIC @ NAHUNTA — 666541 (intact — side line)</t>
  </si>
  <si>
    <t>THORACIC @ NAHUNTA — 666521 (lung / heart)</t>
  </si>
  <si>
    <t xml:space="preserve">   Lung laceration</t>
  </si>
  <si>
    <t xml:space="preserve">   Heart damage</t>
  </si>
  <si>
    <t>NOTES</t>
  </si>
  <si>
    <t>• Defect categories normalize free-text scrap reasons: blood clots and 'damaged after cleaning' → Other; bowel-cleaning bursts and bowel/colon–mesentery separations → Bowel damage / separation; mesentery holes/lacerations in the critical area → Critical-area laceration; 'small bladder' / 'deformed bladder' → Urethra / bladder. Original wording stays in the Inspection Log.</t>
  </si>
  <si>
    <t>• Volume rows (# Inspected / Pass / Fail, FPY) are live formulas over the Inspection Log (rows 6–64) — they update automatically when the log grows within that range. Defect-category counts are analyst-tagged from scrap notes (static snapshot through 08/19); retag new rows when appending.</t>
  </si>
  <si>
    <t>• Known count caveats: Nahunta thoracic 8/12 defect breakdown sums to 12 vs 11 recorded fails (kept as written, so thoracic categorized issues = 50 vs 49 fails in August). Nahunta pelvic 8/12 (13/1/12) has no defect breakdown and is provisional → all 12 in Other/unspecified. Martins 666541 7/20 includes 1 undocumented reject (Other).</t>
  </si>
  <si>
    <t>• Parks runs as two part lines across the spec transition: 666518 through 07/30, 666541 from 08/10 — shown separately by request. Nahunta pelvic is a side line (thoracic is the primary part there).</t>
  </si>
  <si>
    <t>APRIL 2026 — SH IQC Inspections</t>
  </si>
  <si>
    <t>8 part-inspections across 4 harvest days at Martins. Month totals: 181 inspected / 171 pass / 10 fail — first-pass yield 94.5%. Snapshot from the Inspection Log; defect ranking uses the standard categories (see Monthly Breakdown notes).</t>
  </si>
  <si>
    <t>MONTH SUMMARY — BY TISSUE × SLAUGHTERHOUSE</t>
  </si>
  <si>
    <t>Tissue @ SH</t>
  </si>
  <si>
    <t>Top defect this month</t>
  </si>
  <si>
    <t>Pelvic @ Martins</t>
  </si>
  <si>
    <t>Urethra / bladder damage (2)</t>
  </si>
  <si>
    <t>Bowel damage / separation (2)</t>
  </si>
  <si>
    <t>MOST RECURRING DEFECTS — BY TISSUE × SLAUGHTERHOUSE</t>
  </si>
  <si>
    <t>Pelvic @ Martins · 666541 — 6 fails of 122 inspected</t>
  </si>
  <si>
    <t>Defect category</t>
  </si>
  <si>
    <t>% of fails</t>
  </si>
  <si>
    <t>Urethra / bladder damage</t>
  </si>
  <si>
    <t>Bowel damage / separation</t>
  </si>
  <si>
    <t>Other / unspecified</t>
  </si>
  <si>
    <t>Pelvic @ Martins · 666506 — 4 fails of 59 inspected</t>
  </si>
  <si>
    <t>ALL INSPECTIONS THIS MONTH</t>
  </si>
  <si>
    <t>Tissue</t>
  </si>
  <si>
    <t>FPY</t>
  </si>
  <si>
    <t>MAY 2026 — SH IQC Inspections</t>
  </si>
  <si>
    <t>10 part-inspections across 6 harvest days at Martins, Parks. Month totals: 328 inspected / 304 pass / 24 fail — first-pass yield 92.7%. Snapshot from the Inspection Log; defect ranking uses the standard categories (see Monthly Breakdown notes).</t>
  </si>
  <si>
    <t>Urethra / bladder damage (9)</t>
  </si>
  <si>
    <t>Urethra / bladder damage (4)</t>
  </si>
  <si>
    <t>Pelvic @ Parks</t>
  </si>
  <si>
    <t>Short block / mesentery length (4)</t>
  </si>
  <si>
    <t>Pelvic @ Martins · 666541 — 13 fails of 194 inspected</t>
  </si>
  <si>
    <t>Membrane damage</t>
  </si>
  <si>
    <t>Short block / mesentery length</t>
  </si>
  <si>
    <t>Pelvic @ Martins · 666506 — 6 fails of 118 inspected</t>
  </si>
  <si>
    <t>Pelvic @ Parks · 666518 — 5 fails of 16 inspected</t>
  </si>
  <si>
    <t>JUNE 2026 — SH IQC Inspections</t>
  </si>
  <si>
    <t>15 part-inspections across 10 harvest days at Martins, Parks. Month totals: 333 inspected / 302 pass / 31 fail — first-pass yield 90.7%. Snapshot from the Inspection Log; defect ranking uses the standard categories (see Monthly Breakdown notes).</t>
  </si>
  <si>
    <t>Short block / mesentery length (1)</t>
  </si>
  <si>
    <t>Urethra / bladder damage (10)</t>
  </si>
  <si>
    <t>Pelvic @ Martins · 666541 — 8 fails of 152 inspected</t>
  </si>
  <si>
    <t>Pelvic @ Martins · 666506 — 1 fail of 53 inspected</t>
  </si>
  <si>
    <t>Pelvic @ Parks · 666518 — 22 fails of 128 inspected</t>
  </si>
  <si>
    <t>Critical-area laceration</t>
  </si>
  <si>
    <t>Ureter damage</t>
  </si>
  <si>
    <t>JULY 2026 — SH IQC Inspections</t>
  </si>
  <si>
    <t>14 part-inspections across 7 harvest days at Martins, Nahunta, Parks. Month totals: 373 inspected / 339 pass / 34 fail — first-pass yield 90.9%. Snapshot from the Inspection Log; defect ranking uses the standard categories (see Monthly Breakdown notes).</t>
  </si>
  <si>
    <t>Urethra / bladder damage (3)</t>
  </si>
  <si>
    <t>Membrane damage (2)</t>
  </si>
  <si>
    <t>Short block / mesentery length (6)</t>
  </si>
  <si>
    <t>Pelvic @ Nahunta</t>
  </si>
  <si>
    <t>Thoracic @ Nahunta</t>
  </si>
  <si>
    <t>Lung laceration (11)</t>
  </si>
  <si>
    <t>Pelvic @ Martins · 666541 — 6 fails of 161 inspected</t>
  </si>
  <si>
    <t>Pelvic @ Martins · 666506 — 2 fails of 79 inspected</t>
  </si>
  <si>
    <t>Pelvic @ Parks · 666518 — 13 fails of 113 inspected</t>
  </si>
  <si>
    <t>Pelvic @ Nahunta · 666541 — no fails this month (1 inspected, 100% FPY)</t>
  </si>
  <si>
    <t>Thoracic @ Nahunta · 666521 — 13 fails of 19 inspected</t>
  </si>
  <si>
    <t>Lung laceration</t>
  </si>
  <si>
    <t>Heart damage</t>
  </si>
  <si>
    <t>AUGUST 2026 — SH IQC Inspections</t>
  </si>
  <si>
    <t>12 part-inspections across 7 harvest days at Martins, Nahunta, Parks. Month totals: 253 inspected / 186 pass / 67 fail — first-pass yield 73.5%. Snapshot from the Inspection Log; defect ranking uses the standard categories (see Monthly Breakdown notes).</t>
  </si>
  <si>
    <t>Bowel damage / separation (1)</t>
  </si>
  <si>
    <t>Other / unspecified (12)</t>
  </si>
  <si>
    <t>Lung laceration (31)</t>
  </si>
  <si>
    <t>Pelvic @ Martins · 666541 — 5 fails of 137 inspected</t>
  </si>
  <si>
    <t>Pelvic @ Martins · 666506 — no fails this month (13 inspected, 100% FPY)</t>
  </si>
  <si>
    <t>Pelvic @ Parks · 666541 — 1 fail of 33 inspected</t>
  </si>
  <si>
    <t>Pelvic @ Nahunta · 666541 — 12 fails of 13 inspected</t>
  </si>
  <si>
    <t>Other / unspecified (provisional — no breakdown)</t>
  </si>
  <si>
    <t>Thoracic @ Nahunta · 666521 — 49 fails of 57 inspected</t>
  </si>
  <si>
    <t>SmartAssessment — Pelvic Block Quality (Claude analysis)</t>
  </si>
  <si>
    <t>Author: Claude · Compiled 2026-06-26 · Scope: Slaughterhouse IQC visits 1–14 + ATM receipt data. These are working analyst notes and interpretation — verify with Quality before any external/supplier use.</t>
  </si>
  <si>
    <t>1. OBJECTIVE (as understood)</t>
  </si>
  <si>
    <t>Root-cause pelvic-block defects to their point of origin UPSTREAM — before the harvesting tech consolidates the pelvic block, and ideally back to slaughter/evisceration (handling of the main tissue block and GI). Goal: raise HARVESTING FIRST-PASS YIELD = successful pelvic blocks consolidated ÷ main tissue blocks the harvesting tech receives. Active at BOTH suppliers: Parks (already engaged) and Martins (sampling defective pelvics and bringing them to ATM for evaluation/root-cause). This is a yield-improvement / root-cause program, not a supplier down-select.</t>
  </si>
  <si>
    <t>2. THE QUALITY PIPELINE — WHERE YIELD IS LOST</t>
  </si>
  <si>
    <t>Stage model</t>
  </si>
  <si>
    <t>Stage 0  Upstream: slaughter + evisceration; handling of the main tissue block / GI.
Stage 1  Harvesting: SH tech consolidates the pelvic block  ← first major yield loss, today largely UNMEASURED.
Stage 2  SH-floor IQC: our ATM inspector, PRE-freeze — this is the current '# Inspected / Pass / Fail'.
Stage 3  Freeze.
Stage 4  ATM receipt: POST-freeze — the gate tied to performance goals.</t>
  </si>
  <si>
    <t>Key gap</t>
  </si>
  <si>
    <t>The tally sheets only count blocks that REACH our SH inspector. Blocks lost during harvesting (miscuts before presentation) are NOT in the pass/fail counts. See Parks Visit 11 (06/16): '~100 pigs slaughtered, the majority of blocks failed BEFORE reaching IQC due to miscuts during block removal.' That upstream loss IS the harvesting first-pass yield this program targets — and it is currently invisible. RECOMMEND adding two fields to the tally template: (a) main blocks received by harvesting tech, (b) blocks rejected at harvesting before IQC. Then harvesting FPY can be computed instead of inferred from a note.</t>
  </si>
  <si>
    <t>3. PARKS 05/11 CRITICAL-MESENTERY EVENT — ROOT-CAUSE SUCCESS STORY</t>
  </si>
  <si>
    <t>ATM receipt 05/11 (PN 666518): 220 received, 195 scrapped (88.6% rejection), of which 187 were critical mesentery holes/lacerations. This ONE event is 187 of Parks's 218 total critical-mesentery defects across the entire record — it dominates the Parks picture.</t>
  </si>
  <si>
    <t>Confirmed REAL (per Quality). Root cause: a harvesting cut that was dividing the mesentery from the block, plus bowel-area handling issues the slaughterhouse was unaware of. Corrected via training + monitoring; monthly verification calls ongoing.</t>
  </si>
  <si>
    <t>Post-intervention SH-floor visits (05/28 → 06/25) show NO recurrence of catastrophic rejection — yields 69–100%, steady ~84–88% recently. Residual scrap is now dominated by 'short blocks' and 'critical-area lacerations.' Read: the program fixed the catastrophic failure mode; a residual mesentery-length / critical-zone signal remains and is the next root-cause target at Parks.</t>
  </si>
  <si>
    <t>4. WHERE DEFECTS ORIGINATE (origin tagging for root-cause)</t>
  </si>
  <si>
    <t>• Upstream / harvesting (the target of this program): critical mesentery hole/laceration; the mesentery-dividing cut; mesentery length too short (≤7" / 'short block'); bowel, bladder and urethra lacerations from miscuts; blood clots.
• Freeze/thaw-attributable (per Quality — appear POST-thaw at ATM, not at the SH floor): small lacerations. These should NOT be charged to the harvesting tech's FPY; they explain part of the SH→ATM gap.
• Spec / measurement drift (already in the IQC notes): bladder-length lower spec changed &lt;3"→&lt;2"; 'mesentery ≤7"' first measured 03/30.</t>
  </si>
  <si>
    <t>Recommendation</t>
  </si>
  <si>
    <t>When ATM root-cause data arrives, tag each scrapped unit as harvesting-origin vs freeze/thaw-origin vs spec-drift, so the harvesting-FPY metric is not polluted by freeze/thaw damage.</t>
  </si>
  <si>
    <t>5. SH-FLOOR vs ATM YIELD (the stage gap)</t>
  </si>
  <si>
    <t>SH-floor pass (pre-freeze): Martins 94.4% (640/678), Parks 84.0% (79/94).
ATM receipt (post-freeze, rolling): Martins ~85.4% accepted (2119/2481), Parks ~39.8% (167/420) — Parks dominated by the 05/11 event.
The SH→ATM gap is partly REAL freeze/thaw damage (small lacerations) and partly that ATM is a stricter/later gate.</t>
  </si>
  <si>
    <t>Caveat</t>
  </si>
  <si>
    <t>Only 3 lots currently have BOTH SH and ATM data (5502378434, 5502391862, 5502404928). The cleanest freeze/thaw proxy is the SH-pass → ATM-accept delta on MATCHED lots; we need more matched lots — especially post-intervention Parks — before trusting the gap quantitatively.</t>
  </si>
  <si>
    <t>6. 666541 vs 666506 — SPEC CORRECTION</t>
  </si>
  <si>
    <t>Per Quality (06/26): 666506 = pelvic block with the MORE stringent spec; 666541 = the same part, LESS strict, and tied to ATM performance goals — so protecting 666541's ATM yield is the priority metric.</t>
  </si>
  <si>
    <t>⚠ Supersedes earlier assumption</t>
  </si>
  <si>
    <t>This REVERSES the workbook's earlier framing (Slaughterhouse IQC note 1 / README) that treated 666506 as a 'downgrade/recovery' grade. Naming tension to reconcile: the tally sheets label 666541 'intact' and 666506 'non intact,' and some scrap notes say defective units were 'moved to non-intact' — wording that reads like a downgrade, which is hard to square with 666506 being the TIGHTER spec. Worth a one-line confirmation so labels and spec hierarchy agree. (I have NOT edited the old notes — flagging only.)</t>
  </si>
  <si>
    <t>7. DATA-QUALITY CAVEATS AFFECTING THIS ASSESSMENT</t>
  </si>
  <si>
    <t>• Parks SH sample is small (94 units, 5 visits) — supplier comparisons are directional, not statistical.
• ATM Parks data currently ends 05/11, which PRE-DATES the SH-floor inspections (start 05/28) — so there is no clean post-intervention stage-to-stage comparison for Parks yet.
• Lot-number carry-overs (Visits 5, 9, 12) mean some 'lots' repeat across weeks — see IQC notes 9 &amp; 14.
• Several incoming tally dates are volatile =NOW() captures; hand-entered harvest dates were used as authoritative.
• ATM data will soon lose batch numbers (Tableau) — a separate batch-less sheet is planned.</t>
  </si>
  <si>
    <t>8. RECOMMENDED NEXT STEPS</t>
  </si>
  <si>
    <t>1. Add harvesting-FPY capture to the tally template (main blocks received; blocks rejected pre-IQC) so upstream loss is measured, not inferred.
2. Tag ATM scrap by stage-of-origin (harvesting vs freeze/thaw vs spec-drift); keep freeze/thaw small-lacerations out of the harvesting-FPY denominator.
3. Build a matched-lot SH→ATM tracker as more lots gain both stages — prioritize post-intervention Parks lots to verify the 05/11 fix holds through freeze/thaw.
4. Reconcile the 666506 / 'non-intact' naming vs the tighter-spec definition; once confirmed, update IQC note 1 and the README.
5. Continue monthly supplier calls; trend the residual Parks 'short block' / critical-zone signal and the Martins sampled-defect root-causes.
6. When Tableau ATM data lands, link defect categories to stage-of-origin in the new batch-less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</si>
</sst>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charset val="1"/>
    </font>
    <font>
      <sz val="11"/>
      <color theme="1"/>
      <name val="Calibri"/>
      <family val="2"/>
      <charset val="1"/>
    </font>
    <font>
      <b/>
      <sz val="16"/>
      <color rgb="FF1F3864"/>
      <name val="Calibri"/>
      <family val="2"/>
      <charset val="1"/>
    </font>
    <font>
      <i/>
      <sz val="9"/>
      <color rgb="FF595959"/>
      <name val="Calibri"/>
      <family val="2"/>
      <charset val="1"/>
    </font>
    <font>
      <b/>
      <sz val="12"/>
      <color rgb="FFFFFFFF"/>
      <name val="Calibri"/>
      <family val="2"/>
      <charset val="1"/>
    </font>
    <font>
      <b/>
      <sz val="11"/>
      <color rgb="FFFFFFFF"/>
      <name val="Calibri"/>
      <family val="2"/>
      <charset val="1"/>
    </font>
    <font>
      <sz val="10"/>
      <name val="Calibri"/>
      <family val="2"/>
      <charset val="1"/>
    </font>
    <font>
      <b/>
      <sz val="10"/>
      <name val="Calibri"/>
      <family val="2"/>
      <charset val="1"/>
    </font>
    <font>
      <i/>
      <sz val="10"/>
      <color rgb="FF595959"/>
      <name val="Calibri"/>
      <family val="2"/>
      <charset val="1"/>
    </font>
    <font>
      <b/>
      <sz val="11"/>
      <color rgb="FFC00000"/>
      <name val="Calibri"/>
      <family val="2"/>
      <charset val="1"/>
    </font>
    <font>
      <b/>
      <sz val="11"/>
      <color rgb="FFFFFFFF"/>
      <name val="Calibri"/>
    </font>
  </fonts>
  <fills count="7">
    <fill>
      <patternFill patternType="none"/>
    </fill>
    <fill>
      <patternFill patternType="gray125"/>
    </fill>
    <fill>
      <patternFill patternType="solid">
        <fgColor rgb="FF2E75B6"/>
        <bgColor rgb="FF1F77B4"/>
      </patternFill>
    </fill>
    <fill>
      <patternFill patternType="solid">
        <fgColor rgb="FF1F3864"/>
        <bgColor rgb="FF333333"/>
      </patternFill>
    </fill>
    <fill>
      <patternFill patternType="solid">
        <fgColor rgb="FFD9E1F2"/>
        <bgColor rgb="FFD9D9D9"/>
      </patternFill>
    </fill>
    <fill>
      <patternFill patternType="solid">
        <fgColor rgb="FF2A2AD4"/>
        <bgColor rgb="FF2A2AD4"/>
      </patternFill>
    </fill>
    <fill>
      <patternFill patternType="solid">
        <fgColor rgb="FFFFF2CC"/>
        <bgColor rgb="FFFFF2CC"/>
      </patternFill>
    </fill>
  </fills>
  <borders count="18">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BFBFBF"/>
      </right>
      <top style="thin">
        <color rgb="FFBFBFBF"/>
      </top>
      <bottom style="thin">
        <color rgb="FFBFBFBF"/>
      </bottom>
      <diagonal/>
    </border>
    <border>
      <left/>
      <right style="medium">
        <color indexed="64"/>
      </right>
      <top style="thin">
        <color rgb="FFBFBFBF"/>
      </top>
      <bottom style="thin">
        <color rgb="FFBFBFBF"/>
      </bottom>
      <diagonal/>
    </border>
    <border>
      <left/>
      <right style="medium">
        <color indexed="64"/>
      </right>
      <top/>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404040"/>
      </left>
      <right style="thin">
        <color rgb="FF404040"/>
      </right>
      <top style="thin">
        <color rgb="FF404040"/>
      </top>
      <bottom style="thin">
        <color rgb="FF404040"/>
      </bottom>
      <diagonal/>
    </border>
    <border>
      <left style="thin">
        <color rgb="FF404040"/>
      </left>
      <right style="thin">
        <color rgb="FF404040"/>
      </right>
      <top/>
      <bottom/>
      <diagonal/>
    </border>
    <border>
      <left style="thin">
        <color rgb="FF404040"/>
      </left>
      <right style="thin">
        <color rgb="FF404040"/>
      </right>
      <top/>
      <bottom style="thin">
        <color rgb="FF404040"/>
      </bottom>
      <diagonal/>
    </border>
    <border>
      <left style="thin">
        <color rgb="FF404040"/>
      </left>
      <right style="thin">
        <color rgb="FF404040"/>
      </right>
      <top style="thin">
        <color rgb="FF404040"/>
      </top>
      <bottom style="thin">
        <color rgb="FF404040"/>
      </bottom>
      <diagonal/>
    </border>
  </borders>
  <cellStyleXfs count="2">
    <xf numFmtId="0" fontId="0" fillId="0" borderId="0"/>
    <xf numFmtId="0" fontId="1" fillId="0" borderId="0"/>
  </cellStyleXfs>
  <cellXfs count="50">
    <xf numFmtId="0" fontId="0" fillId="0" borderId="0" xfId="0"/>
    <xf numFmtId="0" fontId="6" fillId="0" borderId="0" xfId="0" applyFont="1" applyAlignment="1">
      <alignment vertical="top" wrapText="1"/>
    </xf>
    <xf numFmtId="0" fontId="9" fillId="0" borderId="0" xfId="0" applyFont="1" applyAlignment="1">
      <alignment vertical="top" wrapText="1"/>
    </xf>
    <xf numFmtId="0" fontId="8" fillId="0" borderId="0" xfId="0" applyFont="1" applyAlignment="1">
      <alignment vertical="top" wrapText="1"/>
    </xf>
    <xf numFmtId="0" fontId="6" fillId="0" borderId="1" xfId="0" applyFont="1" applyBorder="1" applyAlignment="1">
      <alignment horizontal="left"/>
    </xf>
    <xf numFmtId="0" fontId="6" fillId="0" borderId="1" xfId="0" applyFont="1" applyBorder="1" applyAlignment="1">
      <alignment horizontal="left" wrapText="1"/>
    </xf>
    <xf numFmtId="0" fontId="5" fillId="3" borderId="1" xfId="0" applyFont="1" applyFill="1" applyBorder="1" applyAlignment="1">
      <alignment horizontal="center" wrapText="1"/>
    </xf>
    <xf numFmtId="0" fontId="6" fillId="0" borderId="1" xfId="0" applyFont="1" applyBorder="1" applyAlignment="1">
      <alignment vertical="top" wrapText="1"/>
    </xf>
    <xf numFmtId="0" fontId="7" fillId="0" borderId="1" xfId="0" applyFont="1" applyBorder="1" applyAlignment="1">
      <alignment vertical="top" wrapText="1"/>
    </xf>
    <xf numFmtId="0" fontId="4" fillId="2" borderId="0" xfId="0" applyFont="1" applyFill="1" applyAlignment="1">
      <alignment horizontal="left" vertical="center" indent="1"/>
    </xf>
    <xf numFmtId="0" fontId="3" fillId="0" borderId="0" xfId="0" applyFont="1" applyAlignment="1">
      <alignment vertical="top" wrapText="1"/>
    </xf>
    <xf numFmtId="0" fontId="0" fillId="0" borderId="0" xfId="0"/>
    <xf numFmtId="0" fontId="2" fillId="0" borderId="0" xfId="0" applyFont="1"/>
    <xf numFmtId="0" fontId="2" fillId="0" borderId="0" xfId="0" applyFont="1"/>
    <xf numFmtId="0" fontId="3" fillId="0" borderId="0" xfId="0" applyFont="1" applyAlignment="1">
      <alignment vertical="top" wrapText="1"/>
    </xf>
    <xf numFmtId="0" fontId="4" fillId="2" borderId="0" xfId="0" applyFont="1" applyFill="1" applyAlignment="1">
      <alignment horizontal="left" vertical="center" indent="1"/>
    </xf>
    <xf numFmtId="0" fontId="6" fillId="0" borderId="1" xfId="0" applyFont="1" applyBorder="1" applyAlignment="1">
      <alignment horizontal="left"/>
    </xf>
    <xf numFmtId="0" fontId="6" fillId="0" borderId="1" xfId="0" applyFont="1" applyBorder="1" applyAlignment="1">
      <alignment horizontal="right"/>
    </xf>
    <xf numFmtId="0" fontId="5" fillId="3" borderId="1" xfId="0" applyFont="1" applyFill="1" applyBorder="1" applyAlignment="1">
      <alignment horizontal="center" wrapText="1"/>
    </xf>
    <xf numFmtId="0" fontId="6" fillId="0" borderId="1" xfId="0" applyFont="1" applyBorder="1"/>
    <xf numFmtId="10" fontId="6" fillId="0" borderId="1" xfId="0" applyNumberFormat="1" applyFont="1" applyBorder="1" applyAlignment="1">
      <alignment horizontal="right"/>
    </xf>
    <xf numFmtId="0" fontId="6" fillId="0" borderId="1" xfId="0" applyFont="1" applyBorder="1" applyAlignment="1">
      <alignment horizontal="left" wrapText="1"/>
    </xf>
    <xf numFmtId="0" fontId="7" fillId="4" borderId="1" xfId="0" applyFont="1" applyFill="1" applyBorder="1"/>
    <xf numFmtId="0" fontId="7" fillId="0" borderId="1" xfId="0" applyFont="1" applyBorder="1" applyAlignment="1">
      <alignment vertical="top" wrapText="1"/>
    </xf>
    <xf numFmtId="0" fontId="6" fillId="0" borderId="1" xfId="0" applyFont="1" applyBorder="1" applyAlignment="1">
      <alignment vertical="top" wrapText="1"/>
    </xf>
    <xf numFmtId="0" fontId="1" fillId="0" borderId="0" xfId="0" applyFont="1"/>
    <xf numFmtId="0" fontId="6" fillId="0" borderId="0" xfId="0" applyFont="1" applyAlignment="1">
      <alignment vertical="top" wrapText="1"/>
    </xf>
    <xf numFmtId="0" fontId="7" fillId="0" borderId="0" xfId="0" applyFont="1" applyAlignment="1">
      <alignment vertical="top" wrapText="1"/>
    </xf>
    <xf numFmtId="0" fontId="5" fillId="3" borderId="2" xfId="0" applyFont="1" applyFill="1" applyBorder="1" applyAlignment="1">
      <alignment horizontal="center" vertical="center" wrapText="1"/>
    </xf>
    <xf numFmtId="0" fontId="0" fillId="0" borderId="3" xfId="0" applyBorder="1" applyAlignment="1">
      <alignment horizontal="center" vertical="center" wrapText="1"/>
    </xf>
    <xf numFmtId="0" fontId="4" fillId="2" borderId="4" xfId="0" applyFont="1" applyFill="1" applyBorder="1" applyAlignment="1">
      <alignment horizontal="left" vertical="center" indent="1"/>
    </xf>
    <xf numFmtId="0" fontId="0" fillId="0" borderId="5" xfId="0" applyBorder="1"/>
    <xf numFmtId="0" fontId="0" fillId="0" borderId="6" xfId="0" applyBorder="1"/>
    <xf numFmtId="0" fontId="5" fillId="3" borderId="7" xfId="0" applyFont="1" applyFill="1" applyBorder="1" applyAlignment="1">
      <alignment horizontal="center" wrapText="1"/>
    </xf>
    <xf numFmtId="0" fontId="0" fillId="0" borderId="8" xfId="0" applyBorder="1" applyAlignment="1">
      <alignment horizontal="center" vertical="center" wrapText="1"/>
    </xf>
    <xf numFmtId="0" fontId="6" fillId="0" borderId="7" xfId="0" applyFont="1" applyBorder="1" applyAlignment="1">
      <alignment horizontal="left"/>
    </xf>
    <xf numFmtId="0" fontId="0" fillId="0" borderId="0" xfId="0" applyBorder="1"/>
    <xf numFmtId="0" fontId="0" fillId="0" borderId="9" xfId="0" applyBorder="1"/>
    <xf numFmtId="0" fontId="6" fillId="0" borderId="10" xfId="0" applyFont="1" applyBorder="1" applyAlignment="1">
      <alignment horizontal="left"/>
    </xf>
    <xf numFmtId="0" fontId="6" fillId="0" borderId="11" xfId="0" applyFont="1" applyBorder="1" applyAlignment="1">
      <alignment horizontal="left"/>
    </xf>
    <xf numFmtId="0" fontId="6" fillId="0" borderId="11" xfId="0" applyFont="1" applyBorder="1" applyAlignment="1">
      <alignment horizontal="right"/>
    </xf>
    <xf numFmtId="10" fontId="6" fillId="0" borderId="11" xfId="0" applyNumberFormat="1" applyFont="1" applyBorder="1" applyAlignment="1">
      <alignment horizontal="right"/>
    </xf>
    <xf numFmtId="0" fontId="6" fillId="0" borderId="11" xfId="0" applyFont="1" applyBorder="1" applyAlignment="1">
      <alignment horizontal="left" wrapText="1"/>
    </xf>
    <xf numFmtId="0" fontId="0" fillId="0" borderId="12" xfId="0" applyBorder="1"/>
    <xf numFmtId="0" fontId="0" fillId="0" borderId="13" xfId="0" applyBorder="1"/>
    <xf numFmtId="0" fontId="10" fillId="5" borderId="14" xfId="0" applyFont="1" applyFill="1" applyBorder="1" applyAlignment="1">
      <alignment horizontal="center" vertical="center"/>
    </xf>
    <xf numFmtId="0" fontId="0" fillId="0" borderId="15" xfId="0" applyBorder="1" applyAlignment="1">
      <alignment vertical="center" wrapText="1"/>
    </xf>
    <xf numFmtId="0" fontId="0" fillId="0" borderId="16" xfId="0" applyBorder="1" applyAlignment="1">
      <alignment vertical="center" wrapText="1"/>
    </xf>
    <xf numFmtId="14" fontId="0" fillId="6" borderId="17" xfId="0" applyNumberFormat="1" applyFill="1" applyBorder="1" applyAlignment="1">
      <alignment horizontal="center" vertical="center"/>
    </xf>
    <xf numFmtId="14" fontId="0" fillId="0" borderId="0" xfId="0" applyNumberFormat="1"/>
  </cellXfs>
  <cellStyles count="2">
    <cellStyle name="Normal" xfId="0" builtinId="0"/>
    <cellStyle name="Normal 2" xfId="1" xr:uid="{00000000-0005-0000-0000-00000600000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B8B8B"/>
      <rgbColor rgb="FF9999FF"/>
      <rgbColor rgb="FF8C564B"/>
      <rgbColor rgb="FFFFF2CC"/>
      <rgbColor rgb="FFD9E1F2"/>
      <rgbColor rgb="FF660066"/>
      <rgbColor rgb="FFFF8080"/>
      <rgbColor rgb="FF1F77B4"/>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7F0E"/>
      <rgbColor rgb="FF595959"/>
      <rgbColor rgb="FF969696"/>
      <rgbColor rgb="FF1F3864"/>
      <rgbColor rgb="FF2CA02C"/>
      <rgbColor rgb="FF003300"/>
      <rgbColor rgb="FF333300"/>
      <rgbColor rgb="FFD62728"/>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130680</xdr:rowOff>
    </xdr:from>
    <xdr:to>
      <xdr:col>0</xdr:col>
      <xdr:colOff>2602440</xdr:colOff>
      <xdr:row>12</xdr:row>
      <xdr:rowOff>51120</xdr:rowOff>
    </xdr:to>
    <xdr:pic>
      <xdr:nvPicPr>
        <xdr:cNvPr id="2" name="Image 1" descr="Picture">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a:stretch/>
      </xdr:blipFill>
      <xdr:spPr>
        <a:xfrm>
          <a:off x="0" y="1302120"/>
          <a:ext cx="2602440" cy="1711440"/>
        </a:xfrm>
        <a:prstGeom prst="rect">
          <a:avLst/>
        </a:prstGeom>
        <a:ln w="0">
          <a:noFill/>
        </a:ln>
      </xdr:spPr>
    </xdr:pic>
    <xdr:clientData/>
  </xdr:twoCellAnchor>
  <xdr:twoCellAnchor editAs="oneCell">
    <xdr:from>
      <xdr:col>0</xdr:col>
      <xdr:colOff>0</xdr:colOff>
      <xdr:row>26</xdr:row>
      <xdr:rowOff>130680</xdr:rowOff>
    </xdr:from>
    <xdr:to>
      <xdr:col>0</xdr:col>
      <xdr:colOff>2602440</xdr:colOff>
      <xdr:row>38</xdr:row>
      <xdr:rowOff>22320</xdr:rowOff>
    </xdr:to>
    <xdr:pic>
      <xdr:nvPicPr>
        <xdr:cNvPr id="3" name="Image 2" descr="Picture">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2"/>
        <a:stretch/>
      </xdr:blipFill>
      <xdr:spPr>
        <a:xfrm>
          <a:off x="0" y="6274440"/>
          <a:ext cx="2602440" cy="2596680"/>
        </a:xfrm>
        <a:prstGeom prst="rect">
          <a:avLst/>
        </a:prstGeom>
        <a:ln w="0">
          <a:noFill/>
        </a:ln>
      </xdr:spPr>
    </xdr:pic>
    <xdr:clientData/>
  </xdr:twoCellAnchor>
  <xdr:twoCellAnchor editAs="oneCell">
    <xdr:from>
      <xdr:col>0</xdr:col>
      <xdr:colOff>0</xdr:colOff>
      <xdr:row>48</xdr:row>
      <xdr:rowOff>131040</xdr:rowOff>
    </xdr:from>
    <xdr:to>
      <xdr:col>0</xdr:col>
      <xdr:colOff>2602440</xdr:colOff>
      <xdr:row>59</xdr:row>
      <xdr:rowOff>174960</xdr:rowOff>
    </xdr:to>
    <xdr:pic>
      <xdr:nvPicPr>
        <xdr:cNvPr id="4" name="Image 3" descr="Picture">
          <a:extLst>
            <a:ext uri="{FF2B5EF4-FFF2-40B4-BE49-F238E27FC236}">
              <a16:creationId xmlns:a16="http://schemas.microsoft.com/office/drawing/2014/main" id="{00000000-0008-0000-0900-000004000000}"/>
            </a:ext>
          </a:extLst>
        </xdr:cNvPr>
        <xdr:cNvPicPr/>
      </xdr:nvPicPr>
      <xdr:blipFill>
        <a:blip xmlns:r="http://schemas.openxmlformats.org/officeDocument/2006/relationships" r:embed="rId3"/>
        <a:stretch/>
      </xdr:blipFill>
      <xdr:spPr>
        <a:xfrm>
          <a:off x="0" y="11246760"/>
          <a:ext cx="2602440" cy="2520360"/>
        </a:xfrm>
        <a:prstGeom prst="rect">
          <a:avLst/>
        </a:prstGeom>
        <a:ln w="0">
          <a:noFill/>
        </a:ln>
      </xdr:spPr>
    </xdr:pic>
    <xdr:clientData/>
  </xdr:twoCellAnchor>
  <xdr:twoCellAnchor editAs="oneCell">
    <xdr:from>
      <xdr:col>0</xdr:col>
      <xdr:colOff>0</xdr:colOff>
      <xdr:row>70</xdr:row>
      <xdr:rowOff>131040</xdr:rowOff>
    </xdr:from>
    <xdr:to>
      <xdr:col>0</xdr:col>
      <xdr:colOff>2602440</xdr:colOff>
      <xdr:row>81</xdr:row>
      <xdr:rowOff>32040</xdr:rowOff>
    </xdr:to>
    <xdr:pic>
      <xdr:nvPicPr>
        <xdr:cNvPr id="5" name="Image 4" descr="Picture">
          <a:extLst>
            <a:ext uri="{FF2B5EF4-FFF2-40B4-BE49-F238E27FC236}">
              <a16:creationId xmlns:a16="http://schemas.microsoft.com/office/drawing/2014/main" id="{00000000-0008-0000-0900-000005000000}"/>
            </a:ext>
          </a:extLst>
        </xdr:cNvPr>
        <xdr:cNvPicPr/>
      </xdr:nvPicPr>
      <xdr:blipFill>
        <a:blip xmlns:r="http://schemas.openxmlformats.org/officeDocument/2006/relationships" r:embed="rId4"/>
        <a:stretch/>
      </xdr:blipFill>
      <xdr:spPr>
        <a:xfrm>
          <a:off x="0" y="16218720"/>
          <a:ext cx="2602440" cy="2377440"/>
        </a:xfrm>
        <a:prstGeom prst="rect">
          <a:avLst/>
        </a:prstGeom>
        <a:ln w="0">
          <a:noFill/>
        </a:ln>
      </xdr:spPr>
    </xdr:pic>
    <xdr:clientData/>
  </xdr:twoCellAnchor>
  <xdr:twoCellAnchor editAs="oneCell">
    <xdr:from>
      <xdr:col>0</xdr:col>
      <xdr:colOff>0</xdr:colOff>
      <xdr:row>92</xdr:row>
      <xdr:rowOff>130680</xdr:rowOff>
    </xdr:from>
    <xdr:to>
      <xdr:col>0</xdr:col>
      <xdr:colOff>2602440</xdr:colOff>
      <xdr:row>98</xdr:row>
      <xdr:rowOff>12960</xdr:rowOff>
    </xdr:to>
    <xdr:pic>
      <xdr:nvPicPr>
        <xdr:cNvPr id="6" name="Image 5" descr="Picture">
          <a:extLst>
            <a:ext uri="{FF2B5EF4-FFF2-40B4-BE49-F238E27FC236}">
              <a16:creationId xmlns:a16="http://schemas.microsoft.com/office/drawing/2014/main" id="{00000000-0008-0000-0900-000006000000}"/>
            </a:ext>
          </a:extLst>
        </xdr:cNvPr>
        <xdr:cNvPicPr/>
      </xdr:nvPicPr>
      <xdr:blipFill>
        <a:blip xmlns:r="http://schemas.openxmlformats.org/officeDocument/2006/relationships" r:embed="rId5"/>
        <a:stretch/>
      </xdr:blipFill>
      <xdr:spPr>
        <a:xfrm>
          <a:off x="0" y="21190320"/>
          <a:ext cx="2602440" cy="1216080"/>
        </a:xfrm>
        <a:prstGeom prst="rect">
          <a:avLst/>
        </a:prstGeom>
        <a:ln w="0">
          <a:noFill/>
        </a:ln>
      </xdr:spPr>
    </xdr:pic>
    <xdr:clientData/>
  </xdr:twoCellAnchor>
  <xdr:twoCellAnchor editAs="oneCell">
    <xdr:from>
      <xdr:col>0</xdr:col>
      <xdr:colOff>0</xdr:colOff>
      <xdr:row>114</xdr:row>
      <xdr:rowOff>130680</xdr:rowOff>
    </xdr:from>
    <xdr:to>
      <xdr:col>0</xdr:col>
      <xdr:colOff>2602440</xdr:colOff>
      <xdr:row>126</xdr:row>
      <xdr:rowOff>51120</xdr:rowOff>
    </xdr:to>
    <xdr:pic>
      <xdr:nvPicPr>
        <xdr:cNvPr id="7" name="Image 6" descr="Picture">
          <a:extLst>
            <a:ext uri="{FF2B5EF4-FFF2-40B4-BE49-F238E27FC236}">
              <a16:creationId xmlns:a16="http://schemas.microsoft.com/office/drawing/2014/main" id="{00000000-0008-0000-0900-000007000000}"/>
            </a:ext>
          </a:extLst>
        </xdr:cNvPr>
        <xdr:cNvPicPr/>
      </xdr:nvPicPr>
      <xdr:blipFill>
        <a:blip xmlns:r="http://schemas.openxmlformats.org/officeDocument/2006/relationships" r:embed="rId6"/>
        <a:stretch/>
      </xdr:blipFill>
      <xdr:spPr>
        <a:xfrm>
          <a:off x="0" y="26162640"/>
          <a:ext cx="2602440" cy="262548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
  <sheetViews>
    <sheetView workbookViewId="0">
      <pane ySplit="5" topLeftCell="A6" activePane="bottomLeft" state="frozen"/>
      <selection pane="bottomLeft" activeCell="A6" sqref="A6"/>
    </sheetView>
  </sheetViews>
  <sheetFormatPr defaultRowHeight="14.4" x14ac:dyDescent="0.3"/>
  <cols>
    <col min="1" max="1" width="11" customWidth="1"/>
    <col min="2" max="2" width="15" customWidth="1"/>
    <col min="3" max="3" width="13" customWidth="1"/>
    <col min="4" max="4" width="12" customWidth="1"/>
    <col min="5" max="5" width="11" customWidth="1"/>
    <col min="6" max="6" width="8" customWidth="1"/>
    <col min="7" max="8" width="13" customWidth="1"/>
    <col min="9" max="11" width="9" customWidth="1"/>
    <col min="12" max="12" width="10" customWidth="1"/>
    <col min="13" max="13" width="55" customWidth="1"/>
  </cols>
  <sheetData>
    <row r="1" spans="1:13" ht="22.05" customHeight="1" x14ac:dyDescent="0.4">
      <c r="A1" s="12" t="s">
        <v>185</v>
      </c>
      <c r="B1" s="11"/>
      <c r="C1" s="11"/>
      <c r="D1" s="11"/>
      <c r="E1" s="11"/>
      <c r="F1" s="11"/>
      <c r="G1" s="11"/>
      <c r="H1" s="11"/>
      <c r="I1" s="11"/>
      <c r="J1" s="11"/>
      <c r="K1" s="11"/>
      <c r="L1" s="11"/>
      <c r="M1" s="11"/>
    </row>
    <row r="2" spans="1:13" ht="43.95" customHeight="1" x14ac:dyDescent="0.3">
      <c r="A2" s="10" t="s">
        <v>186</v>
      </c>
      <c r="B2" s="11"/>
      <c r="C2" s="11"/>
      <c r="D2" s="11"/>
      <c r="E2" s="11"/>
      <c r="F2" s="11"/>
      <c r="G2" s="11"/>
      <c r="H2" s="11"/>
      <c r="I2" s="11"/>
      <c r="J2" s="11"/>
      <c r="K2" s="11"/>
      <c r="L2" s="11"/>
      <c r="M2" s="11"/>
    </row>
    <row r="4" spans="1:13" ht="18" customHeight="1" x14ac:dyDescent="0.3">
      <c r="A4" s="9" t="s">
        <v>187</v>
      </c>
      <c r="B4" s="11"/>
      <c r="C4" s="11"/>
      <c r="D4" s="11"/>
      <c r="E4" s="11"/>
      <c r="F4" s="11"/>
      <c r="G4" s="11"/>
      <c r="H4" s="11"/>
      <c r="I4" s="11"/>
      <c r="J4" s="11"/>
      <c r="K4" s="11"/>
      <c r="L4" s="11"/>
      <c r="M4" s="11"/>
    </row>
    <row r="5" spans="1:13" ht="43.2" x14ac:dyDescent="0.3">
      <c r="A5" s="18" t="s">
        <v>34</v>
      </c>
      <c r="B5" s="18" t="s">
        <v>8</v>
      </c>
      <c r="C5" s="18" t="s">
        <v>9</v>
      </c>
      <c r="D5" s="18" t="s">
        <v>10</v>
      </c>
      <c r="E5" s="18" t="s">
        <v>153</v>
      </c>
      <c r="F5" s="18" t="s">
        <v>159</v>
      </c>
      <c r="G5" s="18" t="s">
        <v>87</v>
      </c>
      <c r="H5" s="18" t="s">
        <v>35</v>
      </c>
      <c r="I5" s="18" t="s">
        <v>36</v>
      </c>
      <c r="J5" s="18" t="s">
        <v>37</v>
      </c>
      <c r="K5" s="18" t="s">
        <v>38</v>
      </c>
      <c r="L5" s="18" t="s">
        <v>154</v>
      </c>
      <c r="M5" s="18" t="s">
        <v>188</v>
      </c>
    </row>
    <row r="6" spans="1:13" ht="27" customHeight="1" x14ac:dyDescent="0.3">
      <c r="A6" s="16" t="s">
        <v>0</v>
      </c>
      <c r="B6" s="16" t="s">
        <v>11</v>
      </c>
      <c r="C6" s="16" t="s">
        <v>12</v>
      </c>
      <c r="D6" s="16" t="s">
        <v>13</v>
      </c>
      <c r="E6" s="16" t="s">
        <v>156</v>
      </c>
      <c r="F6" s="16" t="s">
        <v>17</v>
      </c>
      <c r="G6" s="16" t="s">
        <v>43</v>
      </c>
      <c r="H6" s="16" t="s">
        <v>15</v>
      </c>
      <c r="I6" s="17">
        <v>3</v>
      </c>
      <c r="J6" s="17">
        <v>3</v>
      </c>
      <c r="K6" s="17">
        <v>0</v>
      </c>
      <c r="L6" s="20">
        <f t="shared" ref="L6:L37" si="0">IFERROR(J6/I6,0)</f>
        <v>1</v>
      </c>
      <c r="M6" s="21" t="s">
        <v>44</v>
      </c>
    </row>
    <row r="7" spans="1:13" ht="27" customHeight="1" x14ac:dyDescent="0.3">
      <c r="A7" s="16" t="s">
        <v>0</v>
      </c>
      <c r="B7" s="16" t="s">
        <v>11</v>
      </c>
      <c r="C7" s="16" t="s">
        <v>12</v>
      </c>
      <c r="D7" s="16" t="s">
        <v>13</v>
      </c>
      <c r="E7" s="16" t="s">
        <v>156</v>
      </c>
      <c r="F7" s="16" t="s">
        <v>16</v>
      </c>
      <c r="G7" s="16" t="s">
        <v>39</v>
      </c>
      <c r="H7" s="16" t="s">
        <v>14</v>
      </c>
      <c r="I7" s="17">
        <v>48</v>
      </c>
      <c r="J7" s="17">
        <v>47</v>
      </c>
      <c r="K7" s="17">
        <v>1</v>
      </c>
      <c r="L7" s="20">
        <f t="shared" si="0"/>
        <v>0.97916666666666663</v>
      </c>
      <c r="M7" s="21" t="s">
        <v>40</v>
      </c>
    </row>
    <row r="8" spans="1:13" ht="13.5" customHeight="1" x14ac:dyDescent="0.3">
      <c r="A8" s="16" t="s">
        <v>41</v>
      </c>
      <c r="B8" s="16" t="s">
        <v>11</v>
      </c>
      <c r="C8" s="16" t="s">
        <v>12</v>
      </c>
      <c r="D8" s="16" t="s">
        <v>13</v>
      </c>
      <c r="E8" s="16" t="s">
        <v>156</v>
      </c>
      <c r="F8" s="16" t="s">
        <v>17</v>
      </c>
      <c r="G8" s="16" t="s">
        <v>43</v>
      </c>
      <c r="H8" s="16" t="s">
        <v>15</v>
      </c>
      <c r="I8" s="17">
        <v>4</v>
      </c>
      <c r="J8" s="17">
        <v>4</v>
      </c>
      <c r="K8" s="17">
        <v>0</v>
      </c>
      <c r="L8" s="20">
        <f t="shared" si="0"/>
        <v>1</v>
      </c>
      <c r="M8" s="21" t="s">
        <v>189</v>
      </c>
    </row>
    <row r="9" spans="1:13" ht="27" customHeight="1" x14ac:dyDescent="0.3">
      <c r="A9" s="16" t="s">
        <v>41</v>
      </c>
      <c r="B9" s="16" t="s">
        <v>11</v>
      </c>
      <c r="C9" s="16" t="s">
        <v>12</v>
      </c>
      <c r="D9" s="16" t="s">
        <v>13</v>
      </c>
      <c r="E9" s="16" t="s">
        <v>156</v>
      </c>
      <c r="F9" s="16" t="s">
        <v>16</v>
      </c>
      <c r="G9" s="16" t="s">
        <v>39</v>
      </c>
      <c r="H9" s="16" t="s">
        <v>14</v>
      </c>
      <c r="I9" s="17">
        <v>17</v>
      </c>
      <c r="J9" s="17">
        <v>13</v>
      </c>
      <c r="K9" s="17">
        <v>4</v>
      </c>
      <c r="L9" s="20">
        <f t="shared" si="0"/>
        <v>0.76470588235294112</v>
      </c>
      <c r="M9" s="21" t="s">
        <v>42</v>
      </c>
    </row>
    <row r="10" spans="1:13" ht="13.5" customHeight="1" x14ac:dyDescent="0.3">
      <c r="A10" s="16" t="s">
        <v>1</v>
      </c>
      <c r="B10" s="16" t="s">
        <v>11</v>
      </c>
      <c r="C10" s="16" t="s">
        <v>12</v>
      </c>
      <c r="D10" s="16" t="s">
        <v>13</v>
      </c>
      <c r="E10" s="16" t="s">
        <v>156</v>
      </c>
      <c r="F10" s="16" t="s">
        <v>17</v>
      </c>
      <c r="G10" s="16" t="s">
        <v>43</v>
      </c>
      <c r="H10" s="16" t="s">
        <v>19</v>
      </c>
      <c r="I10" s="17">
        <v>31</v>
      </c>
      <c r="J10" s="17">
        <v>29</v>
      </c>
      <c r="K10" s="17">
        <v>2</v>
      </c>
      <c r="L10" s="20">
        <f t="shared" si="0"/>
        <v>0.93548387096774188</v>
      </c>
      <c r="M10" s="21" t="s">
        <v>48</v>
      </c>
    </row>
    <row r="11" spans="1:13" ht="27" customHeight="1" x14ac:dyDescent="0.3">
      <c r="A11" s="16" t="s">
        <v>1</v>
      </c>
      <c r="B11" s="16" t="s">
        <v>11</v>
      </c>
      <c r="C11" s="16" t="s">
        <v>12</v>
      </c>
      <c r="D11" s="16" t="s">
        <v>13</v>
      </c>
      <c r="E11" s="16" t="s">
        <v>156</v>
      </c>
      <c r="F11" s="16" t="s">
        <v>16</v>
      </c>
      <c r="G11" s="16" t="s">
        <v>39</v>
      </c>
      <c r="H11" s="16" t="s">
        <v>18</v>
      </c>
      <c r="I11" s="17">
        <v>0</v>
      </c>
      <c r="J11" s="17">
        <v>0</v>
      </c>
      <c r="K11" s="17">
        <v>0</v>
      </c>
      <c r="L11" s="20">
        <f t="shared" si="0"/>
        <v>0</v>
      </c>
      <c r="M11" s="21" t="s">
        <v>45</v>
      </c>
    </row>
    <row r="12" spans="1:13" ht="13.5" customHeight="1" x14ac:dyDescent="0.3">
      <c r="A12" s="16" t="s">
        <v>46</v>
      </c>
      <c r="B12" s="16" t="s">
        <v>11</v>
      </c>
      <c r="C12" s="16" t="s">
        <v>12</v>
      </c>
      <c r="D12" s="16" t="s">
        <v>13</v>
      </c>
      <c r="E12" s="16" t="s">
        <v>156</v>
      </c>
      <c r="F12" s="16" t="s">
        <v>17</v>
      </c>
      <c r="G12" s="16" t="s">
        <v>43</v>
      </c>
      <c r="H12" s="16" t="s">
        <v>19</v>
      </c>
      <c r="I12" s="17">
        <v>21</v>
      </c>
      <c r="J12" s="17">
        <v>19</v>
      </c>
      <c r="K12" s="17">
        <v>2</v>
      </c>
      <c r="L12" s="20">
        <f t="shared" si="0"/>
        <v>0.90476190476190477</v>
      </c>
      <c r="M12" s="21" t="s">
        <v>49</v>
      </c>
    </row>
    <row r="13" spans="1:13" ht="13.5" customHeight="1" x14ac:dyDescent="0.3">
      <c r="A13" s="16" t="s">
        <v>46</v>
      </c>
      <c r="B13" s="16" t="s">
        <v>11</v>
      </c>
      <c r="C13" s="16" t="s">
        <v>12</v>
      </c>
      <c r="D13" s="16" t="s">
        <v>13</v>
      </c>
      <c r="E13" s="16" t="s">
        <v>156</v>
      </c>
      <c r="F13" s="16" t="s">
        <v>16</v>
      </c>
      <c r="G13" s="16" t="s">
        <v>39</v>
      </c>
      <c r="H13" s="16" t="s">
        <v>18</v>
      </c>
      <c r="I13" s="17">
        <v>57</v>
      </c>
      <c r="J13" s="17">
        <v>56</v>
      </c>
      <c r="K13" s="17">
        <v>1</v>
      </c>
      <c r="L13" s="20">
        <f t="shared" si="0"/>
        <v>0.98245614035087714</v>
      </c>
      <c r="M13" s="21" t="s">
        <v>47</v>
      </c>
    </row>
    <row r="14" spans="1:13" ht="13.5" customHeight="1" x14ac:dyDescent="0.3">
      <c r="A14" s="16" t="s">
        <v>2</v>
      </c>
      <c r="B14" s="16" t="s">
        <v>11</v>
      </c>
      <c r="C14" s="16" t="s">
        <v>12</v>
      </c>
      <c r="D14" s="16" t="s">
        <v>13</v>
      </c>
      <c r="E14" s="16" t="s">
        <v>156</v>
      </c>
      <c r="F14" s="16" t="s">
        <v>17</v>
      </c>
      <c r="G14" s="16" t="s">
        <v>43</v>
      </c>
      <c r="H14" s="16" t="s">
        <v>21</v>
      </c>
      <c r="I14" s="17">
        <v>16</v>
      </c>
      <c r="J14" s="17">
        <v>13</v>
      </c>
      <c r="K14" s="17">
        <v>3</v>
      </c>
      <c r="L14" s="20">
        <f t="shared" si="0"/>
        <v>0.8125</v>
      </c>
      <c r="M14" s="21" t="s">
        <v>52</v>
      </c>
    </row>
    <row r="15" spans="1:13" ht="13.5" customHeight="1" x14ac:dyDescent="0.3">
      <c r="A15" s="16" t="s">
        <v>2</v>
      </c>
      <c r="B15" s="16" t="s">
        <v>11</v>
      </c>
      <c r="C15" s="16" t="s">
        <v>12</v>
      </c>
      <c r="D15" s="16" t="s">
        <v>13</v>
      </c>
      <c r="E15" s="16" t="s">
        <v>156</v>
      </c>
      <c r="F15" s="16" t="s">
        <v>16</v>
      </c>
      <c r="G15" s="16" t="s">
        <v>39</v>
      </c>
      <c r="H15" s="16" t="s">
        <v>20</v>
      </c>
      <c r="I15" s="17">
        <v>37</v>
      </c>
      <c r="J15" s="17">
        <v>36</v>
      </c>
      <c r="K15" s="17">
        <v>1</v>
      </c>
      <c r="L15" s="20">
        <f t="shared" si="0"/>
        <v>0.97297297297297303</v>
      </c>
      <c r="M15" s="21" t="s">
        <v>50</v>
      </c>
    </row>
    <row r="16" spans="1:13" ht="13.5" customHeight="1" x14ac:dyDescent="0.3">
      <c r="A16" s="16" t="s">
        <v>51</v>
      </c>
      <c r="B16" s="16" t="s">
        <v>11</v>
      </c>
      <c r="C16" s="16" t="s">
        <v>12</v>
      </c>
      <c r="D16" s="16" t="s">
        <v>13</v>
      </c>
      <c r="E16" s="16" t="s">
        <v>156</v>
      </c>
      <c r="F16" s="16" t="s">
        <v>17</v>
      </c>
      <c r="G16" s="16" t="s">
        <v>43</v>
      </c>
      <c r="H16" s="16" t="s">
        <v>21</v>
      </c>
      <c r="I16" s="17">
        <v>29</v>
      </c>
      <c r="J16" s="17">
        <v>28</v>
      </c>
      <c r="K16" s="17">
        <v>1</v>
      </c>
      <c r="L16" s="20">
        <f t="shared" si="0"/>
        <v>0.96551724137931039</v>
      </c>
      <c r="M16" s="21" t="s">
        <v>53</v>
      </c>
    </row>
    <row r="17" spans="1:13" ht="13.5" customHeight="1" x14ac:dyDescent="0.3">
      <c r="A17" s="16" t="s">
        <v>51</v>
      </c>
      <c r="B17" s="16" t="s">
        <v>11</v>
      </c>
      <c r="C17" s="16" t="s">
        <v>12</v>
      </c>
      <c r="D17" s="16" t="s">
        <v>13</v>
      </c>
      <c r="E17" s="16" t="s">
        <v>156</v>
      </c>
      <c r="F17" s="16" t="s">
        <v>16</v>
      </c>
      <c r="G17" s="16" t="s">
        <v>39</v>
      </c>
      <c r="H17" s="16" t="s">
        <v>20</v>
      </c>
      <c r="I17" s="17">
        <v>25</v>
      </c>
      <c r="J17" s="17">
        <v>22</v>
      </c>
      <c r="K17" s="17">
        <v>3</v>
      </c>
      <c r="L17" s="20">
        <f t="shared" si="0"/>
        <v>0.88</v>
      </c>
      <c r="M17" s="21" t="s">
        <v>52</v>
      </c>
    </row>
    <row r="18" spans="1:13" ht="13.5" customHeight="1" x14ac:dyDescent="0.3">
      <c r="A18" s="16" t="s">
        <v>54</v>
      </c>
      <c r="B18" s="16" t="s">
        <v>11</v>
      </c>
      <c r="C18" s="16" t="s">
        <v>12</v>
      </c>
      <c r="D18" s="16" t="s">
        <v>13</v>
      </c>
      <c r="E18" s="16" t="s">
        <v>156</v>
      </c>
      <c r="F18" s="16" t="s">
        <v>17</v>
      </c>
      <c r="G18" s="16" t="s">
        <v>43</v>
      </c>
      <c r="H18" s="16" t="s">
        <v>23</v>
      </c>
      <c r="I18" s="17">
        <v>43</v>
      </c>
      <c r="J18" s="17">
        <v>42</v>
      </c>
      <c r="K18" s="17">
        <v>1</v>
      </c>
      <c r="L18" s="20">
        <f t="shared" si="0"/>
        <v>0.97674418604651159</v>
      </c>
      <c r="M18" s="21" t="s">
        <v>58</v>
      </c>
    </row>
    <row r="19" spans="1:13" ht="13.5" customHeight="1" x14ac:dyDescent="0.3">
      <c r="A19" s="16" t="s">
        <v>54</v>
      </c>
      <c r="B19" s="16" t="s">
        <v>11</v>
      </c>
      <c r="C19" s="16" t="s">
        <v>12</v>
      </c>
      <c r="D19" s="16" t="s">
        <v>13</v>
      </c>
      <c r="E19" s="16" t="s">
        <v>156</v>
      </c>
      <c r="F19" s="16" t="s">
        <v>16</v>
      </c>
      <c r="G19" s="16" t="s">
        <v>39</v>
      </c>
      <c r="H19" s="16" t="s">
        <v>22</v>
      </c>
      <c r="I19" s="17">
        <v>62</v>
      </c>
      <c r="J19" s="17">
        <v>58</v>
      </c>
      <c r="K19" s="17">
        <v>4</v>
      </c>
      <c r="L19" s="20">
        <f t="shared" si="0"/>
        <v>0.93548387096774188</v>
      </c>
      <c r="M19" s="21" t="s">
        <v>55</v>
      </c>
    </row>
    <row r="20" spans="1:13" ht="13.5" customHeight="1" x14ac:dyDescent="0.3">
      <c r="A20" s="16" t="s">
        <v>56</v>
      </c>
      <c r="B20" s="16" t="s">
        <v>11</v>
      </c>
      <c r="C20" s="16" t="s">
        <v>12</v>
      </c>
      <c r="D20" s="16" t="s">
        <v>13</v>
      </c>
      <c r="E20" s="16" t="s">
        <v>156</v>
      </c>
      <c r="F20" s="16" t="s">
        <v>17</v>
      </c>
      <c r="G20" s="16" t="s">
        <v>43</v>
      </c>
      <c r="H20" s="16" t="s">
        <v>23</v>
      </c>
      <c r="I20" s="17">
        <v>30</v>
      </c>
      <c r="J20" s="17">
        <v>29</v>
      </c>
      <c r="K20" s="17">
        <v>1</v>
      </c>
      <c r="L20" s="20">
        <f t="shared" si="0"/>
        <v>0.96666666666666667</v>
      </c>
      <c r="M20" s="21" t="s">
        <v>59</v>
      </c>
    </row>
    <row r="21" spans="1:13" ht="13.5" customHeight="1" x14ac:dyDescent="0.3">
      <c r="A21" s="16" t="s">
        <v>56</v>
      </c>
      <c r="B21" s="16" t="s">
        <v>11</v>
      </c>
      <c r="C21" s="16" t="s">
        <v>12</v>
      </c>
      <c r="D21" s="16" t="s">
        <v>13</v>
      </c>
      <c r="E21" s="16" t="s">
        <v>156</v>
      </c>
      <c r="F21" s="16" t="s">
        <v>16</v>
      </c>
      <c r="G21" s="16" t="s">
        <v>39</v>
      </c>
      <c r="H21" s="16" t="s">
        <v>22</v>
      </c>
      <c r="I21" s="17">
        <v>31</v>
      </c>
      <c r="J21" s="17">
        <v>29</v>
      </c>
      <c r="K21" s="17">
        <v>2</v>
      </c>
      <c r="L21" s="20">
        <f t="shared" si="0"/>
        <v>0.93548387096774188</v>
      </c>
      <c r="M21" s="21" t="s">
        <v>57</v>
      </c>
    </row>
    <row r="22" spans="1:13" ht="13.5" customHeight="1" x14ac:dyDescent="0.3">
      <c r="A22" s="16" t="s">
        <v>24</v>
      </c>
      <c r="B22" s="16" t="s">
        <v>11</v>
      </c>
      <c r="C22" s="16" t="s">
        <v>12</v>
      </c>
      <c r="D22" s="16" t="s">
        <v>13</v>
      </c>
      <c r="E22" s="16" t="s">
        <v>156</v>
      </c>
      <c r="F22" s="16" t="s">
        <v>16</v>
      </c>
      <c r="G22" s="16" t="s">
        <v>39</v>
      </c>
      <c r="H22" s="16" t="s">
        <v>22</v>
      </c>
      <c r="I22" s="17">
        <v>39</v>
      </c>
      <c r="J22" s="17">
        <v>36</v>
      </c>
      <c r="K22" s="17">
        <v>3</v>
      </c>
      <c r="L22" s="20">
        <f t="shared" si="0"/>
        <v>0.92307692307692313</v>
      </c>
      <c r="M22" s="21" t="s">
        <v>60</v>
      </c>
    </row>
    <row r="23" spans="1:13" ht="27" customHeight="1" x14ac:dyDescent="0.3">
      <c r="A23" s="16" t="s">
        <v>3</v>
      </c>
      <c r="B23" s="16" t="s">
        <v>26</v>
      </c>
      <c r="C23" s="16" t="s">
        <v>27</v>
      </c>
      <c r="D23" s="16" t="s">
        <v>28</v>
      </c>
      <c r="E23" s="16" t="s">
        <v>156</v>
      </c>
      <c r="F23" s="16" t="s">
        <v>30</v>
      </c>
      <c r="G23" s="16" t="s">
        <v>190</v>
      </c>
      <c r="H23" s="16" t="s">
        <v>29</v>
      </c>
      <c r="I23" s="17">
        <v>16</v>
      </c>
      <c r="J23" s="17">
        <v>11</v>
      </c>
      <c r="K23" s="17">
        <v>5</v>
      </c>
      <c r="L23" s="20">
        <f t="shared" si="0"/>
        <v>0.6875</v>
      </c>
      <c r="M23" s="21" t="s">
        <v>61</v>
      </c>
    </row>
    <row r="24" spans="1:13" ht="13.5" customHeight="1" x14ac:dyDescent="0.3">
      <c r="A24" s="16" t="s">
        <v>62</v>
      </c>
      <c r="B24" s="16" t="s">
        <v>11</v>
      </c>
      <c r="C24" s="16" t="s">
        <v>12</v>
      </c>
      <c r="D24" s="16" t="s">
        <v>13</v>
      </c>
      <c r="E24" s="16" t="s">
        <v>156</v>
      </c>
      <c r="F24" s="16" t="s">
        <v>17</v>
      </c>
      <c r="G24" s="16" t="s">
        <v>43</v>
      </c>
      <c r="H24" s="16" t="s">
        <v>32</v>
      </c>
      <c r="I24" s="17">
        <v>7</v>
      </c>
      <c r="J24" s="17">
        <v>7</v>
      </c>
      <c r="K24" s="17">
        <v>0</v>
      </c>
      <c r="L24" s="20">
        <f t="shared" si="0"/>
        <v>1</v>
      </c>
      <c r="M24" s="21" t="s">
        <v>189</v>
      </c>
    </row>
    <row r="25" spans="1:13" ht="13.5" customHeight="1" x14ac:dyDescent="0.3">
      <c r="A25" s="16" t="s">
        <v>62</v>
      </c>
      <c r="B25" s="16" t="s">
        <v>11</v>
      </c>
      <c r="C25" s="16" t="s">
        <v>12</v>
      </c>
      <c r="D25" s="16" t="s">
        <v>13</v>
      </c>
      <c r="E25" s="16" t="s">
        <v>156</v>
      </c>
      <c r="F25" s="16" t="s">
        <v>16</v>
      </c>
      <c r="G25" s="16" t="s">
        <v>39</v>
      </c>
      <c r="H25" s="16" t="s">
        <v>31</v>
      </c>
      <c r="I25" s="17">
        <v>9</v>
      </c>
      <c r="J25" s="17">
        <v>9</v>
      </c>
      <c r="K25" s="17">
        <v>0</v>
      </c>
      <c r="L25" s="20">
        <f t="shared" si="0"/>
        <v>1</v>
      </c>
      <c r="M25" s="21" t="s">
        <v>189</v>
      </c>
    </row>
    <row r="26" spans="1:13" ht="13.5" customHeight="1" x14ac:dyDescent="0.3">
      <c r="A26" s="16" t="s">
        <v>33</v>
      </c>
      <c r="B26" s="16" t="s">
        <v>26</v>
      </c>
      <c r="C26" s="16" t="s">
        <v>27</v>
      </c>
      <c r="D26" s="16" t="s">
        <v>28</v>
      </c>
      <c r="E26" s="16" t="s">
        <v>156</v>
      </c>
      <c r="F26" s="16" t="s">
        <v>30</v>
      </c>
      <c r="G26" s="16" t="s">
        <v>190</v>
      </c>
      <c r="H26" s="16" t="s">
        <v>29</v>
      </c>
      <c r="I26" s="17">
        <v>7</v>
      </c>
      <c r="J26" s="17">
        <v>7</v>
      </c>
      <c r="K26" s="17">
        <v>0</v>
      </c>
      <c r="L26" s="20">
        <f t="shared" si="0"/>
        <v>1</v>
      </c>
      <c r="M26" s="21" t="s">
        <v>189</v>
      </c>
    </row>
    <row r="27" spans="1:13" ht="13.5" customHeight="1" x14ac:dyDescent="0.3">
      <c r="A27" s="16" t="s">
        <v>63</v>
      </c>
      <c r="B27" s="16" t="s">
        <v>11</v>
      </c>
      <c r="C27" s="16" t="s">
        <v>12</v>
      </c>
      <c r="D27" s="16" t="s">
        <v>13</v>
      </c>
      <c r="E27" s="16" t="s">
        <v>156</v>
      </c>
      <c r="F27" s="16" t="s">
        <v>17</v>
      </c>
      <c r="G27" s="16" t="s">
        <v>43</v>
      </c>
      <c r="H27" s="16" t="s">
        <v>32</v>
      </c>
      <c r="I27" s="17">
        <v>29</v>
      </c>
      <c r="J27" s="17">
        <v>29</v>
      </c>
      <c r="K27" s="17">
        <v>0</v>
      </c>
      <c r="L27" s="20">
        <f t="shared" si="0"/>
        <v>1</v>
      </c>
      <c r="M27" s="21" t="s">
        <v>189</v>
      </c>
    </row>
    <row r="28" spans="1:13" ht="13.5" customHeight="1" x14ac:dyDescent="0.3">
      <c r="A28" s="16" t="s">
        <v>63</v>
      </c>
      <c r="B28" s="16" t="s">
        <v>11</v>
      </c>
      <c r="C28" s="16" t="s">
        <v>12</v>
      </c>
      <c r="D28" s="16" t="s">
        <v>13</v>
      </c>
      <c r="E28" s="16" t="s">
        <v>156</v>
      </c>
      <c r="F28" s="16" t="s">
        <v>16</v>
      </c>
      <c r="G28" s="16" t="s">
        <v>39</v>
      </c>
      <c r="H28" s="16" t="s">
        <v>31</v>
      </c>
      <c r="I28" s="17">
        <v>45</v>
      </c>
      <c r="J28" s="17">
        <v>43</v>
      </c>
      <c r="K28" s="17">
        <v>2</v>
      </c>
      <c r="L28" s="20">
        <f t="shared" si="0"/>
        <v>0.9555555555555556</v>
      </c>
      <c r="M28" s="21" t="s">
        <v>64</v>
      </c>
    </row>
    <row r="29" spans="1:13" ht="13.5" customHeight="1" x14ac:dyDescent="0.3">
      <c r="A29" s="16" t="s">
        <v>191</v>
      </c>
      <c r="B29" s="16" t="s">
        <v>11</v>
      </c>
      <c r="C29" s="16" t="s">
        <v>12</v>
      </c>
      <c r="D29" s="16" t="s">
        <v>13</v>
      </c>
      <c r="E29" s="16" t="s">
        <v>156</v>
      </c>
      <c r="F29" s="16" t="s">
        <v>17</v>
      </c>
      <c r="G29" s="16" t="s">
        <v>43</v>
      </c>
      <c r="H29" s="16" t="s">
        <v>32</v>
      </c>
      <c r="I29" s="17">
        <v>13</v>
      </c>
      <c r="J29" s="17">
        <v>12</v>
      </c>
      <c r="K29" s="17">
        <v>1</v>
      </c>
      <c r="L29" s="20">
        <f t="shared" si="0"/>
        <v>0.92307692307692313</v>
      </c>
      <c r="M29" s="21" t="s">
        <v>192</v>
      </c>
    </row>
    <row r="30" spans="1:13" ht="13.5" customHeight="1" x14ac:dyDescent="0.3">
      <c r="A30" s="16" t="s">
        <v>191</v>
      </c>
      <c r="B30" s="16" t="s">
        <v>11</v>
      </c>
      <c r="C30" s="16" t="s">
        <v>12</v>
      </c>
      <c r="D30" s="16" t="s">
        <v>13</v>
      </c>
      <c r="E30" s="16" t="s">
        <v>156</v>
      </c>
      <c r="F30" s="16" t="s">
        <v>16</v>
      </c>
      <c r="G30" s="16" t="s">
        <v>39</v>
      </c>
      <c r="H30" s="16" t="s">
        <v>31</v>
      </c>
      <c r="I30" s="17">
        <v>17</v>
      </c>
      <c r="J30" s="17">
        <v>16</v>
      </c>
      <c r="K30" s="17">
        <v>1</v>
      </c>
      <c r="L30" s="20">
        <f t="shared" si="0"/>
        <v>0.94117647058823528</v>
      </c>
      <c r="M30" s="21" t="s">
        <v>193</v>
      </c>
    </row>
    <row r="31" spans="1:13" ht="27" customHeight="1" x14ac:dyDescent="0.3">
      <c r="A31" s="16" t="s">
        <v>194</v>
      </c>
      <c r="B31" s="16" t="s">
        <v>11</v>
      </c>
      <c r="C31" s="16" t="s">
        <v>12</v>
      </c>
      <c r="D31" s="16" t="s">
        <v>13</v>
      </c>
      <c r="E31" s="16" t="s">
        <v>156</v>
      </c>
      <c r="F31" s="16" t="s">
        <v>16</v>
      </c>
      <c r="G31" s="16" t="s">
        <v>39</v>
      </c>
      <c r="H31" s="16" t="s">
        <v>195</v>
      </c>
      <c r="I31" s="17">
        <v>31</v>
      </c>
      <c r="J31" s="17">
        <v>30</v>
      </c>
      <c r="K31" s="17">
        <v>1</v>
      </c>
      <c r="L31" s="20">
        <f t="shared" si="0"/>
        <v>0.967741935483871</v>
      </c>
      <c r="M31" s="21" t="s">
        <v>196</v>
      </c>
    </row>
    <row r="32" spans="1:13" ht="27" customHeight="1" x14ac:dyDescent="0.3">
      <c r="A32" s="16" t="s">
        <v>197</v>
      </c>
      <c r="B32" s="16" t="s">
        <v>26</v>
      </c>
      <c r="C32" s="16" t="s">
        <v>27</v>
      </c>
      <c r="D32" s="16" t="s">
        <v>28</v>
      </c>
      <c r="E32" s="16" t="s">
        <v>156</v>
      </c>
      <c r="F32" s="16" t="s">
        <v>30</v>
      </c>
      <c r="G32" s="16" t="s">
        <v>190</v>
      </c>
      <c r="H32" s="16" t="s">
        <v>29</v>
      </c>
      <c r="I32" s="17">
        <v>16</v>
      </c>
      <c r="J32" s="17">
        <v>14</v>
      </c>
      <c r="K32" s="17">
        <v>2</v>
      </c>
      <c r="L32" s="20">
        <f t="shared" si="0"/>
        <v>0.875</v>
      </c>
      <c r="M32" s="21" t="s">
        <v>198</v>
      </c>
    </row>
    <row r="33" spans="1:13" ht="27" customHeight="1" x14ac:dyDescent="0.3">
      <c r="A33" s="16" t="s">
        <v>199</v>
      </c>
      <c r="B33" s="16" t="s">
        <v>26</v>
      </c>
      <c r="C33" s="16" t="s">
        <v>27</v>
      </c>
      <c r="D33" s="16" t="s">
        <v>28</v>
      </c>
      <c r="E33" s="16" t="s">
        <v>156</v>
      </c>
      <c r="F33" s="16" t="s">
        <v>30</v>
      </c>
      <c r="G33" s="16" t="s">
        <v>190</v>
      </c>
      <c r="H33" s="16" t="s">
        <v>29</v>
      </c>
      <c r="I33" s="17">
        <v>36</v>
      </c>
      <c r="J33" s="17">
        <v>31</v>
      </c>
      <c r="K33" s="17">
        <v>5</v>
      </c>
      <c r="L33" s="20">
        <f t="shared" si="0"/>
        <v>0.86111111111111116</v>
      </c>
      <c r="M33" s="21" t="s">
        <v>200</v>
      </c>
    </row>
    <row r="34" spans="1:13" ht="13.5" customHeight="1" x14ac:dyDescent="0.3">
      <c r="A34" s="16" t="s">
        <v>201</v>
      </c>
      <c r="B34" s="16" t="s">
        <v>11</v>
      </c>
      <c r="C34" s="16" t="s">
        <v>12</v>
      </c>
      <c r="D34" s="16" t="s">
        <v>13</v>
      </c>
      <c r="E34" s="16" t="s">
        <v>156</v>
      </c>
      <c r="F34" s="16" t="s">
        <v>16</v>
      </c>
      <c r="G34" s="16" t="s">
        <v>39</v>
      </c>
      <c r="H34" s="16" t="s">
        <v>195</v>
      </c>
      <c r="I34" s="17">
        <v>34</v>
      </c>
      <c r="J34" s="17">
        <v>30</v>
      </c>
      <c r="K34" s="17">
        <v>4</v>
      </c>
      <c r="L34" s="20">
        <f t="shared" si="0"/>
        <v>0.88235294117647056</v>
      </c>
      <c r="M34" s="21" t="s">
        <v>202</v>
      </c>
    </row>
    <row r="35" spans="1:13" ht="13.5" customHeight="1" x14ac:dyDescent="0.3">
      <c r="A35" s="16" t="s">
        <v>203</v>
      </c>
      <c r="B35" s="16" t="s">
        <v>26</v>
      </c>
      <c r="C35" s="16" t="s">
        <v>27</v>
      </c>
      <c r="D35" s="16" t="s">
        <v>28</v>
      </c>
      <c r="E35" s="16" t="s">
        <v>156</v>
      </c>
      <c r="F35" s="16" t="s">
        <v>30</v>
      </c>
      <c r="G35" s="16" t="s">
        <v>190</v>
      </c>
      <c r="H35" s="16" t="s">
        <v>29</v>
      </c>
      <c r="I35" s="17">
        <v>19</v>
      </c>
      <c r="J35" s="17">
        <v>16</v>
      </c>
      <c r="K35" s="17">
        <v>3</v>
      </c>
      <c r="L35" s="20">
        <f t="shared" si="0"/>
        <v>0.84210526315789469</v>
      </c>
      <c r="M35" s="21" t="s">
        <v>204</v>
      </c>
    </row>
    <row r="36" spans="1:13" ht="13.5" customHeight="1" x14ac:dyDescent="0.3">
      <c r="A36" s="16" t="s">
        <v>205</v>
      </c>
      <c r="B36" s="16" t="s">
        <v>11</v>
      </c>
      <c r="C36" s="16" t="s">
        <v>12</v>
      </c>
      <c r="D36" s="16" t="s">
        <v>13</v>
      </c>
      <c r="E36" s="16" t="s">
        <v>156</v>
      </c>
      <c r="F36" s="16" t="s">
        <v>17</v>
      </c>
      <c r="G36" s="16" t="s">
        <v>43</v>
      </c>
      <c r="H36" s="16" t="s">
        <v>206</v>
      </c>
      <c r="I36" s="17">
        <v>4</v>
      </c>
      <c r="J36" s="17">
        <v>4</v>
      </c>
      <c r="K36" s="17">
        <v>0</v>
      </c>
      <c r="L36" s="20">
        <f t="shared" si="0"/>
        <v>1</v>
      </c>
      <c r="M36" s="21" t="s">
        <v>189</v>
      </c>
    </row>
    <row r="37" spans="1:13" ht="40.049999999999997" customHeight="1" x14ac:dyDescent="0.3">
      <c r="A37" s="16" t="s">
        <v>205</v>
      </c>
      <c r="B37" s="16" t="s">
        <v>26</v>
      </c>
      <c r="C37" s="16" t="s">
        <v>27</v>
      </c>
      <c r="D37" s="16" t="s">
        <v>28</v>
      </c>
      <c r="E37" s="16" t="s">
        <v>156</v>
      </c>
      <c r="F37" s="16" t="s">
        <v>30</v>
      </c>
      <c r="G37" s="16" t="s">
        <v>190</v>
      </c>
      <c r="H37" s="16" t="s">
        <v>29</v>
      </c>
      <c r="I37" s="17">
        <v>50</v>
      </c>
      <c r="J37" s="17">
        <v>38</v>
      </c>
      <c r="K37" s="17">
        <v>12</v>
      </c>
      <c r="L37" s="20">
        <f t="shared" si="0"/>
        <v>0.76</v>
      </c>
      <c r="M37" s="21" t="s">
        <v>207</v>
      </c>
    </row>
    <row r="38" spans="1:13" ht="13.5" customHeight="1" x14ac:dyDescent="0.3">
      <c r="A38" s="16" t="s">
        <v>205</v>
      </c>
      <c r="B38" s="16" t="s">
        <v>11</v>
      </c>
      <c r="C38" s="16" t="s">
        <v>12</v>
      </c>
      <c r="D38" s="16" t="s">
        <v>13</v>
      </c>
      <c r="E38" s="16" t="s">
        <v>156</v>
      </c>
      <c r="F38" s="16" t="s">
        <v>16</v>
      </c>
      <c r="G38" s="16" t="s">
        <v>39</v>
      </c>
      <c r="H38" s="16" t="s">
        <v>208</v>
      </c>
      <c r="I38" s="17">
        <v>16</v>
      </c>
      <c r="J38" s="17">
        <v>16</v>
      </c>
      <c r="K38" s="17">
        <v>0</v>
      </c>
      <c r="L38" s="20">
        <f t="shared" ref="L38:L64" si="1">IFERROR(J38/I38,0)</f>
        <v>1</v>
      </c>
      <c r="M38" s="21" t="s">
        <v>189</v>
      </c>
    </row>
    <row r="39" spans="1:13" ht="13.5" customHeight="1" x14ac:dyDescent="0.3">
      <c r="A39" s="16" t="s">
        <v>209</v>
      </c>
      <c r="B39" s="16" t="s">
        <v>11</v>
      </c>
      <c r="C39" s="16" t="s">
        <v>12</v>
      </c>
      <c r="D39" s="16" t="s">
        <v>13</v>
      </c>
      <c r="E39" s="16" t="s">
        <v>156</v>
      </c>
      <c r="F39" s="16" t="s">
        <v>17</v>
      </c>
      <c r="G39" s="16" t="s">
        <v>43</v>
      </c>
      <c r="H39" s="16" t="s">
        <v>206</v>
      </c>
      <c r="I39" s="17">
        <v>10</v>
      </c>
      <c r="J39" s="17">
        <v>9</v>
      </c>
      <c r="K39" s="17">
        <v>1</v>
      </c>
      <c r="L39" s="20">
        <f t="shared" si="1"/>
        <v>0.9</v>
      </c>
      <c r="M39" s="21" t="s">
        <v>210</v>
      </c>
    </row>
    <row r="40" spans="1:13" ht="13.5" customHeight="1" x14ac:dyDescent="0.3">
      <c r="A40" s="16" t="s">
        <v>209</v>
      </c>
      <c r="B40" s="16" t="s">
        <v>11</v>
      </c>
      <c r="C40" s="16" t="s">
        <v>12</v>
      </c>
      <c r="D40" s="16" t="s">
        <v>13</v>
      </c>
      <c r="E40" s="16" t="s">
        <v>156</v>
      </c>
      <c r="F40" s="16" t="s">
        <v>16</v>
      </c>
      <c r="G40" s="16" t="s">
        <v>39</v>
      </c>
      <c r="H40" s="16" t="s">
        <v>208</v>
      </c>
      <c r="I40" s="17">
        <v>12</v>
      </c>
      <c r="J40" s="17">
        <v>11</v>
      </c>
      <c r="K40" s="17">
        <v>1</v>
      </c>
      <c r="L40" s="20">
        <f t="shared" si="1"/>
        <v>0.91666666666666663</v>
      </c>
      <c r="M40" s="21" t="s">
        <v>50</v>
      </c>
    </row>
    <row r="41" spans="1:13" ht="13.5" customHeight="1" x14ac:dyDescent="0.3">
      <c r="A41" s="16" t="s">
        <v>211</v>
      </c>
      <c r="B41" s="16" t="s">
        <v>11</v>
      </c>
      <c r="C41" s="16" t="s">
        <v>12</v>
      </c>
      <c r="D41" s="16" t="s">
        <v>13</v>
      </c>
      <c r="E41" s="16" t="s">
        <v>156</v>
      </c>
      <c r="F41" s="16" t="s">
        <v>17</v>
      </c>
      <c r="G41" s="16" t="s">
        <v>43</v>
      </c>
      <c r="H41" s="16" t="s">
        <v>212</v>
      </c>
      <c r="I41" s="17">
        <v>14</v>
      </c>
      <c r="J41" s="17">
        <v>14</v>
      </c>
      <c r="K41" s="17">
        <v>0</v>
      </c>
      <c r="L41" s="20">
        <f t="shared" si="1"/>
        <v>1</v>
      </c>
      <c r="M41" s="21" t="s">
        <v>189</v>
      </c>
    </row>
    <row r="42" spans="1:13" ht="27" customHeight="1" x14ac:dyDescent="0.3">
      <c r="A42" s="16" t="s">
        <v>211</v>
      </c>
      <c r="B42" s="16" t="s">
        <v>26</v>
      </c>
      <c r="C42" s="16" t="s">
        <v>27</v>
      </c>
      <c r="D42" s="16" t="s">
        <v>28</v>
      </c>
      <c r="E42" s="16" t="s">
        <v>156</v>
      </c>
      <c r="F42" s="16" t="s">
        <v>30</v>
      </c>
      <c r="G42" s="16" t="s">
        <v>190</v>
      </c>
      <c r="H42" s="16" t="s">
        <v>29</v>
      </c>
      <c r="I42" s="17">
        <v>34</v>
      </c>
      <c r="J42" s="17">
        <v>29</v>
      </c>
      <c r="K42" s="17">
        <v>5</v>
      </c>
      <c r="L42" s="20">
        <f t="shared" si="1"/>
        <v>0.8529411764705882</v>
      </c>
      <c r="M42" s="21" t="s">
        <v>213</v>
      </c>
    </row>
    <row r="43" spans="1:13" ht="13.5" customHeight="1" x14ac:dyDescent="0.3">
      <c r="A43" s="16" t="s">
        <v>211</v>
      </c>
      <c r="B43" s="16" t="s">
        <v>11</v>
      </c>
      <c r="C43" s="16" t="s">
        <v>12</v>
      </c>
      <c r="D43" s="16" t="s">
        <v>13</v>
      </c>
      <c r="E43" s="16" t="s">
        <v>156</v>
      </c>
      <c r="F43" s="16" t="s">
        <v>16</v>
      </c>
      <c r="G43" s="16" t="s">
        <v>39</v>
      </c>
      <c r="H43" s="16" t="s">
        <v>214</v>
      </c>
      <c r="I43" s="17">
        <v>38</v>
      </c>
      <c r="J43" s="17">
        <v>36</v>
      </c>
      <c r="K43" s="17">
        <v>2</v>
      </c>
      <c r="L43" s="20">
        <f t="shared" si="1"/>
        <v>0.94736842105263153</v>
      </c>
      <c r="M43" s="21" t="s">
        <v>215</v>
      </c>
    </row>
    <row r="44" spans="1:13" ht="27" customHeight="1" x14ac:dyDescent="0.3">
      <c r="A44" s="16" t="s">
        <v>216</v>
      </c>
      <c r="B44" s="16" t="s">
        <v>26</v>
      </c>
      <c r="C44" s="16" t="s">
        <v>27</v>
      </c>
      <c r="D44" s="16" t="s">
        <v>28</v>
      </c>
      <c r="E44" s="16" t="s">
        <v>156</v>
      </c>
      <c r="F44" s="16" t="s">
        <v>30</v>
      </c>
      <c r="G44" s="16" t="s">
        <v>190</v>
      </c>
      <c r="H44" s="16" t="s">
        <v>29</v>
      </c>
      <c r="I44" s="17">
        <v>24</v>
      </c>
      <c r="J44" s="17">
        <v>20</v>
      </c>
      <c r="K44" s="17">
        <v>4</v>
      </c>
      <c r="L44" s="20">
        <f t="shared" si="1"/>
        <v>0.83333333333333337</v>
      </c>
      <c r="M44" s="21" t="s">
        <v>217</v>
      </c>
    </row>
    <row r="45" spans="1:13" ht="13.5" customHeight="1" x14ac:dyDescent="0.3">
      <c r="A45" s="16" t="s">
        <v>218</v>
      </c>
      <c r="B45" s="16" t="s">
        <v>11</v>
      </c>
      <c r="C45" s="16" t="s">
        <v>12</v>
      </c>
      <c r="D45" s="16" t="s">
        <v>13</v>
      </c>
      <c r="E45" s="16" t="s">
        <v>156</v>
      </c>
      <c r="F45" s="16" t="s">
        <v>17</v>
      </c>
      <c r="G45" s="16" t="s">
        <v>43</v>
      </c>
      <c r="H45" s="16" t="s">
        <v>212</v>
      </c>
      <c r="I45" s="17">
        <v>30</v>
      </c>
      <c r="J45" s="17">
        <v>29</v>
      </c>
      <c r="K45" s="17">
        <v>1</v>
      </c>
      <c r="L45" s="20">
        <f t="shared" si="1"/>
        <v>0.96666666666666667</v>
      </c>
      <c r="M45" s="21" t="s">
        <v>219</v>
      </c>
    </row>
    <row r="46" spans="1:13" ht="40.049999999999997" customHeight="1" x14ac:dyDescent="0.3">
      <c r="A46" s="16" t="s">
        <v>218</v>
      </c>
      <c r="B46" s="16" t="s">
        <v>11</v>
      </c>
      <c r="C46" s="16" t="s">
        <v>12</v>
      </c>
      <c r="D46" s="16" t="s">
        <v>13</v>
      </c>
      <c r="E46" s="16" t="s">
        <v>156</v>
      </c>
      <c r="F46" s="16" t="s">
        <v>16</v>
      </c>
      <c r="G46" s="16" t="s">
        <v>39</v>
      </c>
      <c r="H46" s="16" t="s">
        <v>214</v>
      </c>
      <c r="I46" s="17">
        <v>65</v>
      </c>
      <c r="J46" s="17">
        <v>63</v>
      </c>
      <c r="K46" s="17">
        <v>2</v>
      </c>
      <c r="L46" s="20">
        <f t="shared" si="1"/>
        <v>0.96923076923076923</v>
      </c>
      <c r="M46" s="21" t="s">
        <v>220</v>
      </c>
    </row>
    <row r="47" spans="1:13" ht="13.5" customHeight="1" x14ac:dyDescent="0.3">
      <c r="A47" s="16" t="s">
        <v>221</v>
      </c>
      <c r="B47" s="16" t="s">
        <v>11</v>
      </c>
      <c r="C47" s="16" t="s">
        <v>12</v>
      </c>
      <c r="D47" s="16" t="s">
        <v>13</v>
      </c>
      <c r="E47" s="16" t="s">
        <v>156</v>
      </c>
      <c r="F47" s="16" t="s">
        <v>17</v>
      </c>
      <c r="G47" s="16" t="s">
        <v>43</v>
      </c>
      <c r="H47" s="16" t="s">
        <v>222</v>
      </c>
      <c r="I47" s="17">
        <v>25</v>
      </c>
      <c r="J47" s="17">
        <v>25</v>
      </c>
      <c r="K47" s="17">
        <v>0</v>
      </c>
      <c r="L47" s="20">
        <f t="shared" si="1"/>
        <v>1</v>
      </c>
      <c r="M47" s="21" t="s">
        <v>189</v>
      </c>
    </row>
    <row r="48" spans="1:13" ht="27" customHeight="1" x14ac:dyDescent="0.3">
      <c r="A48" s="16" t="s">
        <v>221</v>
      </c>
      <c r="B48" s="16" t="s">
        <v>26</v>
      </c>
      <c r="C48" s="16" t="s">
        <v>27</v>
      </c>
      <c r="D48" s="16" t="s">
        <v>28</v>
      </c>
      <c r="E48" s="16" t="s">
        <v>156</v>
      </c>
      <c r="F48" s="16" t="s">
        <v>30</v>
      </c>
      <c r="G48" s="16" t="s">
        <v>190</v>
      </c>
      <c r="H48" s="16" t="s">
        <v>29</v>
      </c>
      <c r="I48" s="17">
        <v>45</v>
      </c>
      <c r="J48" s="17">
        <v>42</v>
      </c>
      <c r="K48" s="17">
        <v>3</v>
      </c>
      <c r="L48" s="20">
        <f t="shared" si="1"/>
        <v>0.93333333333333335</v>
      </c>
      <c r="M48" s="21" t="s">
        <v>223</v>
      </c>
    </row>
    <row r="49" spans="1:13" ht="13.5" customHeight="1" x14ac:dyDescent="0.3">
      <c r="A49" s="16" t="s">
        <v>221</v>
      </c>
      <c r="B49" s="16" t="s">
        <v>11</v>
      </c>
      <c r="C49" s="16" t="s">
        <v>12</v>
      </c>
      <c r="D49" s="16" t="s">
        <v>13</v>
      </c>
      <c r="E49" s="16" t="s">
        <v>156</v>
      </c>
      <c r="F49" s="16" t="s">
        <v>16</v>
      </c>
      <c r="G49" s="16" t="s">
        <v>39</v>
      </c>
      <c r="H49" s="16" t="s">
        <v>224</v>
      </c>
      <c r="I49" s="17">
        <v>46</v>
      </c>
      <c r="J49" s="17">
        <v>45</v>
      </c>
      <c r="K49" s="17">
        <v>1</v>
      </c>
      <c r="L49" s="20">
        <f t="shared" si="1"/>
        <v>0.97826086956521741</v>
      </c>
      <c r="M49" s="21" t="s">
        <v>225</v>
      </c>
    </row>
    <row r="50" spans="1:13" ht="54" customHeight="1" x14ac:dyDescent="0.3">
      <c r="A50" s="16" t="s">
        <v>226</v>
      </c>
      <c r="B50" s="16" t="s">
        <v>169</v>
      </c>
      <c r="C50" s="16" t="s">
        <v>227</v>
      </c>
      <c r="D50" s="16" t="s">
        <v>228</v>
      </c>
      <c r="E50" s="16" t="s">
        <v>157</v>
      </c>
      <c r="F50" s="16" t="s">
        <v>167</v>
      </c>
      <c r="G50" s="16" t="s">
        <v>229</v>
      </c>
      <c r="H50" s="16" t="s">
        <v>230</v>
      </c>
      <c r="I50" s="17">
        <v>19</v>
      </c>
      <c r="J50" s="17">
        <v>6</v>
      </c>
      <c r="K50" s="17">
        <v>13</v>
      </c>
      <c r="L50" s="20">
        <f t="shared" si="1"/>
        <v>0.31578947368421051</v>
      </c>
      <c r="M50" s="21" t="s">
        <v>231</v>
      </c>
    </row>
    <row r="51" spans="1:13" ht="13.5" customHeight="1" x14ac:dyDescent="0.3">
      <c r="A51" s="16" t="s">
        <v>226</v>
      </c>
      <c r="B51" s="16" t="s">
        <v>169</v>
      </c>
      <c r="C51" s="16" t="s">
        <v>227</v>
      </c>
      <c r="D51" s="16" t="s">
        <v>228</v>
      </c>
      <c r="E51" s="16" t="s">
        <v>156</v>
      </c>
      <c r="F51" s="16" t="s">
        <v>16</v>
      </c>
      <c r="G51" s="16" t="s">
        <v>39</v>
      </c>
      <c r="H51" s="16" t="s">
        <v>230</v>
      </c>
      <c r="I51" s="17">
        <v>1</v>
      </c>
      <c r="J51" s="17">
        <v>1</v>
      </c>
      <c r="K51" s="17">
        <v>0</v>
      </c>
      <c r="L51" s="20">
        <f t="shared" si="1"/>
        <v>1</v>
      </c>
      <c r="M51" s="21" t="s">
        <v>189</v>
      </c>
    </row>
    <row r="52" spans="1:13" ht="27" customHeight="1" x14ac:dyDescent="0.3">
      <c r="A52" s="16" t="s">
        <v>232</v>
      </c>
      <c r="B52" s="16" t="s">
        <v>26</v>
      </c>
      <c r="C52" s="16" t="s">
        <v>27</v>
      </c>
      <c r="D52" s="16" t="s">
        <v>28</v>
      </c>
      <c r="E52" s="16" t="s">
        <v>156</v>
      </c>
      <c r="F52" s="16" t="s">
        <v>30</v>
      </c>
      <c r="G52" s="16" t="s">
        <v>190</v>
      </c>
      <c r="H52" s="16" t="s">
        <v>29</v>
      </c>
      <c r="I52" s="17">
        <v>10</v>
      </c>
      <c r="J52" s="17">
        <v>9</v>
      </c>
      <c r="K52" s="17">
        <v>1</v>
      </c>
      <c r="L52" s="20">
        <f t="shared" si="1"/>
        <v>0.9</v>
      </c>
      <c r="M52" s="21" t="s">
        <v>233</v>
      </c>
    </row>
    <row r="53" spans="1:13" ht="13.5" customHeight="1" x14ac:dyDescent="0.3">
      <c r="A53" s="16" t="s">
        <v>234</v>
      </c>
      <c r="B53" s="16" t="s">
        <v>11</v>
      </c>
      <c r="C53" s="16" t="s">
        <v>12</v>
      </c>
      <c r="D53" s="16" t="s">
        <v>13</v>
      </c>
      <c r="E53" s="16" t="s">
        <v>156</v>
      </c>
      <c r="F53" s="16" t="s">
        <v>16</v>
      </c>
      <c r="G53" s="16" t="s">
        <v>39</v>
      </c>
      <c r="H53" s="16" t="s">
        <v>224</v>
      </c>
      <c r="I53" s="17">
        <v>44</v>
      </c>
      <c r="J53" s="17">
        <v>44</v>
      </c>
      <c r="K53" s="17">
        <v>0</v>
      </c>
      <c r="L53" s="20">
        <f t="shared" si="1"/>
        <v>1</v>
      </c>
      <c r="M53" s="21" t="s">
        <v>189</v>
      </c>
    </row>
    <row r="54" spans="1:13" ht="54" customHeight="1" x14ac:dyDescent="0.3">
      <c r="A54" s="16" t="s">
        <v>235</v>
      </c>
      <c r="B54" s="16" t="s">
        <v>169</v>
      </c>
      <c r="C54" s="16" t="s">
        <v>227</v>
      </c>
      <c r="D54" s="16" t="s">
        <v>228</v>
      </c>
      <c r="E54" s="16" t="s">
        <v>157</v>
      </c>
      <c r="F54" s="16" t="s">
        <v>167</v>
      </c>
      <c r="G54" s="16" t="s">
        <v>229</v>
      </c>
      <c r="H54" s="16" t="s">
        <v>230</v>
      </c>
      <c r="I54" s="17">
        <v>15</v>
      </c>
      <c r="J54" s="17">
        <v>0</v>
      </c>
      <c r="K54" s="17">
        <v>15</v>
      </c>
      <c r="L54" s="20">
        <f t="shared" si="1"/>
        <v>0</v>
      </c>
      <c r="M54" s="21" t="s">
        <v>236</v>
      </c>
    </row>
    <row r="55" spans="1:13" ht="13.5" customHeight="1" x14ac:dyDescent="0.3">
      <c r="A55" s="16" t="s">
        <v>235</v>
      </c>
      <c r="B55" s="16" t="s">
        <v>11</v>
      </c>
      <c r="C55" s="16" t="s">
        <v>12</v>
      </c>
      <c r="D55" s="16" t="s">
        <v>13</v>
      </c>
      <c r="E55" s="16" t="s">
        <v>156</v>
      </c>
      <c r="F55" s="16" t="s">
        <v>16</v>
      </c>
      <c r="G55" s="16" t="s">
        <v>39</v>
      </c>
      <c r="H55" s="16" t="s">
        <v>224</v>
      </c>
      <c r="I55" s="17">
        <v>35</v>
      </c>
      <c r="J55" s="17">
        <v>33</v>
      </c>
      <c r="K55" s="17">
        <v>2</v>
      </c>
      <c r="L55" s="20">
        <f t="shared" si="1"/>
        <v>0.94285714285714284</v>
      </c>
      <c r="M55" s="21" t="s">
        <v>237</v>
      </c>
    </row>
    <row r="56" spans="1:13" ht="13.5" customHeight="1" x14ac:dyDescent="0.3">
      <c r="A56" s="16" t="s">
        <v>238</v>
      </c>
      <c r="B56" s="16" t="s">
        <v>11</v>
      </c>
      <c r="C56" s="16" t="s">
        <v>12</v>
      </c>
      <c r="D56" s="16" t="s">
        <v>13</v>
      </c>
      <c r="E56" s="16" t="s">
        <v>156</v>
      </c>
      <c r="F56" s="16" t="s">
        <v>17</v>
      </c>
      <c r="G56" s="16" t="s">
        <v>43</v>
      </c>
      <c r="H56" s="16" t="s">
        <v>239</v>
      </c>
      <c r="I56" s="17">
        <v>8</v>
      </c>
      <c r="J56" s="17">
        <v>8</v>
      </c>
      <c r="K56" s="17">
        <v>0</v>
      </c>
      <c r="L56" s="20">
        <f t="shared" si="1"/>
        <v>1</v>
      </c>
      <c r="M56" s="21" t="s">
        <v>189</v>
      </c>
    </row>
    <row r="57" spans="1:13" ht="13.5" customHeight="1" x14ac:dyDescent="0.3">
      <c r="A57" s="16" t="s">
        <v>238</v>
      </c>
      <c r="B57" s="16" t="s">
        <v>11</v>
      </c>
      <c r="C57" s="16" t="s">
        <v>12</v>
      </c>
      <c r="D57" s="16" t="s">
        <v>13</v>
      </c>
      <c r="E57" s="16" t="s">
        <v>156</v>
      </c>
      <c r="F57" s="16" t="s">
        <v>16</v>
      </c>
      <c r="G57" s="16" t="s">
        <v>39</v>
      </c>
      <c r="H57" s="16" t="s">
        <v>240</v>
      </c>
      <c r="I57" s="17">
        <v>43</v>
      </c>
      <c r="J57" s="17">
        <v>41</v>
      </c>
      <c r="K57" s="17">
        <v>2</v>
      </c>
      <c r="L57" s="20">
        <f t="shared" si="1"/>
        <v>0.95348837209302328</v>
      </c>
      <c r="M57" s="21" t="s">
        <v>241</v>
      </c>
    </row>
    <row r="58" spans="1:13" ht="13.5" customHeight="1" x14ac:dyDescent="0.3">
      <c r="A58" s="16" t="s">
        <v>238</v>
      </c>
      <c r="B58" s="16" t="s">
        <v>26</v>
      </c>
      <c r="C58" s="16" t="s">
        <v>27</v>
      </c>
      <c r="D58" s="16" t="s">
        <v>28</v>
      </c>
      <c r="E58" s="16" t="s">
        <v>156</v>
      </c>
      <c r="F58" s="16" t="s">
        <v>16</v>
      </c>
      <c r="G58" s="16" t="s">
        <v>39</v>
      </c>
      <c r="H58" s="16" t="s">
        <v>29</v>
      </c>
      <c r="I58" s="17">
        <v>10</v>
      </c>
      <c r="J58" s="17">
        <v>10</v>
      </c>
      <c r="K58" s="17">
        <v>0</v>
      </c>
      <c r="L58" s="20">
        <f t="shared" si="1"/>
        <v>1</v>
      </c>
      <c r="M58" s="21" t="s">
        <v>242</v>
      </c>
    </row>
    <row r="59" spans="1:13" ht="40.049999999999997" customHeight="1" x14ac:dyDescent="0.3">
      <c r="A59" s="16" t="s">
        <v>243</v>
      </c>
      <c r="B59" s="16" t="s">
        <v>169</v>
      </c>
      <c r="C59" s="16" t="s">
        <v>227</v>
      </c>
      <c r="D59" s="16" t="s">
        <v>228</v>
      </c>
      <c r="E59" s="16" t="s">
        <v>157</v>
      </c>
      <c r="F59" s="16" t="s">
        <v>167</v>
      </c>
      <c r="G59" s="16" t="s">
        <v>229</v>
      </c>
      <c r="H59" s="16" t="s">
        <v>244</v>
      </c>
      <c r="I59" s="17">
        <v>13</v>
      </c>
      <c r="J59" s="17">
        <v>2</v>
      </c>
      <c r="K59" s="17">
        <v>11</v>
      </c>
      <c r="L59" s="20">
        <f t="shared" si="1"/>
        <v>0.15384615384615385</v>
      </c>
      <c r="M59" s="21" t="s">
        <v>245</v>
      </c>
    </row>
    <row r="60" spans="1:13" ht="40.049999999999997" customHeight="1" x14ac:dyDescent="0.3">
      <c r="A60" s="16" t="s">
        <v>243</v>
      </c>
      <c r="B60" s="16" t="s">
        <v>169</v>
      </c>
      <c r="C60" s="16" t="s">
        <v>227</v>
      </c>
      <c r="D60" s="16" t="s">
        <v>228</v>
      </c>
      <c r="E60" s="16" t="s">
        <v>156</v>
      </c>
      <c r="F60" s="16" t="s">
        <v>16</v>
      </c>
      <c r="G60" s="16" t="s">
        <v>39</v>
      </c>
      <c r="H60" s="16" t="s">
        <v>244</v>
      </c>
      <c r="I60" s="17">
        <v>13</v>
      </c>
      <c r="J60" s="17">
        <v>1</v>
      </c>
      <c r="K60" s="17">
        <v>12</v>
      </c>
      <c r="L60" s="20">
        <f t="shared" si="1"/>
        <v>7.6923076923076927E-2</v>
      </c>
      <c r="M60" s="21" t="s">
        <v>246</v>
      </c>
    </row>
    <row r="61" spans="1:13" ht="27" customHeight="1" x14ac:dyDescent="0.3">
      <c r="A61" s="16" t="s">
        <v>247</v>
      </c>
      <c r="B61" s="16" t="s">
        <v>26</v>
      </c>
      <c r="C61" s="16" t="s">
        <v>27</v>
      </c>
      <c r="D61" s="16" t="s">
        <v>28</v>
      </c>
      <c r="E61" s="16" t="s">
        <v>156</v>
      </c>
      <c r="F61" s="16" t="s">
        <v>16</v>
      </c>
      <c r="G61" s="16" t="s">
        <v>39</v>
      </c>
      <c r="H61" s="16" t="s">
        <v>29</v>
      </c>
      <c r="I61" s="17">
        <v>23</v>
      </c>
      <c r="J61" s="17">
        <v>22</v>
      </c>
      <c r="K61" s="17">
        <v>1</v>
      </c>
      <c r="L61" s="20">
        <f t="shared" si="1"/>
        <v>0.95652173913043481</v>
      </c>
      <c r="M61" s="21" t="s">
        <v>248</v>
      </c>
    </row>
    <row r="62" spans="1:13" ht="13.5" customHeight="1" x14ac:dyDescent="0.3">
      <c r="A62" s="16" t="s">
        <v>249</v>
      </c>
      <c r="B62" s="16" t="s">
        <v>11</v>
      </c>
      <c r="C62" s="16" t="s">
        <v>12</v>
      </c>
      <c r="D62" s="16" t="s">
        <v>13</v>
      </c>
      <c r="E62" s="16" t="s">
        <v>156</v>
      </c>
      <c r="F62" s="16" t="s">
        <v>17</v>
      </c>
      <c r="G62" s="16" t="s">
        <v>43</v>
      </c>
      <c r="H62" s="16" t="s">
        <v>239</v>
      </c>
      <c r="I62" s="17">
        <v>5</v>
      </c>
      <c r="J62" s="17">
        <v>5</v>
      </c>
      <c r="K62" s="17">
        <v>0</v>
      </c>
      <c r="L62" s="20">
        <f t="shared" si="1"/>
        <v>1</v>
      </c>
      <c r="M62" s="21" t="s">
        <v>189</v>
      </c>
    </row>
    <row r="63" spans="1:13" ht="27" customHeight="1" x14ac:dyDescent="0.3">
      <c r="A63" s="16" t="s">
        <v>249</v>
      </c>
      <c r="B63" s="16" t="s">
        <v>11</v>
      </c>
      <c r="C63" s="16" t="s">
        <v>12</v>
      </c>
      <c r="D63" s="16" t="s">
        <v>13</v>
      </c>
      <c r="E63" s="16" t="s">
        <v>156</v>
      </c>
      <c r="F63" s="16" t="s">
        <v>16</v>
      </c>
      <c r="G63" s="16" t="s">
        <v>39</v>
      </c>
      <c r="H63" s="16" t="s">
        <v>240</v>
      </c>
      <c r="I63" s="17">
        <v>15</v>
      </c>
      <c r="J63" s="17">
        <v>14</v>
      </c>
      <c r="K63" s="17">
        <v>1</v>
      </c>
      <c r="L63" s="20">
        <f t="shared" si="1"/>
        <v>0.93333333333333335</v>
      </c>
      <c r="M63" s="21" t="s">
        <v>250</v>
      </c>
    </row>
    <row r="64" spans="1:13" ht="54" customHeight="1" x14ac:dyDescent="0.3">
      <c r="A64" s="16" t="s">
        <v>251</v>
      </c>
      <c r="B64" s="16" t="s">
        <v>169</v>
      </c>
      <c r="C64" s="16" t="s">
        <v>227</v>
      </c>
      <c r="D64" s="16" t="s">
        <v>228</v>
      </c>
      <c r="E64" s="16" t="s">
        <v>157</v>
      </c>
      <c r="F64" s="16" t="s">
        <v>167</v>
      </c>
      <c r="G64" s="16" t="s">
        <v>229</v>
      </c>
      <c r="H64" s="16" t="s">
        <v>244</v>
      </c>
      <c r="I64" s="17">
        <v>29</v>
      </c>
      <c r="J64" s="17">
        <v>6</v>
      </c>
      <c r="K64" s="17">
        <v>23</v>
      </c>
      <c r="L64" s="20">
        <f t="shared" si="1"/>
        <v>0.20689655172413793</v>
      </c>
      <c r="M64" s="21" t="s">
        <v>252</v>
      </c>
    </row>
    <row r="66" spans="1:13" ht="18" customHeight="1" x14ac:dyDescent="0.3">
      <c r="A66" s="9" t="s">
        <v>253</v>
      </c>
      <c r="B66" s="11"/>
      <c r="C66" s="11"/>
      <c r="D66" s="11"/>
      <c r="E66" s="11"/>
      <c r="F66" s="11"/>
      <c r="G66" s="11"/>
      <c r="H66" s="11"/>
      <c r="I66" s="11"/>
      <c r="J66" s="11"/>
      <c r="K66" s="11"/>
      <c r="L66" s="11"/>
      <c r="M66" s="11"/>
    </row>
    <row r="67" spans="1:13" ht="43.2" x14ac:dyDescent="0.3">
      <c r="A67" s="18" t="s">
        <v>153</v>
      </c>
      <c r="I67" s="18" t="s">
        <v>36</v>
      </c>
      <c r="J67" s="18" t="s">
        <v>37</v>
      </c>
      <c r="K67" s="18" t="s">
        <v>38</v>
      </c>
      <c r="L67" s="18" t="s">
        <v>154</v>
      </c>
    </row>
    <row r="68" spans="1:13" x14ac:dyDescent="0.3">
      <c r="A68" s="19" t="s">
        <v>156</v>
      </c>
      <c r="I68" s="17">
        <f>SUMIF($E$6:$E$64,"Pelvic",$I$6:$I$64)</f>
        <v>1392</v>
      </c>
      <c r="J68" s="17">
        <f>SUMIF($E$6:$E$64,"Pelvic",$J$6:$J$64)</f>
        <v>1288</v>
      </c>
      <c r="K68" s="17">
        <f>SUMIF($E$6:$E$64,"Pelvic",$K$6:$K$64)</f>
        <v>104</v>
      </c>
      <c r="L68" s="20">
        <f>IFERROR(J68/I68,0)</f>
        <v>0.92528735632183912</v>
      </c>
    </row>
    <row r="69" spans="1:13" x14ac:dyDescent="0.3">
      <c r="A69" s="19" t="s">
        <v>157</v>
      </c>
      <c r="I69" s="17">
        <f>SUMIF($E$6:$E$64,"Thoracic",$I$6:$I$64)</f>
        <v>76</v>
      </c>
      <c r="J69" s="17">
        <f>SUMIF($E$6:$E$64,"Thoracic",$J$6:$J$64)</f>
        <v>14</v>
      </c>
      <c r="K69" s="17">
        <f>SUMIF($E$6:$E$64,"Thoracic",$K$6:$K$64)</f>
        <v>62</v>
      </c>
      <c r="L69" s="20">
        <f>IFERROR(J69/I69,0)</f>
        <v>0.18421052631578946</v>
      </c>
    </row>
    <row r="70" spans="1:13" x14ac:dyDescent="0.3">
      <c r="A70" s="19" t="s">
        <v>254</v>
      </c>
      <c r="I70" s="17">
        <f>SUM($I$6:$I$64)</f>
        <v>1468</v>
      </c>
      <c r="J70" s="17">
        <f>SUM($J$6:$J$64)</f>
        <v>1302</v>
      </c>
      <c r="K70" s="17">
        <f>SUM($K$6:$K$64)</f>
        <v>166</v>
      </c>
      <c r="L70" s="20">
        <f>IFERROR(J70/I70,0)</f>
        <v>0.88692098092643057</v>
      </c>
    </row>
    <row r="72" spans="1:13" ht="18" customHeight="1" x14ac:dyDescent="0.3">
      <c r="A72" s="9" t="s">
        <v>255</v>
      </c>
      <c r="B72" s="11"/>
      <c r="C72" s="11"/>
      <c r="D72" s="11"/>
      <c r="E72" s="11"/>
      <c r="F72" s="11"/>
      <c r="G72" s="11"/>
      <c r="H72" s="11"/>
      <c r="I72" s="11"/>
      <c r="J72" s="11"/>
      <c r="K72" s="11"/>
      <c r="L72" s="11"/>
      <c r="M72" s="11"/>
    </row>
    <row r="73" spans="1:13" ht="30" customHeight="1" x14ac:dyDescent="0.3">
      <c r="A73" s="7" t="s">
        <v>256</v>
      </c>
      <c r="B73" s="11"/>
      <c r="C73" s="11"/>
      <c r="D73" s="11"/>
      <c r="E73" s="11"/>
      <c r="F73" s="11"/>
      <c r="G73" s="11"/>
      <c r="H73" s="11"/>
      <c r="I73" s="11"/>
      <c r="J73" s="11"/>
      <c r="K73" s="11"/>
      <c r="L73" s="11"/>
      <c r="M73" s="11"/>
    </row>
    <row r="75" spans="1:13" ht="18" customHeight="1" x14ac:dyDescent="0.3">
      <c r="A75" s="9" t="s">
        <v>257</v>
      </c>
      <c r="B75" s="11"/>
      <c r="C75" s="11"/>
      <c r="D75" s="11"/>
      <c r="E75" s="11"/>
      <c r="F75" s="11"/>
      <c r="G75" s="11"/>
      <c r="H75" s="11"/>
      <c r="I75" s="11"/>
      <c r="J75" s="11"/>
      <c r="K75" s="11"/>
      <c r="L75" s="11"/>
      <c r="M75" s="11"/>
    </row>
    <row r="76" spans="1:13" ht="60" customHeight="1" x14ac:dyDescent="0.3">
      <c r="A76" s="23" t="s">
        <v>65</v>
      </c>
      <c r="B76" s="7" t="s">
        <v>66</v>
      </c>
      <c r="C76" s="11"/>
      <c r="D76" s="11"/>
      <c r="E76" s="11"/>
      <c r="F76" s="11"/>
      <c r="G76" s="11"/>
      <c r="H76" s="11"/>
      <c r="I76" s="11"/>
      <c r="J76" s="11"/>
      <c r="K76" s="11"/>
      <c r="L76" s="11"/>
      <c r="M76" s="11"/>
    </row>
    <row r="77" spans="1:13" ht="60" customHeight="1" x14ac:dyDescent="0.3">
      <c r="A77" s="23" t="s">
        <v>67</v>
      </c>
      <c r="B77" s="7" t="s">
        <v>68</v>
      </c>
      <c r="C77" s="11"/>
      <c r="D77" s="11"/>
      <c r="E77" s="11"/>
      <c r="F77" s="11"/>
      <c r="G77" s="11"/>
      <c r="H77" s="11"/>
      <c r="I77" s="11"/>
      <c r="J77" s="11"/>
      <c r="K77" s="11"/>
      <c r="L77" s="11"/>
      <c r="M77" s="11"/>
    </row>
    <row r="78" spans="1:13" ht="60" customHeight="1" x14ac:dyDescent="0.3">
      <c r="A78" s="23" t="s">
        <v>69</v>
      </c>
      <c r="B78" s="7" t="s">
        <v>70</v>
      </c>
      <c r="C78" s="11"/>
      <c r="D78" s="11"/>
      <c r="E78" s="11"/>
      <c r="F78" s="11"/>
      <c r="G78" s="11"/>
      <c r="H78" s="11"/>
      <c r="I78" s="11"/>
      <c r="J78" s="11"/>
      <c r="K78" s="11"/>
      <c r="L78" s="11"/>
      <c r="M78" s="11"/>
    </row>
    <row r="79" spans="1:13" ht="60" customHeight="1" x14ac:dyDescent="0.3">
      <c r="A79" s="23" t="s">
        <v>71</v>
      </c>
      <c r="B79" s="7" t="s">
        <v>72</v>
      </c>
      <c r="C79" s="11"/>
      <c r="D79" s="11"/>
      <c r="E79" s="11"/>
      <c r="F79" s="11"/>
      <c r="G79" s="11"/>
      <c r="H79" s="11"/>
      <c r="I79" s="11"/>
      <c r="J79" s="11"/>
      <c r="K79" s="11"/>
      <c r="L79" s="11"/>
      <c r="M79" s="11"/>
    </row>
    <row r="80" spans="1:13" ht="60" customHeight="1" x14ac:dyDescent="0.3">
      <c r="A80" s="23" t="s">
        <v>73</v>
      </c>
      <c r="B80" s="7" t="s">
        <v>74</v>
      </c>
      <c r="C80" s="11"/>
      <c r="D80" s="11"/>
      <c r="E80" s="11"/>
      <c r="F80" s="11"/>
      <c r="G80" s="11"/>
      <c r="H80" s="11"/>
      <c r="I80" s="11"/>
      <c r="J80" s="11"/>
      <c r="K80" s="11"/>
      <c r="L80" s="11"/>
      <c r="M80" s="11"/>
    </row>
    <row r="81" spans="1:13" ht="60" customHeight="1" x14ac:dyDescent="0.3">
      <c r="A81" s="23" t="s">
        <v>75</v>
      </c>
      <c r="B81" s="7" t="s">
        <v>76</v>
      </c>
      <c r="C81" s="11"/>
      <c r="D81" s="11"/>
      <c r="E81" s="11"/>
      <c r="F81" s="11"/>
      <c r="G81" s="11"/>
      <c r="H81" s="11"/>
      <c r="I81" s="11"/>
      <c r="J81" s="11"/>
      <c r="K81" s="11"/>
      <c r="L81" s="11"/>
      <c r="M81" s="11"/>
    </row>
    <row r="82" spans="1:13" ht="60" customHeight="1" x14ac:dyDescent="0.3">
      <c r="A82" s="23" t="s">
        <v>77</v>
      </c>
      <c r="B82" s="7" t="s">
        <v>78</v>
      </c>
      <c r="C82" s="11"/>
      <c r="D82" s="11"/>
      <c r="E82" s="11"/>
      <c r="F82" s="11"/>
      <c r="G82" s="11"/>
      <c r="H82" s="11"/>
      <c r="I82" s="11"/>
      <c r="J82" s="11"/>
      <c r="K82" s="11"/>
      <c r="L82" s="11"/>
      <c r="M82" s="11"/>
    </row>
    <row r="83" spans="1:13" ht="60" customHeight="1" x14ac:dyDescent="0.3">
      <c r="A83" s="23" t="s">
        <v>258</v>
      </c>
      <c r="B83" s="7" t="s">
        <v>259</v>
      </c>
      <c r="C83" s="11"/>
      <c r="D83" s="11"/>
      <c r="E83" s="11"/>
      <c r="F83" s="11"/>
      <c r="G83" s="11"/>
      <c r="H83" s="11"/>
      <c r="I83" s="11"/>
      <c r="J83" s="11"/>
      <c r="K83" s="11"/>
      <c r="L83" s="11"/>
      <c r="M83" s="11"/>
    </row>
    <row r="84" spans="1:13" ht="60" customHeight="1" x14ac:dyDescent="0.3">
      <c r="A84" s="23" t="s">
        <v>79</v>
      </c>
      <c r="B84" s="7" t="s">
        <v>80</v>
      </c>
      <c r="C84" s="11"/>
      <c r="D84" s="11"/>
      <c r="E84" s="11"/>
      <c r="F84" s="11"/>
      <c r="G84" s="11"/>
      <c r="H84" s="11"/>
      <c r="I84" s="11"/>
      <c r="J84" s="11"/>
      <c r="K84" s="11"/>
      <c r="L84" s="11"/>
      <c r="M84" s="11"/>
    </row>
    <row r="85" spans="1:13" ht="60" customHeight="1" x14ac:dyDescent="0.3">
      <c r="A85" s="23" t="s">
        <v>81</v>
      </c>
      <c r="B85" s="7" t="s">
        <v>82</v>
      </c>
      <c r="C85" s="11"/>
      <c r="D85" s="11"/>
      <c r="E85" s="11"/>
      <c r="F85" s="11"/>
      <c r="G85" s="11"/>
      <c r="H85" s="11"/>
      <c r="I85" s="11"/>
      <c r="J85" s="11"/>
      <c r="K85" s="11"/>
      <c r="L85" s="11"/>
      <c r="M85" s="11"/>
    </row>
    <row r="86" spans="1:13" ht="60" customHeight="1" x14ac:dyDescent="0.3">
      <c r="A86" s="23" t="s">
        <v>83</v>
      </c>
      <c r="B86" s="7" t="s">
        <v>84</v>
      </c>
      <c r="C86" s="11"/>
      <c r="D86" s="11"/>
      <c r="E86" s="11"/>
      <c r="F86" s="11"/>
      <c r="G86" s="11"/>
      <c r="H86" s="11"/>
      <c r="I86" s="11"/>
      <c r="J86" s="11"/>
      <c r="K86" s="11"/>
      <c r="L86" s="11"/>
      <c r="M86" s="11"/>
    </row>
    <row r="87" spans="1:13" ht="60" customHeight="1" x14ac:dyDescent="0.3">
      <c r="A87" s="23" t="s">
        <v>85</v>
      </c>
      <c r="B87" s="7" t="s">
        <v>86</v>
      </c>
      <c r="C87" s="11"/>
      <c r="D87" s="11"/>
      <c r="E87" s="11"/>
      <c r="F87" s="11"/>
      <c r="G87" s="11"/>
      <c r="H87" s="11"/>
      <c r="I87" s="11"/>
      <c r="J87" s="11"/>
      <c r="K87" s="11"/>
      <c r="L87" s="11"/>
      <c r="M87" s="11"/>
    </row>
    <row r="88" spans="1:13" ht="60" customHeight="1" x14ac:dyDescent="0.3">
      <c r="A88" s="23" t="s">
        <v>260</v>
      </c>
      <c r="B88" s="7" t="s">
        <v>261</v>
      </c>
      <c r="C88" s="11"/>
      <c r="D88" s="11"/>
      <c r="E88" s="11"/>
      <c r="F88" s="11"/>
      <c r="G88" s="11"/>
      <c r="H88" s="11"/>
      <c r="I88" s="11"/>
      <c r="J88" s="11"/>
      <c r="K88" s="11"/>
      <c r="L88" s="11"/>
      <c r="M88" s="11"/>
    </row>
    <row r="89" spans="1:13" ht="60" customHeight="1" x14ac:dyDescent="0.3">
      <c r="A89" s="23" t="s">
        <v>262</v>
      </c>
      <c r="B89" s="7" t="s">
        <v>263</v>
      </c>
      <c r="C89" s="11"/>
      <c r="D89" s="11"/>
      <c r="E89" s="11"/>
      <c r="F89" s="11"/>
      <c r="G89" s="11"/>
      <c r="H89" s="11"/>
      <c r="I89" s="11"/>
      <c r="J89" s="11"/>
      <c r="K89" s="11"/>
      <c r="L89" s="11"/>
      <c r="M89" s="11"/>
    </row>
    <row r="90" spans="1:13" ht="60" customHeight="1" x14ac:dyDescent="0.3">
      <c r="A90" s="23" t="s">
        <v>264</v>
      </c>
      <c r="B90" s="7" t="s">
        <v>265</v>
      </c>
      <c r="C90" s="11"/>
      <c r="D90" s="11"/>
      <c r="E90" s="11"/>
      <c r="F90" s="11"/>
      <c r="G90" s="11"/>
      <c r="H90" s="11"/>
      <c r="I90" s="11"/>
      <c r="J90" s="11"/>
      <c r="K90" s="11"/>
      <c r="L90" s="11"/>
      <c r="M90" s="11"/>
    </row>
    <row r="91" spans="1:13" ht="60" customHeight="1" x14ac:dyDescent="0.3">
      <c r="A91" s="23" t="s">
        <v>266</v>
      </c>
      <c r="B91" s="7" t="s">
        <v>267</v>
      </c>
      <c r="C91" s="11"/>
      <c r="D91" s="11"/>
      <c r="E91" s="11"/>
      <c r="F91" s="11"/>
      <c r="G91" s="11"/>
      <c r="H91" s="11"/>
      <c r="I91" s="11"/>
      <c r="J91" s="11"/>
      <c r="K91" s="11"/>
      <c r="L91" s="11"/>
      <c r="M91" s="11"/>
    </row>
    <row r="92" spans="1:13" ht="60" customHeight="1" x14ac:dyDescent="0.3">
      <c r="A92" s="23" t="s">
        <v>268</v>
      </c>
      <c r="B92" s="7" t="s">
        <v>269</v>
      </c>
      <c r="C92" s="11"/>
      <c r="D92" s="11"/>
      <c r="E92" s="11"/>
      <c r="F92" s="11"/>
      <c r="G92" s="11"/>
      <c r="H92" s="11"/>
      <c r="I92" s="11"/>
      <c r="J92" s="11"/>
      <c r="K92" s="11"/>
      <c r="L92" s="11"/>
      <c r="M92" s="11"/>
    </row>
    <row r="93" spans="1:13" ht="60" customHeight="1" x14ac:dyDescent="0.3">
      <c r="A93" s="23" t="s">
        <v>270</v>
      </c>
      <c r="B93" s="7" t="s">
        <v>271</v>
      </c>
      <c r="C93" s="11"/>
      <c r="D93" s="11"/>
      <c r="E93" s="11"/>
      <c r="F93" s="11"/>
      <c r="G93" s="11"/>
      <c r="H93" s="11"/>
      <c r="I93" s="11"/>
      <c r="J93" s="11"/>
      <c r="K93" s="11"/>
      <c r="L93" s="11"/>
      <c r="M93" s="11"/>
    </row>
    <row r="94" spans="1:13" ht="60" customHeight="1" x14ac:dyDescent="0.3">
      <c r="A94" s="23" t="s">
        <v>272</v>
      </c>
      <c r="B94" s="7" t="s">
        <v>273</v>
      </c>
      <c r="C94" s="11"/>
      <c r="D94" s="11"/>
      <c r="E94" s="11"/>
      <c r="F94" s="11"/>
      <c r="G94" s="11"/>
      <c r="H94" s="11"/>
      <c r="I94" s="11"/>
      <c r="J94" s="11"/>
      <c r="K94" s="11"/>
      <c r="L94" s="11"/>
      <c r="M94" s="11"/>
    </row>
    <row r="95" spans="1:13" ht="60" customHeight="1" x14ac:dyDescent="0.3">
      <c r="A95" s="23" t="s">
        <v>274</v>
      </c>
      <c r="B95" s="7" t="s">
        <v>275</v>
      </c>
      <c r="C95" s="11"/>
      <c r="D95" s="11"/>
      <c r="E95" s="11"/>
      <c r="F95" s="11"/>
      <c r="G95" s="11"/>
      <c r="H95" s="11"/>
      <c r="I95" s="11"/>
      <c r="J95" s="11"/>
      <c r="K95" s="11"/>
      <c r="L95" s="11"/>
      <c r="M95" s="11"/>
    </row>
    <row r="96" spans="1:13" ht="60" customHeight="1" x14ac:dyDescent="0.3">
      <c r="A96" s="23" t="s">
        <v>276</v>
      </c>
      <c r="B96" s="7" t="s">
        <v>277</v>
      </c>
      <c r="C96" s="11"/>
      <c r="D96" s="11"/>
      <c r="E96" s="11"/>
      <c r="F96" s="11"/>
      <c r="G96" s="11"/>
      <c r="H96" s="11"/>
      <c r="I96" s="11"/>
      <c r="J96" s="11"/>
      <c r="K96" s="11"/>
      <c r="L96" s="11"/>
      <c r="M96" s="11"/>
    </row>
    <row r="97" spans="1:13" ht="60" customHeight="1" x14ac:dyDescent="0.3">
      <c r="A97" s="23" t="s">
        <v>278</v>
      </c>
      <c r="B97" s="7" t="s">
        <v>279</v>
      </c>
      <c r="C97" s="11"/>
      <c r="D97" s="11"/>
      <c r="E97" s="11"/>
      <c r="F97" s="11"/>
      <c r="G97" s="11"/>
      <c r="H97" s="11"/>
      <c r="I97" s="11"/>
      <c r="J97" s="11"/>
      <c r="K97" s="11"/>
      <c r="L97" s="11"/>
      <c r="M97" s="11"/>
    </row>
    <row r="98" spans="1:13" ht="60" customHeight="1" x14ac:dyDescent="0.3">
      <c r="A98" s="23" t="s">
        <v>280</v>
      </c>
      <c r="B98" s="7" t="s">
        <v>281</v>
      </c>
      <c r="C98" s="11"/>
      <c r="D98" s="11"/>
      <c r="E98" s="11"/>
      <c r="F98" s="11"/>
      <c r="G98" s="11"/>
      <c r="H98" s="11"/>
      <c r="I98" s="11"/>
      <c r="J98" s="11"/>
      <c r="K98" s="11"/>
      <c r="L98" s="11"/>
      <c r="M98" s="11"/>
    </row>
    <row r="99" spans="1:13" ht="46.05" customHeight="1" x14ac:dyDescent="0.3">
      <c r="A99" s="23" t="s">
        <v>282</v>
      </c>
      <c r="B99" s="7" t="s">
        <v>283</v>
      </c>
      <c r="C99" s="11"/>
      <c r="D99" s="11"/>
      <c r="E99" s="11"/>
      <c r="F99" s="11"/>
      <c r="G99" s="11"/>
      <c r="H99" s="11"/>
      <c r="I99" s="11"/>
      <c r="J99" s="11"/>
      <c r="K99" s="11"/>
      <c r="L99" s="11"/>
      <c r="M99" s="11"/>
    </row>
    <row r="100" spans="1:13" ht="60" customHeight="1" x14ac:dyDescent="0.3">
      <c r="A100" s="23" t="s">
        <v>284</v>
      </c>
      <c r="B100" s="7" t="s">
        <v>285</v>
      </c>
      <c r="C100" s="11"/>
      <c r="D100" s="11"/>
      <c r="E100" s="11"/>
      <c r="F100" s="11"/>
      <c r="G100" s="11"/>
      <c r="H100" s="11"/>
      <c r="I100" s="11"/>
      <c r="J100" s="11"/>
      <c r="K100" s="11"/>
      <c r="L100" s="11"/>
      <c r="M100" s="11"/>
    </row>
  </sheetData>
  <mergeCells count="32">
    <mergeCell ref="B99:M99"/>
    <mergeCell ref="B100:M100"/>
    <mergeCell ref="B94:M94"/>
    <mergeCell ref="B95:M95"/>
    <mergeCell ref="B96:M96"/>
    <mergeCell ref="B97:M97"/>
    <mergeCell ref="B98:M98"/>
    <mergeCell ref="B89:M89"/>
    <mergeCell ref="B90:M90"/>
    <mergeCell ref="B91:M91"/>
    <mergeCell ref="B92:M92"/>
    <mergeCell ref="B93:M93"/>
    <mergeCell ref="B84:M84"/>
    <mergeCell ref="B85:M85"/>
    <mergeCell ref="B86:M86"/>
    <mergeCell ref="B87:M87"/>
    <mergeCell ref="B88:M88"/>
    <mergeCell ref="B79:M79"/>
    <mergeCell ref="B80:M80"/>
    <mergeCell ref="B81:M81"/>
    <mergeCell ref="B82:M82"/>
    <mergeCell ref="B83:M83"/>
    <mergeCell ref="A73:M73"/>
    <mergeCell ref="A75:M75"/>
    <mergeCell ref="B76:M76"/>
    <mergeCell ref="B77:M77"/>
    <mergeCell ref="B78:M78"/>
    <mergeCell ref="A1:M1"/>
    <mergeCell ref="A2:M2"/>
    <mergeCell ref="A4:M4"/>
    <mergeCell ref="A66:M66"/>
    <mergeCell ref="A72:M72"/>
  </mergeCells>
  <conditionalFormatting sqref="L6:L64">
    <cfRule type="colorScale" priority="1">
      <colorScale>
        <cfvo type="num" val="0.6"/>
        <cfvo type="num" val="0.85"/>
        <cfvo type="num" val="1"/>
        <color rgb="FFF8696B"/>
        <color rgb="FFFFEB84"/>
        <color rgb="FF63BE7B"/>
      </colorScale>
    </cfRule>
  </conditionalFormatting>
  <pageMargins left="0.5" right="0.5" top="0.6" bottom="0.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1"/>
  <sheetViews>
    <sheetView workbookViewId="0">
      <selection sqref="A1:I1"/>
    </sheetView>
  </sheetViews>
  <sheetFormatPr defaultRowHeight="14.4" x14ac:dyDescent="0.3"/>
  <cols>
    <col min="1" max="1" width="12" customWidth="1"/>
    <col min="2" max="2" width="26" customWidth="1"/>
    <col min="3" max="3" width="22" customWidth="1"/>
    <col min="4" max="6" width="11" customWidth="1"/>
    <col min="7" max="7" width="15" customWidth="1"/>
    <col min="8" max="8" width="11" customWidth="1"/>
    <col min="9" max="9" width="13" customWidth="1"/>
  </cols>
  <sheetData>
    <row r="1" spans="1:9" ht="22.05" customHeight="1" x14ac:dyDescent="0.4">
      <c r="A1" s="12" t="s">
        <v>150</v>
      </c>
      <c r="B1" s="11"/>
      <c r="C1" s="11"/>
      <c r="D1" s="11"/>
      <c r="E1" s="11"/>
      <c r="F1" s="11"/>
      <c r="G1" s="11"/>
      <c r="H1" s="11"/>
      <c r="I1" s="11"/>
    </row>
    <row r="2" spans="1:9" ht="43.95" customHeight="1" x14ac:dyDescent="0.3">
      <c r="A2" s="10" t="s">
        <v>151</v>
      </c>
      <c r="B2" s="11"/>
      <c r="C2" s="11"/>
      <c r="D2" s="11"/>
      <c r="E2" s="11"/>
      <c r="F2" s="11"/>
      <c r="G2" s="11"/>
      <c r="H2" s="11"/>
      <c r="I2" s="11"/>
    </row>
    <row r="4" spans="1:9" ht="18" customHeight="1" x14ac:dyDescent="0.3">
      <c r="A4" s="9" t="s">
        <v>152</v>
      </c>
      <c r="B4" s="11"/>
      <c r="C4" s="11"/>
      <c r="D4" s="11"/>
      <c r="E4" s="11"/>
      <c r="F4" s="11"/>
      <c r="G4" s="11"/>
      <c r="H4" s="11"/>
      <c r="I4" s="11"/>
    </row>
    <row r="5" spans="1:9" ht="28.8" x14ac:dyDescent="0.3">
      <c r="A5" s="18" t="s">
        <v>153</v>
      </c>
      <c r="B5" s="18" t="s">
        <v>36</v>
      </c>
      <c r="C5" s="18" t="s">
        <v>37</v>
      </c>
      <c r="D5" s="18" t="s">
        <v>38</v>
      </c>
      <c r="E5" s="18" t="s">
        <v>154</v>
      </c>
      <c r="F5" s="18" t="s">
        <v>155</v>
      </c>
    </row>
    <row r="6" spans="1:9" x14ac:dyDescent="0.3">
      <c r="A6" s="16" t="s">
        <v>156</v>
      </c>
      <c r="B6" s="17">
        <f>SUMIF('Slaughterhouse IQC'!$E$6:$E$64,"Pelvic",'Slaughterhouse IQC'!$I$6:$I$64)</f>
        <v>1392</v>
      </c>
      <c r="C6" s="17">
        <f>SUMIF('Slaughterhouse IQC'!$E$6:$E$64,"Pelvic",'Slaughterhouse IQC'!$J$6:$J$64)</f>
        <v>1288</v>
      </c>
      <c r="D6" s="17">
        <f>SUMIF('Slaughterhouse IQC'!$E$6:$E$64,"Pelvic",'Slaughterhouse IQC'!$K$6:$K$64)</f>
        <v>104</v>
      </c>
      <c r="E6" s="20">
        <f>IFERROR(C6/B6,0)</f>
        <v>0.92528735632183912</v>
      </c>
      <c r="F6" s="20">
        <f>IFERROR(D6/B6,0)</f>
        <v>7.4712643678160925E-2</v>
      </c>
    </row>
    <row r="7" spans="1:9" x14ac:dyDescent="0.3">
      <c r="A7" s="16" t="s">
        <v>157</v>
      </c>
      <c r="B7" s="17">
        <f>SUMIF('Slaughterhouse IQC'!$E$6:$E$64,"Thoracic",'Slaughterhouse IQC'!$I$6:$I$64)</f>
        <v>76</v>
      </c>
      <c r="C7" s="17">
        <f>SUMIF('Slaughterhouse IQC'!$E$6:$E$64,"Thoracic",'Slaughterhouse IQC'!$J$6:$J$64)</f>
        <v>14</v>
      </c>
      <c r="D7" s="17">
        <f>SUMIF('Slaughterhouse IQC'!$E$6:$E$64,"Thoracic",'Slaughterhouse IQC'!$K$6:$K$64)</f>
        <v>62</v>
      </c>
      <c r="E7" s="20">
        <f>IFERROR(C7/B7,0)</f>
        <v>0.18421052631578946</v>
      </c>
      <c r="F7" s="20">
        <f>IFERROR(D7/B7,0)</f>
        <v>0.81578947368421051</v>
      </c>
    </row>
    <row r="8" spans="1:9" x14ac:dyDescent="0.3">
      <c r="A8" s="19" t="s">
        <v>89</v>
      </c>
      <c r="B8" s="17">
        <f>SUM(B6:B7)</f>
        <v>1468</v>
      </c>
      <c r="C8" s="17">
        <f>SUM(C6:C7)</f>
        <v>1302</v>
      </c>
      <c r="D8" s="17">
        <f>SUM(D6:D7)</f>
        <v>166</v>
      </c>
      <c r="E8" s="20">
        <f>IFERROR(C8/B8,0)</f>
        <v>0.88692098092643057</v>
      </c>
      <c r="F8" s="20">
        <f>IFERROR(D8/B8,0)</f>
        <v>0.11307901907356949</v>
      </c>
    </row>
    <row r="10" spans="1:9" ht="18" customHeight="1" x14ac:dyDescent="0.3">
      <c r="A10" s="9" t="s">
        <v>158</v>
      </c>
      <c r="B10" s="11"/>
      <c r="C10" s="11"/>
      <c r="D10" s="11"/>
      <c r="E10" s="11"/>
      <c r="F10" s="11"/>
      <c r="G10" s="11"/>
      <c r="H10" s="11"/>
      <c r="I10" s="11"/>
    </row>
    <row r="11" spans="1:9" x14ac:dyDescent="0.3">
      <c r="A11" s="18" t="s">
        <v>159</v>
      </c>
      <c r="B11" s="18" t="s">
        <v>87</v>
      </c>
      <c r="C11" s="18" t="s">
        <v>8</v>
      </c>
      <c r="D11" s="18" t="s">
        <v>36</v>
      </c>
      <c r="E11" s="18" t="s">
        <v>37</v>
      </c>
      <c r="F11" s="18" t="s">
        <v>38</v>
      </c>
      <c r="G11" s="18" t="s">
        <v>154</v>
      </c>
      <c r="H11" s="18" t="s">
        <v>155</v>
      </c>
      <c r="I11" s="18" t="s">
        <v>160</v>
      </c>
    </row>
    <row r="12" spans="1:9" x14ac:dyDescent="0.3">
      <c r="A12" s="16" t="s">
        <v>16</v>
      </c>
      <c r="B12" s="16" t="s">
        <v>161</v>
      </c>
      <c r="C12" s="16" t="s">
        <v>162</v>
      </c>
      <c r="D12" s="17">
        <f>SUMIF('Slaughterhouse IQC'!$F$6:$F$64,"666541",'Slaughterhouse IQC'!$I$6:$I$64)</f>
        <v>813</v>
      </c>
      <c r="E12" s="17">
        <f>SUMIF('Slaughterhouse IQC'!$F$6:$F$64,"666541",'Slaughterhouse IQC'!$J$6:$J$64)</f>
        <v>762</v>
      </c>
      <c r="F12" s="17">
        <f>SUMIF('Slaughterhouse IQC'!$F$6:$F$64,"666541",'Slaughterhouse IQC'!$K$6:$K$64)</f>
        <v>51</v>
      </c>
      <c r="G12" s="20">
        <f>IFERROR(E12/D12,0)</f>
        <v>0.9372693726937269</v>
      </c>
      <c r="H12" s="20">
        <f>IFERROR(F12/D12,0)</f>
        <v>6.273062730627306E-2</v>
      </c>
      <c r="I12" s="16" t="s">
        <v>163</v>
      </c>
    </row>
    <row r="13" spans="1:9" x14ac:dyDescent="0.3">
      <c r="A13" s="16" t="s">
        <v>17</v>
      </c>
      <c r="B13" s="16" t="s">
        <v>164</v>
      </c>
      <c r="C13" s="16" t="s">
        <v>11</v>
      </c>
      <c r="D13" s="17">
        <f>SUMIF('Slaughterhouse IQC'!$F$6:$F$64,"666506",'Slaughterhouse IQC'!$I$6:$I$64)</f>
        <v>322</v>
      </c>
      <c r="E13" s="17">
        <f>SUMIF('Slaughterhouse IQC'!$F$6:$F$64,"666506",'Slaughterhouse IQC'!$J$6:$J$64)</f>
        <v>309</v>
      </c>
      <c r="F13" s="17">
        <f>SUMIF('Slaughterhouse IQC'!$F$6:$F$64,"666506",'Slaughterhouse IQC'!$K$6:$K$64)</f>
        <v>13</v>
      </c>
      <c r="G13" s="20">
        <f>IFERROR(E13/D13,0)</f>
        <v>0.95962732919254656</v>
      </c>
      <c r="H13" s="20">
        <f>IFERROR(F13/D13,0)</f>
        <v>4.0372670807453416E-2</v>
      </c>
      <c r="I13" s="16" t="s">
        <v>163</v>
      </c>
    </row>
    <row r="14" spans="1:9" x14ac:dyDescent="0.3">
      <c r="A14" s="16" t="s">
        <v>30</v>
      </c>
      <c r="B14" s="16" t="s">
        <v>165</v>
      </c>
      <c r="C14" s="16" t="s">
        <v>88</v>
      </c>
      <c r="D14" s="17">
        <f>SUMIF('Slaughterhouse IQC'!$F$6:$F$64,"666518",'Slaughterhouse IQC'!$I$6:$I$64)</f>
        <v>257</v>
      </c>
      <c r="E14" s="17">
        <f>SUMIF('Slaughterhouse IQC'!$F$6:$F$64,"666518",'Slaughterhouse IQC'!$J$6:$J$64)</f>
        <v>217</v>
      </c>
      <c r="F14" s="17">
        <f>SUMIF('Slaughterhouse IQC'!$F$6:$F$64,"666518",'Slaughterhouse IQC'!$K$6:$K$64)</f>
        <v>40</v>
      </c>
      <c r="G14" s="20">
        <f>IFERROR(E14/D14,0)</f>
        <v>0.8443579766536965</v>
      </c>
      <c r="H14" s="20">
        <f>IFERROR(F14/D14,0)</f>
        <v>0.1556420233463035</v>
      </c>
      <c r="I14" s="16" t="s">
        <v>166</v>
      </c>
    </row>
    <row r="15" spans="1:9" x14ac:dyDescent="0.3">
      <c r="A15" s="16" t="s">
        <v>167</v>
      </c>
      <c r="B15" s="16" t="s">
        <v>168</v>
      </c>
      <c r="C15" s="16" t="s">
        <v>169</v>
      </c>
      <c r="D15" s="17">
        <f>SUMIF('Slaughterhouse IQC'!$F$6:$F$64,"666521",'Slaughterhouse IQC'!$I$6:$I$64)</f>
        <v>76</v>
      </c>
      <c r="E15" s="17">
        <f>SUMIF('Slaughterhouse IQC'!$F$6:$F$64,"666521",'Slaughterhouse IQC'!$J$6:$J$64)</f>
        <v>14</v>
      </c>
      <c r="F15" s="17">
        <f>SUMIF('Slaughterhouse IQC'!$F$6:$F$64,"666521",'Slaughterhouse IQC'!$K$6:$K$64)</f>
        <v>62</v>
      </c>
      <c r="G15" s="20">
        <f>IFERROR(E15/D15,0)</f>
        <v>0.18421052631578946</v>
      </c>
      <c r="H15" s="20">
        <f>IFERROR(F15/D15,0)</f>
        <v>0.81578947368421051</v>
      </c>
      <c r="I15" s="16" t="s">
        <v>170</v>
      </c>
    </row>
    <row r="17" spans="1:9" ht="18" customHeight="1" x14ac:dyDescent="0.3">
      <c r="A17" s="9" t="s">
        <v>171</v>
      </c>
      <c r="B17" s="11"/>
      <c r="C17" s="11"/>
      <c r="D17" s="11"/>
      <c r="E17" s="11"/>
      <c r="F17" s="11"/>
      <c r="G17" s="11"/>
      <c r="H17" s="11"/>
      <c r="I17" s="11"/>
    </row>
    <row r="18" spans="1:9" ht="28.8" x14ac:dyDescent="0.3">
      <c r="A18" s="18" t="s">
        <v>8</v>
      </c>
      <c r="B18" s="18" t="s">
        <v>172</v>
      </c>
      <c r="C18" s="18" t="s">
        <v>36</v>
      </c>
      <c r="D18" s="18" t="s">
        <v>37</v>
      </c>
      <c r="E18" s="18" t="s">
        <v>38</v>
      </c>
      <c r="F18" s="18" t="s">
        <v>154</v>
      </c>
      <c r="G18" s="18" t="s">
        <v>155</v>
      </c>
    </row>
    <row r="19" spans="1:9" x14ac:dyDescent="0.3">
      <c r="A19" s="16" t="s">
        <v>11</v>
      </c>
      <c r="B19" s="16" t="s">
        <v>173</v>
      </c>
      <c r="C19" s="17">
        <f>SUMIF('Slaughterhouse IQC'!$B$6:$B$64,"Martins",'Slaughterhouse IQC'!$I$6:$I$64)</f>
        <v>1088</v>
      </c>
      <c r="D19" s="17">
        <f>SUMIF('Slaughterhouse IQC'!$B$6:$B$64,"Martins",'Slaughterhouse IQC'!$J$6:$J$64)</f>
        <v>1037</v>
      </c>
      <c r="E19" s="17">
        <f>SUMIF('Slaughterhouse IQC'!$B$6:$B$64,"Martins",'Slaughterhouse IQC'!$K$6:$K$64)</f>
        <v>51</v>
      </c>
      <c r="F19" s="20">
        <f>IFERROR(D19/C19,0)</f>
        <v>0.953125</v>
      </c>
      <c r="G19" s="20">
        <f>IFERROR(E19/C19,0)</f>
        <v>4.6875E-2</v>
      </c>
    </row>
    <row r="20" spans="1:9" x14ac:dyDescent="0.3">
      <c r="A20" s="16" t="s">
        <v>26</v>
      </c>
      <c r="B20" s="16" t="s">
        <v>174</v>
      </c>
      <c r="C20" s="17">
        <f>SUMIF('Slaughterhouse IQC'!$B$6:$B$64,"Parks Family Meats",'Slaughterhouse IQC'!$I$6:$I$64)</f>
        <v>290</v>
      </c>
      <c r="D20" s="17">
        <f>SUMIF('Slaughterhouse IQC'!$B$6:$B$64,"Parks Family Meats",'Slaughterhouse IQC'!$J$6:$J$64)</f>
        <v>249</v>
      </c>
      <c r="E20" s="17">
        <f>SUMIF('Slaughterhouse IQC'!$B$6:$B$64,"Parks Family Meats",'Slaughterhouse IQC'!$K$6:$K$64)</f>
        <v>41</v>
      </c>
      <c r="F20" s="20">
        <f>IFERROR(D20/C20,0)</f>
        <v>0.85862068965517246</v>
      </c>
      <c r="G20" s="20">
        <f>IFERROR(E20/C20,0)</f>
        <v>0.14137931034482759</v>
      </c>
    </row>
    <row r="21" spans="1:9" x14ac:dyDescent="0.3">
      <c r="A21" s="16" t="s">
        <v>169</v>
      </c>
      <c r="B21" s="16" t="s">
        <v>175</v>
      </c>
      <c r="C21" s="17">
        <f>SUMIF('Slaughterhouse IQC'!$B$6:$B$64,"Nahunta",'Slaughterhouse IQC'!$I$6:$I$64)</f>
        <v>90</v>
      </c>
      <c r="D21" s="17">
        <f>SUMIF('Slaughterhouse IQC'!$B$6:$B$64,"Nahunta",'Slaughterhouse IQC'!$J$6:$J$64)</f>
        <v>16</v>
      </c>
      <c r="E21" s="17">
        <f>SUMIF('Slaughterhouse IQC'!$B$6:$B$64,"Nahunta",'Slaughterhouse IQC'!$K$6:$K$64)</f>
        <v>74</v>
      </c>
      <c r="F21" s="20">
        <f>IFERROR(D21/C21,0)</f>
        <v>0.17777777777777778</v>
      </c>
      <c r="G21" s="20">
        <f>IFERROR(E21/C21,0)</f>
        <v>0.82222222222222219</v>
      </c>
    </row>
    <row r="23" spans="1:9" ht="18" customHeight="1" x14ac:dyDescent="0.3">
      <c r="A23" s="9" t="s">
        <v>176</v>
      </c>
      <c r="B23" s="11"/>
      <c r="C23" s="11"/>
      <c r="D23" s="11"/>
      <c r="E23" s="11"/>
      <c r="F23" s="11"/>
      <c r="G23" s="11"/>
      <c r="H23" s="11"/>
      <c r="I23" s="11"/>
    </row>
    <row r="24" spans="1:9" ht="16.05" customHeight="1" x14ac:dyDescent="0.3">
      <c r="A24" s="8" t="s">
        <v>177</v>
      </c>
      <c r="B24" s="11"/>
      <c r="C24" s="11"/>
      <c r="D24" s="11"/>
      <c r="E24" s="11"/>
      <c r="F24" s="11"/>
      <c r="G24" s="11"/>
      <c r="H24" s="11"/>
      <c r="I24" s="11"/>
    </row>
    <row r="25" spans="1:9" ht="43.95" customHeight="1" x14ac:dyDescent="0.3">
      <c r="A25" s="7" t="s">
        <v>178</v>
      </c>
      <c r="B25" s="11"/>
      <c r="C25" s="11"/>
      <c r="D25" s="11"/>
      <c r="E25" s="11"/>
      <c r="F25" s="11"/>
      <c r="G25" s="11"/>
      <c r="H25" s="11"/>
      <c r="I25" s="11"/>
    </row>
    <row r="26" spans="1:9" ht="16.05" customHeight="1" x14ac:dyDescent="0.3">
      <c r="A26" s="8" t="s">
        <v>179</v>
      </c>
      <c r="B26" s="11"/>
      <c r="C26" s="11"/>
      <c r="D26" s="11"/>
      <c r="E26" s="11"/>
      <c r="F26" s="11"/>
      <c r="G26" s="11"/>
      <c r="H26" s="11"/>
      <c r="I26" s="11"/>
    </row>
    <row r="27" spans="1:9" ht="43.95" customHeight="1" x14ac:dyDescent="0.3">
      <c r="A27" s="7" t="s">
        <v>180</v>
      </c>
      <c r="B27" s="11"/>
      <c r="C27" s="11"/>
      <c r="D27" s="11"/>
      <c r="E27" s="11"/>
      <c r="F27" s="11"/>
      <c r="G27" s="11"/>
      <c r="H27" s="11"/>
      <c r="I27" s="11"/>
    </row>
    <row r="28" spans="1:9" ht="16.05" customHeight="1" x14ac:dyDescent="0.3">
      <c r="A28" s="8" t="s">
        <v>181</v>
      </c>
      <c r="B28" s="11"/>
      <c r="C28" s="11"/>
      <c r="D28" s="11"/>
      <c r="E28" s="11"/>
      <c r="F28" s="11"/>
      <c r="G28" s="11"/>
      <c r="H28" s="11"/>
      <c r="I28" s="11"/>
    </row>
    <row r="29" spans="1:9" ht="43.95" customHeight="1" x14ac:dyDescent="0.3">
      <c r="A29" s="7" t="s">
        <v>182</v>
      </c>
      <c r="B29" s="11"/>
      <c r="C29" s="11"/>
      <c r="D29" s="11"/>
      <c r="E29" s="11"/>
      <c r="F29" s="11"/>
      <c r="G29" s="11"/>
      <c r="H29" s="11"/>
      <c r="I29" s="11"/>
    </row>
    <row r="30" spans="1:9" ht="16.05" customHeight="1" x14ac:dyDescent="0.3">
      <c r="A30" s="8" t="s">
        <v>183</v>
      </c>
      <c r="B30" s="11"/>
      <c r="C30" s="11"/>
      <c r="D30" s="11"/>
      <c r="E30" s="11"/>
      <c r="F30" s="11"/>
      <c r="G30" s="11"/>
      <c r="H30" s="11"/>
      <c r="I30" s="11"/>
    </row>
    <row r="31" spans="1:9" ht="43.95" customHeight="1" x14ac:dyDescent="0.3">
      <c r="A31" s="7" t="s">
        <v>184</v>
      </c>
      <c r="B31" s="11"/>
      <c r="C31" s="11"/>
      <c r="D31" s="11"/>
      <c r="E31" s="11"/>
      <c r="F31" s="11"/>
      <c r="G31" s="11"/>
      <c r="H31" s="11"/>
      <c r="I31" s="11"/>
    </row>
  </sheetData>
  <mergeCells count="14">
    <mergeCell ref="A28:I28"/>
    <mergeCell ref="A29:I29"/>
    <mergeCell ref="A30:I30"/>
    <mergeCell ref="A31:I31"/>
    <mergeCell ref="A23:I23"/>
    <mergeCell ref="A24:I24"/>
    <mergeCell ref="A25:I25"/>
    <mergeCell ref="A26:I26"/>
    <mergeCell ref="A27:I27"/>
    <mergeCell ref="A1:I1"/>
    <mergeCell ref="A2:I2"/>
    <mergeCell ref="A4:I4"/>
    <mergeCell ref="A10:I10"/>
    <mergeCell ref="A17:I17"/>
  </mergeCells>
  <conditionalFormatting sqref="E6:E8 F19:F21 G12:G15">
    <cfRule type="colorScale" priority="1">
      <colorScale>
        <cfvo type="num" val="0.3"/>
        <cfvo type="num" val="0.8"/>
        <cfvo type="num" val="1"/>
        <color rgb="FFF8696B"/>
        <color rgb="FFFFEB84"/>
        <color rgb="FF63BE7B"/>
      </colorScale>
    </cfRule>
  </conditionalFormatting>
  <pageMargins left="0.5" right="0.5" top="0.6" bottom="0.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
  <sheetViews>
    <sheetView topLeftCell="A38" workbookViewId="0">
      <selection activeCell="I68" sqref="I68"/>
    </sheetView>
  </sheetViews>
  <sheetFormatPr defaultRowHeight="14.4" x14ac:dyDescent="0.3"/>
  <cols>
    <col min="1" max="1" width="34" customWidth="1"/>
    <col min="2" max="6" width="10" customWidth="1"/>
    <col min="7" max="7" width="11" customWidth="1"/>
  </cols>
  <sheetData>
    <row r="1" spans="1:7" ht="22.05" customHeight="1" x14ac:dyDescent="0.4">
      <c r="A1" s="12" t="s">
        <v>286</v>
      </c>
      <c r="B1" s="11"/>
      <c r="C1" s="11"/>
      <c r="D1" s="11"/>
      <c r="E1" s="11"/>
      <c r="F1" s="11"/>
      <c r="G1" s="11"/>
    </row>
    <row r="2" spans="1:7" ht="58.05" customHeight="1" x14ac:dyDescent="0.3">
      <c r="A2" s="10" t="s">
        <v>287</v>
      </c>
      <c r="B2" s="11"/>
      <c r="C2" s="11"/>
      <c r="D2" s="11"/>
      <c r="E2" s="11"/>
      <c r="F2" s="11"/>
      <c r="G2" s="11"/>
    </row>
    <row r="4" spans="1:7" ht="18" customHeight="1" x14ac:dyDescent="0.3">
      <c r="A4" s="9" t="s">
        <v>288</v>
      </c>
      <c r="B4" s="11"/>
      <c r="C4" s="11"/>
      <c r="D4" s="11"/>
      <c r="E4" s="11"/>
      <c r="F4" s="11"/>
      <c r="G4" s="11"/>
    </row>
    <row r="5" spans="1:7" x14ac:dyDescent="0.3">
      <c r="A5" s="18" t="s">
        <v>289</v>
      </c>
      <c r="B5" s="18" t="s">
        <v>290</v>
      </c>
      <c r="C5" s="18" t="s">
        <v>291</v>
      </c>
      <c r="D5" s="18" t="s">
        <v>292</v>
      </c>
      <c r="E5" s="18" t="s">
        <v>293</v>
      </c>
      <c r="F5" s="18" t="s">
        <v>294</v>
      </c>
      <c r="G5" s="18" t="s">
        <v>4</v>
      </c>
    </row>
    <row r="6" spans="1:7" x14ac:dyDescent="0.3">
      <c r="A6" s="16" t="s">
        <v>295</v>
      </c>
      <c r="B6" s="20">
        <f>IF(SUMPRODUCT((LEFT('Slaughterhouse IQC'!$A$6:$A$64,7)="2026-04")*('Slaughterhouse IQC'!$B$6:$B$64="Martins")*('Slaughterhouse IQC'!$F$6:$F$64="666541")*'Slaughterhouse IQC'!$I$6:$I$64)=0,"",SUMPRODUCT((LEFT('Slaughterhouse IQC'!$A$6:$A$64,7)="2026-04")*('Slaughterhouse IQC'!$B$6:$B$64="Martins")*('Slaughterhouse IQC'!$F$6:$F$64="666541")*'Slaughterhouse IQC'!$J$6:$J$64)/SUMPRODUCT((LEFT('Slaughterhouse IQC'!$A$6:$A$64,7)="2026-04")*('Slaughterhouse IQC'!$B$6:$B$64="Martins")*('Slaughterhouse IQC'!$F$6:$F$64="666541")*'Slaughterhouse IQC'!$I$6:$I$64))</f>
        <v>0.95081967213114749</v>
      </c>
      <c r="C6" s="20">
        <f>IF(SUMPRODUCT((LEFT('Slaughterhouse IQC'!$A$6:$A$64,7)="2026-05")*('Slaughterhouse IQC'!$B$6:$B$64="Martins")*('Slaughterhouse IQC'!$F$6:$F$64="666541")*'Slaughterhouse IQC'!$I$6:$I$64)=0,"",SUMPRODUCT((LEFT('Slaughterhouse IQC'!$A$6:$A$64,7)="2026-05")*('Slaughterhouse IQC'!$B$6:$B$64="Martins")*('Slaughterhouse IQC'!$F$6:$F$64="666541")*'Slaughterhouse IQC'!$J$6:$J$64)/SUMPRODUCT((LEFT('Slaughterhouse IQC'!$A$6:$A$64,7)="2026-05")*('Slaughterhouse IQC'!$B$6:$B$64="Martins")*('Slaughterhouse IQC'!$F$6:$F$64="666541")*'Slaughterhouse IQC'!$I$6:$I$64))</f>
        <v>0.9329896907216495</v>
      </c>
      <c r="D6" s="20">
        <f>IF(SUMPRODUCT((LEFT('Slaughterhouse IQC'!$A$6:$A$64,7)="2026-06")*('Slaughterhouse IQC'!$B$6:$B$64="Martins")*('Slaughterhouse IQC'!$F$6:$F$64="666541")*'Slaughterhouse IQC'!$I$6:$I$64)=0,"",SUMPRODUCT((LEFT('Slaughterhouse IQC'!$A$6:$A$64,7)="2026-06")*('Slaughterhouse IQC'!$B$6:$B$64="Martins")*('Slaughterhouse IQC'!$F$6:$F$64="666541")*'Slaughterhouse IQC'!$J$6:$J$64)/SUMPRODUCT((LEFT('Slaughterhouse IQC'!$A$6:$A$64,7)="2026-06")*('Slaughterhouse IQC'!$B$6:$B$64="Martins")*('Slaughterhouse IQC'!$F$6:$F$64="666541")*'Slaughterhouse IQC'!$I$6:$I$64))</f>
        <v>0.94736842105263153</v>
      </c>
      <c r="E6" s="20">
        <f>IF(SUMPRODUCT((LEFT('Slaughterhouse IQC'!$A$6:$A$64,7)="2026-07")*('Slaughterhouse IQC'!$B$6:$B$64="Martins")*('Slaughterhouse IQC'!$F$6:$F$64="666541")*'Slaughterhouse IQC'!$I$6:$I$64)=0,"",SUMPRODUCT((LEFT('Slaughterhouse IQC'!$A$6:$A$64,7)="2026-07")*('Slaughterhouse IQC'!$B$6:$B$64="Martins")*('Slaughterhouse IQC'!$F$6:$F$64="666541")*'Slaughterhouse IQC'!$J$6:$J$64)/SUMPRODUCT((LEFT('Slaughterhouse IQC'!$A$6:$A$64,7)="2026-07")*('Slaughterhouse IQC'!$B$6:$B$64="Martins")*('Slaughterhouse IQC'!$F$6:$F$64="666541")*'Slaughterhouse IQC'!$I$6:$I$64))</f>
        <v>0.96273291925465843</v>
      </c>
      <c r="F6" s="20">
        <f>IF(SUMPRODUCT((LEFT('Slaughterhouse IQC'!$A$6:$A$64,7)="2026-08")*('Slaughterhouse IQC'!$B$6:$B$64="Martins")*('Slaughterhouse IQC'!$F$6:$F$64="666541")*'Slaughterhouse IQC'!$I$6:$I$64)=0,"",SUMPRODUCT((LEFT('Slaughterhouse IQC'!$A$6:$A$64,7)="2026-08")*('Slaughterhouse IQC'!$B$6:$B$64="Martins")*('Slaughterhouse IQC'!$F$6:$F$64="666541")*'Slaughterhouse IQC'!$J$6:$J$64)/SUMPRODUCT((LEFT('Slaughterhouse IQC'!$A$6:$A$64,7)="2026-08")*('Slaughterhouse IQC'!$B$6:$B$64="Martins")*('Slaughterhouse IQC'!$F$6:$F$64="666541")*'Slaughterhouse IQC'!$I$6:$I$64))</f>
        <v>0.96350364963503654</v>
      </c>
      <c r="G6" s="20">
        <f>IF(SUMPRODUCT(('Slaughterhouse IQC'!$B$6:$B$64="Martins")*('Slaughterhouse IQC'!$F$6:$F$64="666541")*'Slaughterhouse IQC'!$I$6:$I$64)=0,"",SUMPRODUCT(('Slaughterhouse IQC'!$B$6:$B$64="Martins")*('Slaughterhouse IQC'!$F$6:$F$64="666541")*'Slaughterhouse IQC'!$J$6:$J$64)/SUMPRODUCT(('Slaughterhouse IQC'!$B$6:$B$64="Martins")*('Slaughterhouse IQC'!$F$6:$F$64="666541")*'Slaughterhouse IQC'!$I$6:$I$64))</f>
        <v>0.95039164490861616</v>
      </c>
    </row>
    <row r="7" spans="1:7" x14ac:dyDescent="0.3">
      <c r="A7" s="16" t="s">
        <v>296</v>
      </c>
      <c r="B7" s="20">
        <f>IF(SUMPRODUCT((LEFT('Slaughterhouse IQC'!$A$6:$A$64,7)="2026-04")*('Slaughterhouse IQC'!$B$6:$B$64="Martins")*('Slaughterhouse IQC'!$F$6:$F$64="666506")*'Slaughterhouse IQC'!$I$6:$I$64)=0,"",SUMPRODUCT((LEFT('Slaughterhouse IQC'!$A$6:$A$64,7)="2026-04")*('Slaughterhouse IQC'!$B$6:$B$64="Martins")*('Slaughterhouse IQC'!$F$6:$F$64="666506")*'Slaughterhouse IQC'!$J$6:$J$64)/SUMPRODUCT((LEFT('Slaughterhouse IQC'!$A$6:$A$64,7)="2026-04")*('Slaughterhouse IQC'!$B$6:$B$64="Martins")*('Slaughterhouse IQC'!$F$6:$F$64="666506")*'Slaughterhouse IQC'!$I$6:$I$64))</f>
        <v>0.93220338983050843</v>
      </c>
      <c r="C7" s="20">
        <f>IF(SUMPRODUCT((LEFT('Slaughterhouse IQC'!$A$6:$A$64,7)="2026-05")*('Slaughterhouse IQC'!$B$6:$B$64="Martins")*('Slaughterhouse IQC'!$F$6:$F$64="666506")*'Slaughterhouse IQC'!$I$6:$I$64)=0,"",SUMPRODUCT((LEFT('Slaughterhouse IQC'!$A$6:$A$64,7)="2026-05")*('Slaughterhouse IQC'!$B$6:$B$64="Martins")*('Slaughterhouse IQC'!$F$6:$F$64="666506")*'Slaughterhouse IQC'!$J$6:$J$64)/SUMPRODUCT((LEFT('Slaughterhouse IQC'!$A$6:$A$64,7)="2026-05")*('Slaughterhouse IQC'!$B$6:$B$64="Martins")*('Slaughterhouse IQC'!$F$6:$F$64="666506")*'Slaughterhouse IQC'!$I$6:$I$64))</f>
        <v>0.94915254237288138</v>
      </c>
      <c r="D7" s="20">
        <f>IF(SUMPRODUCT((LEFT('Slaughterhouse IQC'!$A$6:$A$64,7)="2026-06")*('Slaughterhouse IQC'!$B$6:$B$64="Martins")*('Slaughterhouse IQC'!$F$6:$F$64="666506")*'Slaughterhouse IQC'!$I$6:$I$64)=0,"",SUMPRODUCT((LEFT('Slaughterhouse IQC'!$A$6:$A$64,7)="2026-06")*('Slaughterhouse IQC'!$B$6:$B$64="Martins")*('Slaughterhouse IQC'!$F$6:$F$64="666506")*'Slaughterhouse IQC'!$J$6:$J$64)/SUMPRODUCT((LEFT('Slaughterhouse IQC'!$A$6:$A$64,7)="2026-06")*('Slaughterhouse IQC'!$B$6:$B$64="Martins")*('Slaughterhouse IQC'!$F$6:$F$64="666506")*'Slaughterhouse IQC'!$I$6:$I$64))</f>
        <v>0.98113207547169812</v>
      </c>
      <c r="E7" s="20">
        <f>IF(SUMPRODUCT((LEFT('Slaughterhouse IQC'!$A$6:$A$64,7)="2026-07")*('Slaughterhouse IQC'!$B$6:$B$64="Martins")*('Slaughterhouse IQC'!$F$6:$F$64="666506")*'Slaughterhouse IQC'!$I$6:$I$64)=0,"",SUMPRODUCT((LEFT('Slaughterhouse IQC'!$A$6:$A$64,7)="2026-07")*('Slaughterhouse IQC'!$B$6:$B$64="Martins")*('Slaughterhouse IQC'!$F$6:$F$64="666506")*'Slaughterhouse IQC'!$J$6:$J$64)/SUMPRODUCT((LEFT('Slaughterhouse IQC'!$A$6:$A$64,7)="2026-07")*('Slaughterhouse IQC'!$B$6:$B$64="Martins")*('Slaughterhouse IQC'!$F$6:$F$64="666506")*'Slaughterhouse IQC'!$I$6:$I$64))</f>
        <v>0.97468354430379744</v>
      </c>
      <c r="F7" s="20">
        <f>IF(SUMPRODUCT((LEFT('Slaughterhouse IQC'!$A$6:$A$64,7)="2026-08")*('Slaughterhouse IQC'!$B$6:$B$64="Martins")*('Slaughterhouse IQC'!$F$6:$F$64="666506")*'Slaughterhouse IQC'!$I$6:$I$64)=0,"",SUMPRODUCT((LEFT('Slaughterhouse IQC'!$A$6:$A$64,7)="2026-08")*('Slaughterhouse IQC'!$B$6:$B$64="Martins")*('Slaughterhouse IQC'!$F$6:$F$64="666506")*'Slaughterhouse IQC'!$J$6:$J$64)/SUMPRODUCT((LEFT('Slaughterhouse IQC'!$A$6:$A$64,7)="2026-08")*('Slaughterhouse IQC'!$B$6:$B$64="Martins")*('Slaughterhouse IQC'!$F$6:$F$64="666506")*'Slaughterhouse IQC'!$I$6:$I$64))</f>
        <v>1</v>
      </c>
      <c r="G7" s="20">
        <f>IF(SUMPRODUCT(('Slaughterhouse IQC'!$B$6:$B$64="Martins")*('Slaughterhouse IQC'!$F$6:$F$64="666506")*'Slaughterhouse IQC'!$I$6:$I$64)=0,"",SUMPRODUCT(('Slaughterhouse IQC'!$B$6:$B$64="Martins")*('Slaughterhouse IQC'!$F$6:$F$64="666506")*'Slaughterhouse IQC'!$J$6:$J$64)/SUMPRODUCT(('Slaughterhouse IQC'!$B$6:$B$64="Martins")*('Slaughterhouse IQC'!$F$6:$F$64="666506")*'Slaughterhouse IQC'!$I$6:$I$64))</f>
        <v>0.95962732919254656</v>
      </c>
    </row>
    <row r="8" spans="1:7" x14ac:dyDescent="0.3">
      <c r="A8" s="16" t="s">
        <v>297</v>
      </c>
      <c r="B8" s="20" t="str">
        <f>IF(SUMPRODUCT((LEFT('Slaughterhouse IQC'!$A$6:$A$64,7)="2026-04")*('Slaughterhouse IQC'!$B$6:$B$64="Parks Family Meats")*('Slaughterhouse IQC'!$F$6:$F$64="666518")*'Slaughterhouse IQC'!$I$6:$I$64)=0,"",SUMPRODUCT((LEFT('Slaughterhouse IQC'!$A$6:$A$64,7)="2026-04")*('Slaughterhouse IQC'!$B$6:$B$64="Parks Family Meats")*('Slaughterhouse IQC'!$F$6:$F$64="666518")*'Slaughterhouse IQC'!$J$6:$J$64)/SUMPRODUCT((LEFT('Slaughterhouse IQC'!$A$6:$A$64,7)="2026-04")*('Slaughterhouse IQC'!$B$6:$B$64="Parks Family Meats")*('Slaughterhouse IQC'!$F$6:$F$64="666518")*'Slaughterhouse IQC'!$I$6:$I$64))</f>
        <v/>
      </c>
      <c r="C8" s="20">
        <f>IF(SUMPRODUCT((LEFT('Slaughterhouse IQC'!$A$6:$A$64,7)="2026-05")*('Slaughterhouse IQC'!$B$6:$B$64="Parks Family Meats")*('Slaughterhouse IQC'!$F$6:$F$64="666518")*'Slaughterhouse IQC'!$I$6:$I$64)=0,"",SUMPRODUCT((LEFT('Slaughterhouse IQC'!$A$6:$A$64,7)="2026-05")*('Slaughterhouse IQC'!$B$6:$B$64="Parks Family Meats")*('Slaughterhouse IQC'!$F$6:$F$64="666518")*'Slaughterhouse IQC'!$J$6:$J$64)/SUMPRODUCT((LEFT('Slaughterhouse IQC'!$A$6:$A$64,7)="2026-05")*('Slaughterhouse IQC'!$B$6:$B$64="Parks Family Meats")*('Slaughterhouse IQC'!$F$6:$F$64="666518")*'Slaughterhouse IQC'!$I$6:$I$64))</f>
        <v>0.6875</v>
      </c>
      <c r="D8" s="20">
        <f>IF(SUMPRODUCT((LEFT('Slaughterhouse IQC'!$A$6:$A$64,7)="2026-06")*('Slaughterhouse IQC'!$B$6:$B$64="Parks Family Meats")*('Slaughterhouse IQC'!$F$6:$F$64="666518")*'Slaughterhouse IQC'!$I$6:$I$64)=0,"",SUMPRODUCT((LEFT('Slaughterhouse IQC'!$A$6:$A$64,7)="2026-06")*('Slaughterhouse IQC'!$B$6:$B$64="Parks Family Meats")*('Slaughterhouse IQC'!$F$6:$F$64="666518")*'Slaughterhouse IQC'!$J$6:$J$64)/SUMPRODUCT((LEFT('Slaughterhouse IQC'!$A$6:$A$64,7)="2026-06")*('Slaughterhouse IQC'!$B$6:$B$64="Parks Family Meats")*('Slaughterhouse IQC'!$F$6:$F$64="666518")*'Slaughterhouse IQC'!$I$6:$I$64))</f>
        <v>0.828125</v>
      </c>
      <c r="E8" s="20">
        <f>IF(SUMPRODUCT((LEFT('Slaughterhouse IQC'!$A$6:$A$64,7)="2026-07")*('Slaughterhouse IQC'!$B$6:$B$64="Parks Family Meats")*('Slaughterhouse IQC'!$F$6:$F$64="666518")*'Slaughterhouse IQC'!$I$6:$I$64)=0,"",SUMPRODUCT((LEFT('Slaughterhouse IQC'!$A$6:$A$64,7)="2026-07")*('Slaughterhouse IQC'!$B$6:$B$64="Parks Family Meats")*('Slaughterhouse IQC'!$F$6:$F$64="666518")*'Slaughterhouse IQC'!$J$6:$J$64)/SUMPRODUCT((LEFT('Slaughterhouse IQC'!$A$6:$A$64,7)="2026-07")*('Slaughterhouse IQC'!$B$6:$B$64="Parks Family Meats")*('Slaughterhouse IQC'!$F$6:$F$64="666518")*'Slaughterhouse IQC'!$I$6:$I$64))</f>
        <v>0.88495575221238942</v>
      </c>
      <c r="F8" s="20" t="str">
        <f>IF(SUMPRODUCT((LEFT('Slaughterhouse IQC'!$A$6:$A$64,7)="2026-08")*('Slaughterhouse IQC'!$B$6:$B$64="Parks Family Meats")*('Slaughterhouse IQC'!$F$6:$F$64="666518")*'Slaughterhouse IQC'!$I$6:$I$64)=0,"",SUMPRODUCT((LEFT('Slaughterhouse IQC'!$A$6:$A$64,7)="2026-08")*('Slaughterhouse IQC'!$B$6:$B$64="Parks Family Meats")*('Slaughterhouse IQC'!$F$6:$F$64="666518")*'Slaughterhouse IQC'!$J$6:$J$64)/SUMPRODUCT((LEFT('Slaughterhouse IQC'!$A$6:$A$64,7)="2026-08")*('Slaughterhouse IQC'!$B$6:$B$64="Parks Family Meats")*('Slaughterhouse IQC'!$F$6:$F$64="666518")*'Slaughterhouse IQC'!$I$6:$I$64))</f>
        <v/>
      </c>
      <c r="G8" s="20">
        <f>IF(SUMPRODUCT(('Slaughterhouse IQC'!$B$6:$B$64="Parks Family Meats")*('Slaughterhouse IQC'!$F$6:$F$64="666518")*'Slaughterhouse IQC'!$I$6:$I$64)=0,"",SUMPRODUCT(('Slaughterhouse IQC'!$B$6:$B$64="Parks Family Meats")*('Slaughterhouse IQC'!$F$6:$F$64="666518")*'Slaughterhouse IQC'!$J$6:$J$64)/SUMPRODUCT(('Slaughterhouse IQC'!$B$6:$B$64="Parks Family Meats")*('Slaughterhouse IQC'!$F$6:$F$64="666518")*'Slaughterhouse IQC'!$I$6:$I$64))</f>
        <v>0.8443579766536965</v>
      </c>
    </row>
    <row r="9" spans="1:7" x14ac:dyDescent="0.3">
      <c r="A9" s="16" t="s">
        <v>298</v>
      </c>
      <c r="B9" s="20" t="str">
        <f>IF(SUMPRODUCT((LEFT('Slaughterhouse IQC'!$A$6:$A$64,7)="2026-04")*('Slaughterhouse IQC'!$B$6:$B$64="Parks Family Meats")*('Slaughterhouse IQC'!$F$6:$F$64="666541")*'Slaughterhouse IQC'!$I$6:$I$64)=0,"",SUMPRODUCT((LEFT('Slaughterhouse IQC'!$A$6:$A$64,7)="2026-04")*('Slaughterhouse IQC'!$B$6:$B$64="Parks Family Meats")*('Slaughterhouse IQC'!$F$6:$F$64="666541")*'Slaughterhouse IQC'!$J$6:$J$64)/SUMPRODUCT((LEFT('Slaughterhouse IQC'!$A$6:$A$64,7)="2026-04")*('Slaughterhouse IQC'!$B$6:$B$64="Parks Family Meats")*('Slaughterhouse IQC'!$F$6:$F$64="666541")*'Slaughterhouse IQC'!$I$6:$I$64))</f>
        <v/>
      </c>
      <c r="C9" s="20" t="str">
        <f>IF(SUMPRODUCT((LEFT('Slaughterhouse IQC'!$A$6:$A$64,7)="2026-05")*('Slaughterhouse IQC'!$B$6:$B$64="Parks Family Meats")*('Slaughterhouse IQC'!$F$6:$F$64="666541")*'Slaughterhouse IQC'!$I$6:$I$64)=0,"",SUMPRODUCT((LEFT('Slaughterhouse IQC'!$A$6:$A$64,7)="2026-05")*('Slaughterhouse IQC'!$B$6:$B$64="Parks Family Meats")*('Slaughterhouse IQC'!$F$6:$F$64="666541")*'Slaughterhouse IQC'!$J$6:$J$64)/SUMPRODUCT((LEFT('Slaughterhouse IQC'!$A$6:$A$64,7)="2026-05")*('Slaughterhouse IQC'!$B$6:$B$64="Parks Family Meats")*('Slaughterhouse IQC'!$F$6:$F$64="666541")*'Slaughterhouse IQC'!$I$6:$I$64))</f>
        <v/>
      </c>
      <c r="D9" s="20" t="str">
        <f>IF(SUMPRODUCT((LEFT('Slaughterhouse IQC'!$A$6:$A$64,7)="2026-06")*('Slaughterhouse IQC'!$B$6:$B$64="Parks Family Meats")*('Slaughterhouse IQC'!$F$6:$F$64="666541")*'Slaughterhouse IQC'!$I$6:$I$64)=0,"",SUMPRODUCT((LEFT('Slaughterhouse IQC'!$A$6:$A$64,7)="2026-06")*('Slaughterhouse IQC'!$B$6:$B$64="Parks Family Meats")*('Slaughterhouse IQC'!$F$6:$F$64="666541")*'Slaughterhouse IQC'!$J$6:$J$64)/SUMPRODUCT((LEFT('Slaughterhouse IQC'!$A$6:$A$64,7)="2026-06")*('Slaughterhouse IQC'!$B$6:$B$64="Parks Family Meats")*('Slaughterhouse IQC'!$F$6:$F$64="666541")*'Slaughterhouse IQC'!$I$6:$I$64))</f>
        <v/>
      </c>
      <c r="E9" s="20" t="str">
        <f>IF(SUMPRODUCT((LEFT('Slaughterhouse IQC'!$A$6:$A$64,7)="2026-07")*('Slaughterhouse IQC'!$B$6:$B$64="Parks Family Meats")*('Slaughterhouse IQC'!$F$6:$F$64="666541")*'Slaughterhouse IQC'!$I$6:$I$64)=0,"",SUMPRODUCT((LEFT('Slaughterhouse IQC'!$A$6:$A$64,7)="2026-07")*('Slaughterhouse IQC'!$B$6:$B$64="Parks Family Meats")*('Slaughterhouse IQC'!$F$6:$F$64="666541")*'Slaughterhouse IQC'!$J$6:$J$64)/SUMPRODUCT((LEFT('Slaughterhouse IQC'!$A$6:$A$64,7)="2026-07")*('Slaughterhouse IQC'!$B$6:$B$64="Parks Family Meats")*('Slaughterhouse IQC'!$F$6:$F$64="666541")*'Slaughterhouse IQC'!$I$6:$I$64))</f>
        <v/>
      </c>
      <c r="F9" s="20">
        <f>IF(SUMPRODUCT((LEFT('Slaughterhouse IQC'!$A$6:$A$64,7)="2026-08")*('Slaughterhouse IQC'!$B$6:$B$64="Parks Family Meats")*('Slaughterhouse IQC'!$F$6:$F$64="666541")*'Slaughterhouse IQC'!$I$6:$I$64)=0,"",SUMPRODUCT((LEFT('Slaughterhouse IQC'!$A$6:$A$64,7)="2026-08")*('Slaughterhouse IQC'!$B$6:$B$64="Parks Family Meats")*('Slaughterhouse IQC'!$F$6:$F$64="666541")*'Slaughterhouse IQC'!$J$6:$J$64)/SUMPRODUCT((LEFT('Slaughterhouse IQC'!$A$6:$A$64,7)="2026-08")*('Slaughterhouse IQC'!$B$6:$B$64="Parks Family Meats")*('Slaughterhouse IQC'!$F$6:$F$64="666541")*'Slaughterhouse IQC'!$I$6:$I$64))</f>
        <v>0.96969696969696972</v>
      </c>
      <c r="G9" s="20">
        <f>IF(SUMPRODUCT(('Slaughterhouse IQC'!$B$6:$B$64="Parks Family Meats")*('Slaughterhouse IQC'!$F$6:$F$64="666541")*'Slaughterhouse IQC'!$I$6:$I$64)=0,"",SUMPRODUCT(('Slaughterhouse IQC'!$B$6:$B$64="Parks Family Meats")*('Slaughterhouse IQC'!$F$6:$F$64="666541")*'Slaughterhouse IQC'!$J$6:$J$64)/SUMPRODUCT(('Slaughterhouse IQC'!$B$6:$B$64="Parks Family Meats")*('Slaughterhouse IQC'!$F$6:$F$64="666541")*'Slaughterhouse IQC'!$I$6:$I$64))</f>
        <v>0.96969696969696972</v>
      </c>
    </row>
    <row r="10" spans="1:7" x14ac:dyDescent="0.3">
      <c r="A10" s="16" t="s">
        <v>299</v>
      </c>
      <c r="B10" s="20" t="str">
        <f>IF(SUMPRODUCT((LEFT('Slaughterhouse IQC'!$A$6:$A$64,7)="2026-04")*('Slaughterhouse IQC'!$B$6:$B$64="Nahunta")*('Slaughterhouse IQC'!$F$6:$F$64="666541")*'Slaughterhouse IQC'!$I$6:$I$64)=0,"",SUMPRODUCT((LEFT('Slaughterhouse IQC'!$A$6:$A$64,7)="2026-04")*('Slaughterhouse IQC'!$B$6:$B$64="Nahunta")*('Slaughterhouse IQC'!$F$6:$F$64="666541")*'Slaughterhouse IQC'!$J$6:$J$64)/SUMPRODUCT((LEFT('Slaughterhouse IQC'!$A$6:$A$64,7)="2026-04")*('Slaughterhouse IQC'!$B$6:$B$64="Nahunta")*('Slaughterhouse IQC'!$F$6:$F$64="666541")*'Slaughterhouse IQC'!$I$6:$I$64))</f>
        <v/>
      </c>
      <c r="C10" s="20" t="str">
        <f>IF(SUMPRODUCT((LEFT('Slaughterhouse IQC'!$A$6:$A$64,7)="2026-05")*('Slaughterhouse IQC'!$B$6:$B$64="Nahunta")*('Slaughterhouse IQC'!$F$6:$F$64="666541")*'Slaughterhouse IQC'!$I$6:$I$64)=0,"",SUMPRODUCT((LEFT('Slaughterhouse IQC'!$A$6:$A$64,7)="2026-05")*('Slaughterhouse IQC'!$B$6:$B$64="Nahunta")*('Slaughterhouse IQC'!$F$6:$F$64="666541")*'Slaughterhouse IQC'!$J$6:$J$64)/SUMPRODUCT((LEFT('Slaughterhouse IQC'!$A$6:$A$64,7)="2026-05")*('Slaughterhouse IQC'!$B$6:$B$64="Nahunta")*('Slaughterhouse IQC'!$F$6:$F$64="666541")*'Slaughterhouse IQC'!$I$6:$I$64))</f>
        <v/>
      </c>
      <c r="D10" s="20" t="str">
        <f>IF(SUMPRODUCT((LEFT('Slaughterhouse IQC'!$A$6:$A$64,7)="2026-06")*('Slaughterhouse IQC'!$B$6:$B$64="Nahunta")*('Slaughterhouse IQC'!$F$6:$F$64="666541")*'Slaughterhouse IQC'!$I$6:$I$64)=0,"",SUMPRODUCT((LEFT('Slaughterhouse IQC'!$A$6:$A$64,7)="2026-06")*('Slaughterhouse IQC'!$B$6:$B$64="Nahunta")*('Slaughterhouse IQC'!$F$6:$F$64="666541")*'Slaughterhouse IQC'!$J$6:$J$64)/SUMPRODUCT((LEFT('Slaughterhouse IQC'!$A$6:$A$64,7)="2026-06")*('Slaughterhouse IQC'!$B$6:$B$64="Nahunta")*('Slaughterhouse IQC'!$F$6:$F$64="666541")*'Slaughterhouse IQC'!$I$6:$I$64))</f>
        <v/>
      </c>
      <c r="E10" s="20">
        <f>IF(SUMPRODUCT((LEFT('Slaughterhouse IQC'!$A$6:$A$64,7)="2026-07")*('Slaughterhouse IQC'!$B$6:$B$64="Nahunta")*('Slaughterhouse IQC'!$F$6:$F$64="666541")*'Slaughterhouse IQC'!$I$6:$I$64)=0,"",SUMPRODUCT((LEFT('Slaughterhouse IQC'!$A$6:$A$64,7)="2026-07")*('Slaughterhouse IQC'!$B$6:$B$64="Nahunta")*('Slaughterhouse IQC'!$F$6:$F$64="666541")*'Slaughterhouse IQC'!$J$6:$J$64)/SUMPRODUCT((LEFT('Slaughterhouse IQC'!$A$6:$A$64,7)="2026-07")*('Slaughterhouse IQC'!$B$6:$B$64="Nahunta")*('Slaughterhouse IQC'!$F$6:$F$64="666541")*'Slaughterhouse IQC'!$I$6:$I$64))</f>
        <v>1</v>
      </c>
      <c r="F10" s="20">
        <f>IF(SUMPRODUCT((LEFT('Slaughterhouse IQC'!$A$6:$A$64,7)="2026-08")*('Slaughterhouse IQC'!$B$6:$B$64="Nahunta")*('Slaughterhouse IQC'!$F$6:$F$64="666541")*'Slaughterhouse IQC'!$I$6:$I$64)=0,"",SUMPRODUCT((LEFT('Slaughterhouse IQC'!$A$6:$A$64,7)="2026-08")*('Slaughterhouse IQC'!$B$6:$B$64="Nahunta")*('Slaughterhouse IQC'!$F$6:$F$64="666541")*'Slaughterhouse IQC'!$J$6:$J$64)/SUMPRODUCT((LEFT('Slaughterhouse IQC'!$A$6:$A$64,7)="2026-08")*('Slaughterhouse IQC'!$B$6:$B$64="Nahunta")*('Slaughterhouse IQC'!$F$6:$F$64="666541")*'Slaughterhouse IQC'!$I$6:$I$64))</f>
        <v>7.6923076923076927E-2</v>
      </c>
      <c r="G10" s="20">
        <f>IF(SUMPRODUCT(('Slaughterhouse IQC'!$B$6:$B$64="Nahunta")*('Slaughterhouse IQC'!$F$6:$F$64="666541")*'Slaughterhouse IQC'!$I$6:$I$64)=0,"",SUMPRODUCT(('Slaughterhouse IQC'!$B$6:$B$64="Nahunta")*('Slaughterhouse IQC'!$F$6:$F$64="666541")*'Slaughterhouse IQC'!$J$6:$J$64)/SUMPRODUCT(('Slaughterhouse IQC'!$B$6:$B$64="Nahunta")*('Slaughterhouse IQC'!$F$6:$F$64="666541")*'Slaughterhouse IQC'!$I$6:$I$64))</f>
        <v>0.14285714285714285</v>
      </c>
    </row>
    <row r="11" spans="1:7" x14ac:dyDescent="0.3">
      <c r="A11" s="16" t="s">
        <v>300</v>
      </c>
      <c r="B11" s="20" t="str">
        <f>IF(SUMPRODUCT((LEFT('Slaughterhouse IQC'!$A$6:$A$64,7)="2026-04")*('Slaughterhouse IQC'!$B$6:$B$64="Nahunta")*('Slaughterhouse IQC'!$F$6:$F$64="666521")*'Slaughterhouse IQC'!$I$6:$I$64)=0,"",SUMPRODUCT((LEFT('Slaughterhouse IQC'!$A$6:$A$64,7)="2026-04")*('Slaughterhouse IQC'!$B$6:$B$64="Nahunta")*('Slaughterhouse IQC'!$F$6:$F$64="666521")*'Slaughterhouse IQC'!$J$6:$J$64)/SUMPRODUCT((LEFT('Slaughterhouse IQC'!$A$6:$A$64,7)="2026-04")*('Slaughterhouse IQC'!$B$6:$B$64="Nahunta")*('Slaughterhouse IQC'!$F$6:$F$64="666521")*'Slaughterhouse IQC'!$I$6:$I$64))</f>
        <v/>
      </c>
      <c r="C11" s="20" t="str">
        <f>IF(SUMPRODUCT((LEFT('Slaughterhouse IQC'!$A$6:$A$64,7)="2026-05")*('Slaughterhouse IQC'!$B$6:$B$64="Nahunta")*('Slaughterhouse IQC'!$F$6:$F$64="666521")*'Slaughterhouse IQC'!$I$6:$I$64)=0,"",SUMPRODUCT((LEFT('Slaughterhouse IQC'!$A$6:$A$64,7)="2026-05")*('Slaughterhouse IQC'!$B$6:$B$64="Nahunta")*('Slaughterhouse IQC'!$F$6:$F$64="666521")*'Slaughterhouse IQC'!$J$6:$J$64)/SUMPRODUCT((LEFT('Slaughterhouse IQC'!$A$6:$A$64,7)="2026-05")*('Slaughterhouse IQC'!$B$6:$B$64="Nahunta")*('Slaughterhouse IQC'!$F$6:$F$64="666521")*'Slaughterhouse IQC'!$I$6:$I$64))</f>
        <v/>
      </c>
      <c r="D11" s="20" t="str">
        <f>IF(SUMPRODUCT((LEFT('Slaughterhouse IQC'!$A$6:$A$64,7)="2026-06")*('Slaughterhouse IQC'!$B$6:$B$64="Nahunta")*('Slaughterhouse IQC'!$F$6:$F$64="666521")*'Slaughterhouse IQC'!$I$6:$I$64)=0,"",SUMPRODUCT((LEFT('Slaughterhouse IQC'!$A$6:$A$64,7)="2026-06")*('Slaughterhouse IQC'!$B$6:$B$64="Nahunta")*('Slaughterhouse IQC'!$F$6:$F$64="666521")*'Slaughterhouse IQC'!$J$6:$J$64)/SUMPRODUCT((LEFT('Slaughterhouse IQC'!$A$6:$A$64,7)="2026-06")*('Slaughterhouse IQC'!$B$6:$B$64="Nahunta")*('Slaughterhouse IQC'!$F$6:$F$64="666521")*'Slaughterhouse IQC'!$I$6:$I$64))</f>
        <v/>
      </c>
      <c r="E11" s="20">
        <f>IF(SUMPRODUCT((LEFT('Slaughterhouse IQC'!$A$6:$A$64,7)="2026-07")*('Slaughterhouse IQC'!$B$6:$B$64="Nahunta")*('Slaughterhouse IQC'!$F$6:$F$64="666521")*'Slaughterhouse IQC'!$I$6:$I$64)=0,"",SUMPRODUCT((LEFT('Slaughterhouse IQC'!$A$6:$A$64,7)="2026-07")*('Slaughterhouse IQC'!$B$6:$B$64="Nahunta")*('Slaughterhouse IQC'!$F$6:$F$64="666521")*'Slaughterhouse IQC'!$J$6:$J$64)/SUMPRODUCT((LEFT('Slaughterhouse IQC'!$A$6:$A$64,7)="2026-07")*('Slaughterhouse IQC'!$B$6:$B$64="Nahunta")*('Slaughterhouse IQC'!$F$6:$F$64="666521")*'Slaughterhouse IQC'!$I$6:$I$64))</f>
        <v>0.31578947368421051</v>
      </c>
      <c r="F11" s="20">
        <f>IF(SUMPRODUCT((LEFT('Slaughterhouse IQC'!$A$6:$A$64,7)="2026-08")*('Slaughterhouse IQC'!$B$6:$B$64="Nahunta")*('Slaughterhouse IQC'!$F$6:$F$64="666521")*'Slaughterhouse IQC'!$I$6:$I$64)=0,"",SUMPRODUCT((LEFT('Slaughterhouse IQC'!$A$6:$A$64,7)="2026-08")*('Slaughterhouse IQC'!$B$6:$B$64="Nahunta")*('Slaughterhouse IQC'!$F$6:$F$64="666521")*'Slaughterhouse IQC'!$J$6:$J$64)/SUMPRODUCT((LEFT('Slaughterhouse IQC'!$A$6:$A$64,7)="2026-08")*('Slaughterhouse IQC'!$B$6:$B$64="Nahunta")*('Slaughterhouse IQC'!$F$6:$F$64="666521")*'Slaughterhouse IQC'!$I$6:$I$64))</f>
        <v>0.14035087719298245</v>
      </c>
      <c r="G11" s="20">
        <f>IF(SUMPRODUCT(('Slaughterhouse IQC'!$B$6:$B$64="Nahunta")*('Slaughterhouse IQC'!$F$6:$F$64="666521")*'Slaughterhouse IQC'!$I$6:$I$64)=0,"",SUMPRODUCT(('Slaughterhouse IQC'!$B$6:$B$64="Nahunta")*('Slaughterhouse IQC'!$F$6:$F$64="666521")*'Slaughterhouse IQC'!$J$6:$J$64)/SUMPRODUCT(('Slaughterhouse IQC'!$B$6:$B$64="Nahunta")*('Slaughterhouse IQC'!$F$6:$F$64="666521")*'Slaughterhouse IQC'!$I$6:$I$64))</f>
        <v>0.18421052631578946</v>
      </c>
    </row>
    <row r="13" spans="1:7" ht="18" customHeight="1" x14ac:dyDescent="0.3">
      <c r="A13" s="9" t="s">
        <v>301</v>
      </c>
      <c r="B13" s="11"/>
      <c r="C13" s="11"/>
      <c r="D13" s="11"/>
      <c r="E13" s="11"/>
      <c r="F13" s="11"/>
      <c r="G13" s="11"/>
    </row>
    <row r="14" spans="1:7" x14ac:dyDescent="0.3">
      <c r="A14" s="18" t="s">
        <v>289</v>
      </c>
      <c r="B14" s="18" t="s">
        <v>290</v>
      </c>
      <c r="C14" s="18" t="s">
        <v>291</v>
      </c>
      <c r="D14" s="18" t="s">
        <v>292</v>
      </c>
      <c r="E14" s="18" t="s">
        <v>293</v>
      </c>
      <c r="F14" s="18" t="s">
        <v>294</v>
      </c>
      <c r="G14" s="18" t="s">
        <v>4</v>
      </c>
    </row>
    <row r="15" spans="1:7" x14ac:dyDescent="0.3">
      <c r="A15" s="16" t="s">
        <v>295</v>
      </c>
      <c r="B15" s="17">
        <f>IF(SUMPRODUCT((LEFT('Slaughterhouse IQC'!$A$6:$A$64,7)="2026-04")*('Slaughterhouse IQC'!$B$6:$B$64="Martins")*('Slaughterhouse IQC'!$F$6:$F$64="666541")*'Slaughterhouse IQC'!$I$6:$I$64)=0,"",SUMPRODUCT((LEFT('Slaughterhouse IQC'!$A$6:$A$64,7)="2026-04")*('Slaughterhouse IQC'!$B$6:$B$64="Martins")*('Slaughterhouse IQC'!$F$6:$F$64="666541")*'Slaughterhouse IQC'!$K$6:$K$64))</f>
        <v>6</v>
      </c>
      <c r="C15" s="17">
        <f>IF(SUMPRODUCT((LEFT('Slaughterhouse IQC'!$A$6:$A$64,7)="2026-05")*('Slaughterhouse IQC'!$B$6:$B$64="Martins")*('Slaughterhouse IQC'!$F$6:$F$64="666541")*'Slaughterhouse IQC'!$I$6:$I$64)=0,"",SUMPRODUCT((LEFT('Slaughterhouse IQC'!$A$6:$A$64,7)="2026-05")*('Slaughterhouse IQC'!$B$6:$B$64="Martins")*('Slaughterhouse IQC'!$F$6:$F$64="666541")*'Slaughterhouse IQC'!$K$6:$K$64))</f>
        <v>13</v>
      </c>
      <c r="D15" s="17">
        <f>IF(SUMPRODUCT((LEFT('Slaughterhouse IQC'!$A$6:$A$64,7)="2026-06")*('Slaughterhouse IQC'!$B$6:$B$64="Martins")*('Slaughterhouse IQC'!$F$6:$F$64="666541")*'Slaughterhouse IQC'!$I$6:$I$64)=0,"",SUMPRODUCT((LEFT('Slaughterhouse IQC'!$A$6:$A$64,7)="2026-06")*('Slaughterhouse IQC'!$B$6:$B$64="Martins")*('Slaughterhouse IQC'!$F$6:$F$64="666541")*'Slaughterhouse IQC'!$K$6:$K$64))</f>
        <v>8</v>
      </c>
      <c r="E15" s="17">
        <f>IF(SUMPRODUCT((LEFT('Slaughterhouse IQC'!$A$6:$A$64,7)="2026-07")*('Slaughterhouse IQC'!$B$6:$B$64="Martins")*('Slaughterhouse IQC'!$F$6:$F$64="666541")*'Slaughterhouse IQC'!$I$6:$I$64)=0,"",SUMPRODUCT((LEFT('Slaughterhouse IQC'!$A$6:$A$64,7)="2026-07")*('Slaughterhouse IQC'!$B$6:$B$64="Martins")*('Slaughterhouse IQC'!$F$6:$F$64="666541")*'Slaughterhouse IQC'!$K$6:$K$64))</f>
        <v>6</v>
      </c>
      <c r="F15" s="17">
        <f>IF(SUMPRODUCT((LEFT('Slaughterhouse IQC'!$A$6:$A$64,7)="2026-08")*('Slaughterhouse IQC'!$B$6:$B$64="Martins")*('Slaughterhouse IQC'!$F$6:$F$64="666541")*'Slaughterhouse IQC'!$I$6:$I$64)=0,"",SUMPRODUCT((LEFT('Slaughterhouse IQC'!$A$6:$A$64,7)="2026-08")*('Slaughterhouse IQC'!$B$6:$B$64="Martins")*('Slaughterhouse IQC'!$F$6:$F$64="666541")*'Slaughterhouse IQC'!$K$6:$K$64))</f>
        <v>5</v>
      </c>
      <c r="G15" s="17">
        <f>SUMPRODUCT(('Slaughterhouse IQC'!$B$6:$B$64="Martins")*('Slaughterhouse IQC'!$F$6:$F$64="666541")*'Slaughterhouse IQC'!$K$6:$K$64)</f>
        <v>38</v>
      </c>
    </row>
    <row r="16" spans="1:7" x14ac:dyDescent="0.3">
      <c r="A16" s="16" t="s">
        <v>296</v>
      </c>
      <c r="B16" s="17">
        <f>IF(SUMPRODUCT((LEFT('Slaughterhouse IQC'!$A$6:$A$64,7)="2026-04")*('Slaughterhouse IQC'!$B$6:$B$64="Martins")*('Slaughterhouse IQC'!$F$6:$F$64="666506")*'Slaughterhouse IQC'!$I$6:$I$64)=0,"",SUMPRODUCT((LEFT('Slaughterhouse IQC'!$A$6:$A$64,7)="2026-04")*('Slaughterhouse IQC'!$B$6:$B$64="Martins")*('Slaughterhouse IQC'!$F$6:$F$64="666506")*'Slaughterhouse IQC'!$K$6:$K$64))</f>
        <v>4</v>
      </c>
      <c r="C16" s="17">
        <f>IF(SUMPRODUCT((LEFT('Slaughterhouse IQC'!$A$6:$A$64,7)="2026-05")*('Slaughterhouse IQC'!$B$6:$B$64="Martins")*('Slaughterhouse IQC'!$F$6:$F$64="666506")*'Slaughterhouse IQC'!$I$6:$I$64)=0,"",SUMPRODUCT((LEFT('Slaughterhouse IQC'!$A$6:$A$64,7)="2026-05")*('Slaughterhouse IQC'!$B$6:$B$64="Martins")*('Slaughterhouse IQC'!$F$6:$F$64="666506")*'Slaughterhouse IQC'!$K$6:$K$64))</f>
        <v>6</v>
      </c>
      <c r="D16" s="17">
        <f>IF(SUMPRODUCT((LEFT('Slaughterhouse IQC'!$A$6:$A$64,7)="2026-06")*('Slaughterhouse IQC'!$B$6:$B$64="Martins")*('Slaughterhouse IQC'!$F$6:$F$64="666506")*'Slaughterhouse IQC'!$I$6:$I$64)=0,"",SUMPRODUCT((LEFT('Slaughterhouse IQC'!$A$6:$A$64,7)="2026-06")*('Slaughterhouse IQC'!$B$6:$B$64="Martins")*('Slaughterhouse IQC'!$F$6:$F$64="666506")*'Slaughterhouse IQC'!$K$6:$K$64))</f>
        <v>1</v>
      </c>
      <c r="E16" s="17">
        <f>IF(SUMPRODUCT((LEFT('Slaughterhouse IQC'!$A$6:$A$64,7)="2026-07")*('Slaughterhouse IQC'!$B$6:$B$64="Martins")*('Slaughterhouse IQC'!$F$6:$F$64="666506")*'Slaughterhouse IQC'!$I$6:$I$64)=0,"",SUMPRODUCT((LEFT('Slaughterhouse IQC'!$A$6:$A$64,7)="2026-07")*('Slaughterhouse IQC'!$B$6:$B$64="Martins")*('Slaughterhouse IQC'!$F$6:$F$64="666506")*'Slaughterhouse IQC'!$K$6:$K$64))</f>
        <v>2</v>
      </c>
      <c r="F16" s="17">
        <f>IF(SUMPRODUCT((LEFT('Slaughterhouse IQC'!$A$6:$A$64,7)="2026-08")*('Slaughterhouse IQC'!$B$6:$B$64="Martins")*('Slaughterhouse IQC'!$F$6:$F$64="666506")*'Slaughterhouse IQC'!$I$6:$I$64)=0,"",SUMPRODUCT((LEFT('Slaughterhouse IQC'!$A$6:$A$64,7)="2026-08")*('Slaughterhouse IQC'!$B$6:$B$64="Martins")*('Slaughterhouse IQC'!$F$6:$F$64="666506")*'Slaughterhouse IQC'!$K$6:$K$64))</f>
        <v>0</v>
      </c>
      <c r="G16" s="17">
        <f>SUMPRODUCT(('Slaughterhouse IQC'!$B$6:$B$64="Martins")*('Slaughterhouse IQC'!$F$6:$F$64="666506")*'Slaughterhouse IQC'!$K$6:$K$64)</f>
        <v>13</v>
      </c>
    </row>
    <row r="17" spans="1:7" x14ac:dyDescent="0.3">
      <c r="A17" s="16" t="s">
        <v>297</v>
      </c>
      <c r="B17" s="17" t="str">
        <f>IF(SUMPRODUCT((LEFT('Slaughterhouse IQC'!$A$6:$A$64,7)="2026-04")*('Slaughterhouse IQC'!$B$6:$B$64="Parks Family Meats")*('Slaughterhouse IQC'!$F$6:$F$64="666518")*'Slaughterhouse IQC'!$I$6:$I$64)=0,"",SUMPRODUCT((LEFT('Slaughterhouse IQC'!$A$6:$A$64,7)="2026-04")*('Slaughterhouse IQC'!$B$6:$B$64="Parks Family Meats")*('Slaughterhouse IQC'!$F$6:$F$64="666518")*'Slaughterhouse IQC'!$K$6:$K$64))</f>
        <v/>
      </c>
      <c r="C17" s="17">
        <f>IF(SUMPRODUCT((LEFT('Slaughterhouse IQC'!$A$6:$A$64,7)="2026-05")*('Slaughterhouse IQC'!$B$6:$B$64="Parks Family Meats")*('Slaughterhouse IQC'!$F$6:$F$64="666518")*'Slaughterhouse IQC'!$I$6:$I$64)=0,"",SUMPRODUCT((LEFT('Slaughterhouse IQC'!$A$6:$A$64,7)="2026-05")*('Slaughterhouse IQC'!$B$6:$B$64="Parks Family Meats")*('Slaughterhouse IQC'!$F$6:$F$64="666518")*'Slaughterhouse IQC'!$K$6:$K$64))</f>
        <v>5</v>
      </c>
      <c r="D17" s="17">
        <f>IF(SUMPRODUCT((LEFT('Slaughterhouse IQC'!$A$6:$A$64,7)="2026-06")*('Slaughterhouse IQC'!$B$6:$B$64="Parks Family Meats")*('Slaughterhouse IQC'!$F$6:$F$64="666518")*'Slaughterhouse IQC'!$I$6:$I$64)=0,"",SUMPRODUCT((LEFT('Slaughterhouse IQC'!$A$6:$A$64,7)="2026-06")*('Slaughterhouse IQC'!$B$6:$B$64="Parks Family Meats")*('Slaughterhouse IQC'!$F$6:$F$64="666518")*'Slaughterhouse IQC'!$K$6:$K$64))</f>
        <v>22</v>
      </c>
      <c r="E17" s="17">
        <f>IF(SUMPRODUCT((LEFT('Slaughterhouse IQC'!$A$6:$A$64,7)="2026-07")*('Slaughterhouse IQC'!$B$6:$B$64="Parks Family Meats")*('Slaughterhouse IQC'!$F$6:$F$64="666518")*'Slaughterhouse IQC'!$I$6:$I$64)=0,"",SUMPRODUCT((LEFT('Slaughterhouse IQC'!$A$6:$A$64,7)="2026-07")*('Slaughterhouse IQC'!$B$6:$B$64="Parks Family Meats")*('Slaughterhouse IQC'!$F$6:$F$64="666518")*'Slaughterhouse IQC'!$K$6:$K$64))</f>
        <v>13</v>
      </c>
      <c r="F17" s="17" t="str">
        <f>IF(SUMPRODUCT((LEFT('Slaughterhouse IQC'!$A$6:$A$64,7)="2026-08")*('Slaughterhouse IQC'!$B$6:$B$64="Parks Family Meats")*('Slaughterhouse IQC'!$F$6:$F$64="666518")*'Slaughterhouse IQC'!$I$6:$I$64)=0,"",SUMPRODUCT((LEFT('Slaughterhouse IQC'!$A$6:$A$64,7)="2026-08")*('Slaughterhouse IQC'!$B$6:$B$64="Parks Family Meats")*('Slaughterhouse IQC'!$F$6:$F$64="666518")*'Slaughterhouse IQC'!$K$6:$K$64))</f>
        <v/>
      </c>
      <c r="G17" s="17">
        <f>SUMPRODUCT(('Slaughterhouse IQC'!$B$6:$B$64="Parks Family Meats")*('Slaughterhouse IQC'!$F$6:$F$64="666518")*'Slaughterhouse IQC'!$K$6:$K$64)</f>
        <v>40</v>
      </c>
    </row>
    <row r="18" spans="1:7" x14ac:dyDescent="0.3">
      <c r="A18" s="16" t="s">
        <v>298</v>
      </c>
      <c r="B18" s="17" t="str">
        <f>IF(SUMPRODUCT((LEFT('Slaughterhouse IQC'!$A$6:$A$64,7)="2026-04")*('Slaughterhouse IQC'!$B$6:$B$64="Parks Family Meats")*('Slaughterhouse IQC'!$F$6:$F$64="666541")*'Slaughterhouse IQC'!$I$6:$I$64)=0,"",SUMPRODUCT((LEFT('Slaughterhouse IQC'!$A$6:$A$64,7)="2026-04")*('Slaughterhouse IQC'!$B$6:$B$64="Parks Family Meats")*('Slaughterhouse IQC'!$F$6:$F$64="666541")*'Slaughterhouse IQC'!$K$6:$K$64))</f>
        <v/>
      </c>
      <c r="C18" s="17" t="str">
        <f>IF(SUMPRODUCT((LEFT('Slaughterhouse IQC'!$A$6:$A$64,7)="2026-05")*('Slaughterhouse IQC'!$B$6:$B$64="Parks Family Meats")*('Slaughterhouse IQC'!$F$6:$F$64="666541")*'Slaughterhouse IQC'!$I$6:$I$64)=0,"",SUMPRODUCT((LEFT('Slaughterhouse IQC'!$A$6:$A$64,7)="2026-05")*('Slaughterhouse IQC'!$B$6:$B$64="Parks Family Meats")*('Slaughterhouse IQC'!$F$6:$F$64="666541")*'Slaughterhouse IQC'!$K$6:$K$64))</f>
        <v/>
      </c>
      <c r="D18" s="17" t="str">
        <f>IF(SUMPRODUCT((LEFT('Slaughterhouse IQC'!$A$6:$A$64,7)="2026-06")*('Slaughterhouse IQC'!$B$6:$B$64="Parks Family Meats")*('Slaughterhouse IQC'!$F$6:$F$64="666541")*'Slaughterhouse IQC'!$I$6:$I$64)=0,"",SUMPRODUCT((LEFT('Slaughterhouse IQC'!$A$6:$A$64,7)="2026-06")*('Slaughterhouse IQC'!$B$6:$B$64="Parks Family Meats")*('Slaughterhouse IQC'!$F$6:$F$64="666541")*'Slaughterhouse IQC'!$K$6:$K$64))</f>
        <v/>
      </c>
      <c r="E18" s="17" t="str">
        <f>IF(SUMPRODUCT((LEFT('Slaughterhouse IQC'!$A$6:$A$64,7)="2026-07")*('Slaughterhouse IQC'!$B$6:$B$64="Parks Family Meats")*('Slaughterhouse IQC'!$F$6:$F$64="666541")*'Slaughterhouse IQC'!$I$6:$I$64)=0,"",SUMPRODUCT((LEFT('Slaughterhouse IQC'!$A$6:$A$64,7)="2026-07")*('Slaughterhouse IQC'!$B$6:$B$64="Parks Family Meats")*('Slaughterhouse IQC'!$F$6:$F$64="666541")*'Slaughterhouse IQC'!$K$6:$K$64))</f>
        <v/>
      </c>
      <c r="F18" s="17">
        <f>IF(SUMPRODUCT((LEFT('Slaughterhouse IQC'!$A$6:$A$64,7)="2026-08")*('Slaughterhouse IQC'!$B$6:$B$64="Parks Family Meats")*('Slaughterhouse IQC'!$F$6:$F$64="666541")*'Slaughterhouse IQC'!$I$6:$I$64)=0,"",SUMPRODUCT((LEFT('Slaughterhouse IQC'!$A$6:$A$64,7)="2026-08")*('Slaughterhouse IQC'!$B$6:$B$64="Parks Family Meats")*('Slaughterhouse IQC'!$F$6:$F$64="666541")*'Slaughterhouse IQC'!$K$6:$K$64))</f>
        <v>1</v>
      </c>
      <c r="G18" s="17">
        <f>SUMPRODUCT(('Slaughterhouse IQC'!$B$6:$B$64="Parks Family Meats")*('Slaughterhouse IQC'!$F$6:$F$64="666541")*'Slaughterhouse IQC'!$K$6:$K$64)</f>
        <v>1</v>
      </c>
    </row>
    <row r="19" spans="1:7" x14ac:dyDescent="0.3">
      <c r="A19" s="16" t="s">
        <v>299</v>
      </c>
      <c r="B19" s="17" t="str">
        <f>IF(SUMPRODUCT((LEFT('Slaughterhouse IQC'!$A$6:$A$64,7)="2026-04")*('Slaughterhouse IQC'!$B$6:$B$64="Nahunta")*('Slaughterhouse IQC'!$F$6:$F$64="666541")*'Slaughterhouse IQC'!$I$6:$I$64)=0,"",SUMPRODUCT((LEFT('Slaughterhouse IQC'!$A$6:$A$64,7)="2026-04")*('Slaughterhouse IQC'!$B$6:$B$64="Nahunta")*('Slaughterhouse IQC'!$F$6:$F$64="666541")*'Slaughterhouse IQC'!$K$6:$K$64))</f>
        <v/>
      </c>
      <c r="C19" s="17" t="str">
        <f>IF(SUMPRODUCT((LEFT('Slaughterhouse IQC'!$A$6:$A$64,7)="2026-05")*('Slaughterhouse IQC'!$B$6:$B$64="Nahunta")*('Slaughterhouse IQC'!$F$6:$F$64="666541")*'Slaughterhouse IQC'!$I$6:$I$64)=0,"",SUMPRODUCT((LEFT('Slaughterhouse IQC'!$A$6:$A$64,7)="2026-05")*('Slaughterhouse IQC'!$B$6:$B$64="Nahunta")*('Slaughterhouse IQC'!$F$6:$F$64="666541")*'Slaughterhouse IQC'!$K$6:$K$64))</f>
        <v/>
      </c>
      <c r="D19" s="17" t="str">
        <f>IF(SUMPRODUCT((LEFT('Slaughterhouse IQC'!$A$6:$A$64,7)="2026-06")*('Slaughterhouse IQC'!$B$6:$B$64="Nahunta")*('Slaughterhouse IQC'!$F$6:$F$64="666541")*'Slaughterhouse IQC'!$I$6:$I$64)=0,"",SUMPRODUCT((LEFT('Slaughterhouse IQC'!$A$6:$A$64,7)="2026-06")*('Slaughterhouse IQC'!$B$6:$B$64="Nahunta")*('Slaughterhouse IQC'!$F$6:$F$64="666541")*'Slaughterhouse IQC'!$K$6:$K$64))</f>
        <v/>
      </c>
      <c r="E19" s="17">
        <f>IF(SUMPRODUCT((LEFT('Slaughterhouse IQC'!$A$6:$A$64,7)="2026-07")*('Slaughterhouse IQC'!$B$6:$B$64="Nahunta")*('Slaughterhouse IQC'!$F$6:$F$64="666541")*'Slaughterhouse IQC'!$I$6:$I$64)=0,"",SUMPRODUCT((LEFT('Slaughterhouse IQC'!$A$6:$A$64,7)="2026-07")*('Slaughterhouse IQC'!$B$6:$B$64="Nahunta")*('Slaughterhouse IQC'!$F$6:$F$64="666541")*'Slaughterhouse IQC'!$K$6:$K$64))</f>
        <v>0</v>
      </c>
      <c r="F19" s="17">
        <f>IF(SUMPRODUCT((LEFT('Slaughterhouse IQC'!$A$6:$A$64,7)="2026-08")*('Slaughterhouse IQC'!$B$6:$B$64="Nahunta")*('Slaughterhouse IQC'!$F$6:$F$64="666541")*'Slaughterhouse IQC'!$I$6:$I$64)=0,"",SUMPRODUCT((LEFT('Slaughterhouse IQC'!$A$6:$A$64,7)="2026-08")*('Slaughterhouse IQC'!$B$6:$B$64="Nahunta")*('Slaughterhouse IQC'!$F$6:$F$64="666541")*'Slaughterhouse IQC'!$K$6:$K$64))</f>
        <v>12</v>
      </c>
      <c r="G19" s="17">
        <f>SUMPRODUCT(('Slaughterhouse IQC'!$B$6:$B$64="Nahunta")*('Slaughterhouse IQC'!$F$6:$F$64="666541")*'Slaughterhouse IQC'!$K$6:$K$64)</f>
        <v>12</v>
      </c>
    </row>
    <row r="20" spans="1:7" x14ac:dyDescent="0.3">
      <c r="A20" s="16" t="s">
        <v>300</v>
      </c>
      <c r="B20" s="17" t="str">
        <f>IF(SUMPRODUCT((LEFT('Slaughterhouse IQC'!$A$6:$A$64,7)="2026-04")*('Slaughterhouse IQC'!$B$6:$B$64="Nahunta")*('Slaughterhouse IQC'!$F$6:$F$64="666521")*'Slaughterhouse IQC'!$I$6:$I$64)=0,"",SUMPRODUCT((LEFT('Slaughterhouse IQC'!$A$6:$A$64,7)="2026-04")*('Slaughterhouse IQC'!$B$6:$B$64="Nahunta")*('Slaughterhouse IQC'!$F$6:$F$64="666521")*'Slaughterhouse IQC'!$K$6:$K$64))</f>
        <v/>
      </c>
      <c r="C20" s="17" t="str">
        <f>IF(SUMPRODUCT((LEFT('Slaughterhouse IQC'!$A$6:$A$64,7)="2026-05")*('Slaughterhouse IQC'!$B$6:$B$64="Nahunta")*('Slaughterhouse IQC'!$F$6:$F$64="666521")*'Slaughterhouse IQC'!$I$6:$I$64)=0,"",SUMPRODUCT((LEFT('Slaughterhouse IQC'!$A$6:$A$64,7)="2026-05")*('Slaughterhouse IQC'!$B$6:$B$64="Nahunta")*('Slaughterhouse IQC'!$F$6:$F$64="666521")*'Slaughterhouse IQC'!$K$6:$K$64))</f>
        <v/>
      </c>
      <c r="D20" s="17" t="str">
        <f>IF(SUMPRODUCT((LEFT('Slaughterhouse IQC'!$A$6:$A$64,7)="2026-06")*('Slaughterhouse IQC'!$B$6:$B$64="Nahunta")*('Slaughterhouse IQC'!$F$6:$F$64="666521")*'Slaughterhouse IQC'!$I$6:$I$64)=0,"",SUMPRODUCT((LEFT('Slaughterhouse IQC'!$A$6:$A$64,7)="2026-06")*('Slaughterhouse IQC'!$B$6:$B$64="Nahunta")*('Slaughterhouse IQC'!$F$6:$F$64="666521")*'Slaughterhouse IQC'!$K$6:$K$64))</f>
        <v/>
      </c>
      <c r="E20" s="17">
        <f>IF(SUMPRODUCT((LEFT('Slaughterhouse IQC'!$A$6:$A$64,7)="2026-07")*('Slaughterhouse IQC'!$B$6:$B$64="Nahunta")*('Slaughterhouse IQC'!$F$6:$F$64="666521")*'Slaughterhouse IQC'!$I$6:$I$64)=0,"",SUMPRODUCT((LEFT('Slaughterhouse IQC'!$A$6:$A$64,7)="2026-07")*('Slaughterhouse IQC'!$B$6:$B$64="Nahunta")*('Slaughterhouse IQC'!$F$6:$F$64="666521")*'Slaughterhouse IQC'!$K$6:$K$64))</f>
        <v>13</v>
      </c>
      <c r="F20" s="17">
        <f>IF(SUMPRODUCT((LEFT('Slaughterhouse IQC'!$A$6:$A$64,7)="2026-08")*('Slaughterhouse IQC'!$B$6:$B$64="Nahunta")*('Slaughterhouse IQC'!$F$6:$F$64="666521")*'Slaughterhouse IQC'!$I$6:$I$64)=0,"",SUMPRODUCT((LEFT('Slaughterhouse IQC'!$A$6:$A$64,7)="2026-08")*('Slaughterhouse IQC'!$B$6:$B$64="Nahunta")*('Slaughterhouse IQC'!$F$6:$F$64="666521")*'Slaughterhouse IQC'!$K$6:$K$64))</f>
        <v>49</v>
      </c>
      <c r="G20" s="17">
        <f>SUMPRODUCT(('Slaughterhouse IQC'!$B$6:$B$64="Nahunta")*('Slaughterhouse IQC'!$F$6:$F$64="666521")*'Slaughterhouse IQC'!$K$6:$K$64)</f>
        <v>62</v>
      </c>
    </row>
    <row r="22" spans="1:7" ht="18" customHeight="1" x14ac:dyDescent="0.3">
      <c r="A22" s="9" t="s">
        <v>302</v>
      </c>
      <c r="B22" s="11"/>
      <c r="C22" s="11"/>
      <c r="D22" s="11"/>
      <c r="E22" s="11"/>
      <c r="F22" s="11"/>
      <c r="G22" s="11"/>
    </row>
    <row r="23" spans="1:7" x14ac:dyDescent="0.3">
      <c r="A23" s="18" t="s">
        <v>91</v>
      </c>
      <c r="B23" s="18" t="s">
        <v>290</v>
      </c>
      <c r="C23" s="18" t="s">
        <v>291</v>
      </c>
      <c r="D23" s="18" t="s">
        <v>292</v>
      </c>
      <c r="E23" s="18" t="s">
        <v>293</v>
      </c>
      <c r="F23" s="18" t="s">
        <v>294</v>
      </c>
      <c r="G23" s="18" t="s">
        <v>4</v>
      </c>
    </row>
    <row r="24" spans="1:7" x14ac:dyDescent="0.3">
      <c r="A24" s="16" t="s">
        <v>36</v>
      </c>
      <c r="B24" s="17">
        <f>IF(SUMPRODUCT((LEFT('Slaughterhouse IQC'!$A$6:$A$64,7)="2026-04")*('Slaughterhouse IQC'!$B$6:$B$64="Martins")*('Slaughterhouse IQC'!$F$6:$F$64="666541")*'Slaughterhouse IQC'!$I$6:$I$64)=0,"",SUMPRODUCT((LEFT('Slaughterhouse IQC'!$A$6:$A$64,7)="2026-04")*('Slaughterhouse IQC'!$B$6:$B$64="Martins")*('Slaughterhouse IQC'!$F$6:$F$64="666541")*'Slaughterhouse IQC'!$I$6:$I$64))</f>
        <v>122</v>
      </c>
      <c r="C24" s="17">
        <f>IF(SUMPRODUCT((LEFT('Slaughterhouse IQC'!$A$6:$A$64,7)="2026-05")*('Slaughterhouse IQC'!$B$6:$B$64="Martins")*('Slaughterhouse IQC'!$F$6:$F$64="666541")*'Slaughterhouse IQC'!$I$6:$I$64)=0,"",SUMPRODUCT((LEFT('Slaughterhouse IQC'!$A$6:$A$64,7)="2026-05")*('Slaughterhouse IQC'!$B$6:$B$64="Martins")*('Slaughterhouse IQC'!$F$6:$F$64="666541")*'Slaughterhouse IQC'!$I$6:$I$64))</f>
        <v>194</v>
      </c>
      <c r="D24" s="17">
        <f>IF(SUMPRODUCT((LEFT('Slaughterhouse IQC'!$A$6:$A$64,7)="2026-06")*('Slaughterhouse IQC'!$B$6:$B$64="Martins")*('Slaughterhouse IQC'!$F$6:$F$64="666541")*'Slaughterhouse IQC'!$I$6:$I$64)=0,"",SUMPRODUCT((LEFT('Slaughterhouse IQC'!$A$6:$A$64,7)="2026-06")*('Slaughterhouse IQC'!$B$6:$B$64="Martins")*('Slaughterhouse IQC'!$F$6:$F$64="666541")*'Slaughterhouse IQC'!$I$6:$I$64))</f>
        <v>152</v>
      </c>
      <c r="E24" s="17">
        <f>IF(SUMPRODUCT((LEFT('Slaughterhouse IQC'!$A$6:$A$64,7)="2026-07")*('Slaughterhouse IQC'!$B$6:$B$64="Martins")*('Slaughterhouse IQC'!$F$6:$F$64="666541")*'Slaughterhouse IQC'!$I$6:$I$64)=0,"",SUMPRODUCT((LEFT('Slaughterhouse IQC'!$A$6:$A$64,7)="2026-07")*('Slaughterhouse IQC'!$B$6:$B$64="Martins")*('Slaughterhouse IQC'!$F$6:$F$64="666541")*'Slaughterhouse IQC'!$I$6:$I$64))</f>
        <v>161</v>
      </c>
      <c r="F24" s="17">
        <f>IF(SUMPRODUCT((LEFT('Slaughterhouse IQC'!$A$6:$A$64,7)="2026-08")*('Slaughterhouse IQC'!$B$6:$B$64="Martins")*('Slaughterhouse IQC'!$F$6:$F$64="666541")*'Slaughterhouse IQC'!$I$6:$I$64)=0,"",SUMPRODUCT((LEFT('Slaughterhouse IQC'!$A$6:$A$64,7)="2026-08")*('Slaughterhouse IQC'!$B$6:$B$64="Martins")*('Slaughterhouse IQC'!$F$6:$F$64="666541")*'Slaughterhouse IQC'!$I$6:$I$64))</f>
        <v>137</v>
      </c>
      <c r="G24" s="17">
        <f>SUM(B24:F24)</f>
        <v>766</v>
      </c>
    </row>
    <row r="25" spans="1:7" x14ac:dyDescent="0.3">
      <c r="A25" s="16" t="s">
        <v>37</v>
      </c>
      <c r="B25" s="17">
        <f>IF(SUMPRODUCT((LEFT('Slaughterhouse IQC'!$A$6:$A$64,7)="2026-04")*('Slaughterhouse IQC'!$B$6:$B$64="Martins")*('Slaughterhouse IQC'!$F$6:$F$64="666541")*'Slaughterhouse IQC'!$I$6:$I$64)=0,"",SUMPRODUCT((LEFT('Slaughterhouse IQC'!$A$6:$A$64,7)="2026-04")*('Slaughterhouse IQC'!$B$6:$B$64="Martins")*('Slaughterhouse IQC'!$F$6:$F$64="666541")*'Slaughterhouse IQC'!$J$6:$J$64))</f>
        <v>116</v>
      </c>
      <c r="C25" s="17">
        <f>IF(SUMPRODUCT((LEFT('Slaughterhouse IQC'!$A$6:$A$64,7)="2026-05")*('Slaughterhouse IQC'!$B$6:$B$64="Martins")*('Slaughterhouse IQC'!$F$6:$F$64="666541")*'Slaughterhouse IQC'!$I$6:$I$64)=0,"",SUMPRODUCT((LEFT('Slaughterhouse IQC'!$A$6:$A$64,7)="2026-05")*('Slaughterhouse IQC'!$B$6:$B$64="Martins")*('Slaughterhouse IQC'!$F$6:$F$64="666541")*'Slaughterhouse IQC'!$J$6:$J$64))</f>
        <v>181</v>
      </c>
      <c r="D25" s="17">
        <f>IF(SUMPRODUCT((LEFT('Slaughterhouse IQC'!$A$6:$A$64,7)="2026-06")*('Slaughterhouse IQC'!$B$6:$B$64="Martins")*('Slaughterhouse IQC'!$F$6:$F$64="666541")*'Slaughterhouse IQC'!$I$6:$I$64)=0,"",SUMPRODUCT((LEFT('Slaughterhouse IQC'!$A$6:$A$64,7)="2026-06")*('Slaughterhouse IQC'!$B$6:$B$64="Martins")*('Slaughterhouse IQC'!$F$6:$F$64="666541")*'Slaughterhouse IQC'!$J$6:$J$64))</f>
        <v>144</v>
      </c>
      <c r="E25" s="17">
        <f>IF(SUMPRODUCT((LEFT('Slaughterhouse IQC'!$A$6:$A$64,7)="2026-07")*('Slaughterhouse IQC'!$B$6:$B$64="Martins")*('Slaughterhouse IQC'!$F$6:$F$64="666541")*'Slaughterhouse IQC'!$I$6:$I$64)=0,"",SUMPRODUCT((LEFT('Slaughterhouse IQC'!$A$6:$A$64,7)="2026-07")*('Slaughterhouse IQC'!$B$6:$B$64="Martins")*('Slaughterhouse IQC'!$F$6:$F$64="666541")*'Slaughterhouse IQC'!$J$6:$J$64))</f>
        <v>155</v>
      </c>
      <c r="F25" s="17">
        <f>IF(SUMPRODUCT((LEFT('Slaughterhouse IQC'!$A$6:$A$64,7)="2026-08")*('Slaughterhouse IQC'!$B$6:$B$64="Martins")*('Slaughterhouse IQC'!$F$6:$F$64="666541")*'Slaughterhouse IQC'!$I$6:$I$64)=0,"",SUMPRODUCT((LEFT('Slaughterhouse IQC'!$A$6:$A$64,7)="2026-08")*('Slaughterhouse IQC'!$B$6:$B$64="Martins")*('Slaughterhouse IQC'!$F$6:$F$64="666541")*'Slaughterhouse IQC'!$J$6:$J$64))</f>
        <v>132</v>
      </c>
      <c r="G25" s="17">
        <f>SUM(B25:F25)</f>
        <v>728</v>
      </c>
    </row>
    <row r="26" spans="1:7" x14ac:dyDescent="0.3">
      <c r="A26" s="16" t="s">
        <v>38</v>
      </c>
      <c r="B26" s="17">
        <f>IF(SUMPRODUCT((LEFT('Slaughterhouse IQC'!$A$6:$A$64,7)="2026-04")*('Slaughterhouse IQC'!$B$6:$B$64="Martins")*('Slaughterhouse IQC'!$F$6:$F$64="666541")*'Slaughterhouse IQC'!$I$6:$I$64)=0,"",SUMPRODUCT((LEFT('Slaughterhouse IQC'!$A$6:$A$64,7)="2026-04")*('Slaughterhouse IQC'!$B$6:$B$64="Martins")*('Slaughterhouse IQC'!$F$6:$F$64="666541")*'Slaughterhouse IQC'!$K$6:$K$64))</f>
        <v>6</v>
      </c>
      <c r="C26" s="17">
        <f>IF(SUMPRODUCT((LEFT('Slaughterhouse IQC'!$A$6:$A$64,7)="2026-05")*('Slaughterhouse IQC'!$B$6:$B$64="Martins")*('Slaughterhouse IQC'!$F$6:$F$64="666541")*'Slaughterhouse IQC'!$I$6:$I$64)=0,"",SUMPRODUCT((LEFT('Slaughterhouse IQC'!$A$6:$A$64,7)="2026-05")*('Slaughterhouse IQC'!$B$6:$B$64="Martins")*('Slaughterhouse IQC'!$F$6:$F$64="666541")*'Slaughterhouse IQC'!$K$6:$K$64))</f>
        <v>13</v>
      </c>
      <c r="D26" s="17">
        <f>IF(SUMPRODUCT((LEFT('Slaughterhouse IQC'!$A$6:$A$64,7)="2026-06")*('Slaughterhouse IQC'!$B$6:$B$64="Martins")*('Slaughterhouse IQC'!$F$6:$F$64="666541")*'Slaughterhouse IQC'!$I$6:$I$64)=0,"",SUMPRODUCT((LEFT('Slaughterhouse IQC'!$A$6:$A$64,7)="2026-06")*('Slaughterhouse IQC'!$B$6:$B$64="Martins")*('Slaughterhouse IQC'!$F$6:$F$64="666541")*'Slaughterhouse IQC'!$K$6:$K$64))</f>
        <v>8</v>
      </c>
      <c r="E26" s="17">
        <f>IF(SUMPRODUCT((LEFT('Slaughterhouse IQC'!$A$6:$A$64,7)="2026-07")*('Slaughterhouse IQC'!$B$6:$B$64="Martins")*('Slaughterhouse IQC'!$F$6:$F$64="666541")*'Slaughterhouse IQC'!$I$6:$I$64)=0,"",SUMPRODUCT((LEFT('Slaughterhouse IQC'!$A$6:$A$64,7)="2026-07")*('Slaughterhouse IQC'!$B$6:$B$64="Martins")*('Slaughterhouse IQC'!$F$6:$F$64="666541")*'Slaughterhouse IQC'!$K$6:$K$64))</f>
        <v>6</v>
      </c>
      <c r="F26" s="17">
        <f>IF(SUMPRODUCT((LEFT('Slaughterhouse IQC'!$A$6:$A$64,7)="2026-08")*('Slaughterhouse IQC'!$B$6:$B$64="Martins")*('Slaughterhouse IQC'!$F$6:$F$64="666541")*'Slaughterhouse IQC'!$I$6:$I$64)=0,"",SUMPRODUCT((LEFT('Slaughterhouse IQC'!$A$6:$A$64,7)="2026-08")*('Slaughterhouse IQC'!$B$6:$B$64="Martins")*('Slaughterhouse IQC'!$F$6:$F$64="666541")*'Slaughterhouse IQC'!$K$6:$K$64))</f>
        <v>5</v>
      </c>
      <c r="G26" s="17">
        <f>SUM(B26:F26)</f>
        <v>38</v>
      </c>
    </row>
    <row r="27" spans="1:7" x14ac:dyDescent="0.3">
      <c r="A27" s="19" t="s">
        <v>154</v>
      </c>
      <c r="B27" s="20">
        <f>IF(B24="","",IF(B24=0,"",B25/B24))</f>
        <v>0.95081967213114749</v>
      </c>
      <c r="C27" s="20">
        <f>IF(C24="","",IF(C24=0,"",C25/C24))</f>
        <v>0.9329896907216495</v>
      </c>
      <c r="D27" s="20">
        <f>IF(D24="","",IF(D24=0,"",D25/D24))</f>
        <v>0.94736842105263153</v>
      </c>
      <c r="E27" s="20">
        <f>IF(E24="","",IF(E24=0,"",E25/E24))</f>
        <v>0.96273291925465843</v>
      </c>
      <c r="F27" s="20">
        <f>IF(F24="","",IF(F24=0,"",F25/F24))</f>
        <v>0.96350364963503654</v>
      </c>
      <c r="G27" s="20">
        <f>IF(G24=0,"",G25/G24)</f>
        <v>0.95039164490861616</v>
      </c>
    </row>
    <row r="28" spans="1:7" ht="15" customHeight="1" x14ac:dyDescent="0.3">
      <c r="A28" s="8" t="s">
        <v>303</v>
      </c>
      <c r="B28" s="11"/>
      <c r="C28" s="11"/>
      <c r="D28" s="11"/>
      <c r="E28" s="11"/>
      <c r="F28" s="11"/>
      <c r="G28" s="11"/>
    </row>
    <row r="29" spans="1:7" x14ac:dyDescent="0.3">
      <c r="A29" s="21" t="s">
        <v>304</v>
      </c>
      <c r="B29" s="17">
        <v>2</v>
      </c>
      <c r="C29" s="17">
        <v>9</v>
      </c>
      <c r="D29" s="17">
        <v>4</v>
      </c>
      <c r="E29" s="17">
        <v>3</v>
      </c>
      <c r="F29" s="17">
        <v>2</v>
      </c>
      <c r="G29" s="17">
        <v>20</v>
      </c>
    </row>
    <row r="30" spans="1:7" x14ac:dyDescent="0.3">
      <c r="A30" s="21" t="s">
        <v>305</v>
      </c>
      <c r="C30" s="17">
        <v>2</v>
      </c>
      <c r="D30" s="17">
        <v>3</v>
      </c>
      <c r="E30" s="17">
        <v>2</v>
      </c>
      <c r="F30" s="17">
        <v>1</v>
      </c>
      <c r="G30" s="17">
        <v>8</v>
      </c>
    </row>
    <row r="31" spans="1:7" x14ac:dyDescent="0.3">
      <c r="A31" s="21" t="s">
        <v>306</v>
      </c>
      <c r="B31" s="17">
        <v>2</v>
      </c>
      <c r="C31" s="17">
        <v>1</v>
      </c>
      <c r="D31" s="17">
        <v>1</v>
      </c>
      <c r="F31" s="17">
        <v>2</v>
      </c>
      <c r="G31" s="17">
        <v>6</v>
      </c>
    </row>
    <row r="32" spans="1:7" x14ac:dyDescent="0.3">
      <c r="A32" s="21" t="s">
        <v>307</v>
      </c>
      <c r="C32" s="17">
        <v>1</v>
      </c>
      <c r="G32" s="17">
        <v>1</v>
      </c>
    </row>
    <row r="33" spans="1:7" x14ac:dyDescent="0.3">
      <c r="A33" s="21" t="s">
        <v>308</v>
      </c>
      <c r="B33" s="17">
        <v>2</v>
      </c>
      <c r="E33" s="17">
        <v>1</v>
      </c>
      <c r="G33" s="17">
        <v>3</v>
      </c>
    </row>
    <row r="34" spans="1:7" x14ac:dyDescent="0.3">
      <c r="A34" s="19" t="s">
        <v>309</v>
      </c>
      <c r="B34" s="17">
        <f>IF(SUM(B29:B33)=0,"",SUM(B29:B33))</f>
        <v>6</v>
      </c>
      <c r="C34" s="17">
        <f>IF(SUM(C29:C33)=0,"",SUM(C29:C33))</f>
        <v>13</v>
      </c>
      <c r="D34" s="17">
        <f>IF(SUM(D29:D33)=0,"",SUM(D29:D33))</f>
        <v>8</v>
      </c>
      <c r="E34" s="17">
        <f>IF(SUM(E29:E33)=0,"",SUM(E29:E33))</f>
        <v>6</v>
      </c>
      <c r="F34" s="17">
        <f>IF(SUM(F29:F33)=0,"",SUM(F29:F33))</f>
        <v>5</v>
      </c>
      <c r="G34" s="17">
        <f>SUM(G29:G33)</f>
        <v>38</v>
      </c>
    </row>
    <row r="36" spans="1:7" ht="18" customHeight="1" x14ac:dyDescent="0.3">
      <c r="A36" s="9" t="s">
        <v>310</v>
      </c>
      <c r="B36" s="11"/>
      <c r="C36" s="11"/>
      <c r="D36" s="11"/>
      <c r="E36" s="11"/>
      <c r="F36" s="11"/>
      <c r="G36" s="11"/>
    </row>
    <row r="37" spans="1:7" x14ac:dyDescent="0.3">
      <c r="A37" s="18" t="s">
        <v>91</v>
      </c>
      <c r="B37" s="18" t="s">
        <v>290</v>
      </c>
      <c r="C37" s="18" t="s">
        <v>291</v>
      </c>
      <c r="D37" s="18" t="s">
        <v>292</v>
      </c>
      <c r="E37" s="18" t="s">
        <v>293</v>
      </c>
      <c r="F37" s="18" t="s">
        <v>294</v>
      </c>
      <c r="G37" s="18" t="s">
        <v>4</v>
      </c>
    </row>
    <row r="38" spans="1:7" x14ac:dyDescent="0.3">
      <c r="A38" s="16" t="s">
        <v>36</v>
      </c>
      <c r="B38" s="17">
        <f>IF(SUMPRODUCT((LEFT('Slaughterhouse IQC'!$A$6:$A$64,7)="2026-04")*('Slaughterhouse IQC'!$B$6:$B$64="Martins")*('Slaughterhouse IQC'!$F$6:$F$64="666506")*'Slaughterhouse IQC'!$I$6:$I$64)=0,"",SUMPRODUCT((LEFT('Slaughterhouse IQC'!$A$6:$A$64,7)="2026-04")*('Slaughterhouse IQC'!$B$6:$B$64="Martins")*('Slaughterhouse IQC'!$F$6:$F$64="666506")*'Slaughterhouse IQC'!$I$6:$I$64))</f>
        <v>59</v>
      </c>
      <c r="C38" s="17">
        <f>IF(SUMPRODUCT((LEFT('Slaughterhouse IQC'!$A$6:$A$64,7)="2026-05")*('Slaughterhouse IQC'!$B$6:$B$64="Martins")*('Slaughterhouse IQC'!$F$6:$F$64="666506")*'Slaughterhouse IQC'!$I$6:$I$64)=0,"",SUMPRODUCT((LEFT('Slaughterhouse IQC'!$A$6:$A$64,7)="2026-05")*('Slaughterhouse IQC'!$B$6:$B$64="Martins")*('Slaughterhouse IQC'!$F$6:$F$64="666506")*'Slaughterhouse IQC'!$I$6:$I$64))</f>
        <v>118</v>
      </c>
      <c r="D38" s="17">
        <f>IF(SUMPRODUCT((LEFT('Slaughterhouse IQC'!$A$6:$A$64,7)="2026-06")*('Slaughterhouse IQC'!$B$6:$B$64="Martins")*('Slaughterhouse IQC'!$F$6:$F$64="666506")*'Slaughterhouse IQC'!$I$6:$I$64)=0,"",SUMPRODUCT((LEFT('Slaughterhouse IQC'!$A$6:$A$64,7)="2026-06")*('Slaughterhouse IQC'!$B$6:$B$64="Martins")*('Slaughterhouse IQC'!$F$6:$F$64="666506")*'Slaughterhouse IQC'!$I$6:$I$64))</f>
        <v>53</v>
      </c>
      <c r="E38" s="17">
        <f>IF(SUMPRODUCT((LEFT('Slaughterhouse IQC'!$A$6:$A$64,7)="2026-07")*('Slaughterhouse IQC'!$B$6:$B$64="Martins")*('Slaughterhouse IQC'!$F$6:$F$64="666506")*'Slaughterhouse IQC'!$I$6:$I$64)=0,"",SUMPRODUCT((LEFT('Slaughterhouse IQC'!$A$6:$A$64,7)="2026-07")*('Slaughterhouse IQC'!$B$6:$B$64="Martins")*('Slaughterhouse IQC'!$F$6:$F$64="666506")*'Slaughterhouse IQC'!$I$6:$I$64))</f>
        <v>79</v>
      </c>
      <c r="F38" s="17">
        <f>IF(SUMPRODUCT((LEFT('Slaughterhouse IQC'!$A$6:$A$64,7)="2026-08")*('Slaughterhouse IQC'!$B$6:$B$64="Martins")*('Slaughterhouse IQC'!$F$6:$F$64="666506")*'Slaughterhouse IQC'!$I$6:$I$64)=0,"",SUMPRODUCT((LEFT('Slaughterhouse IQC'!$A$6:$A$64,7)="2026-08")*('Slaughterhouse IQC'!$B$6:$B$64="Martins")*('Slaughterhouse IQC'!$F$6:$F$64="666506")*'Slaughterhouse IQC'!$I$6:$I$64))</f>
        <v>13</v>
      </c>
      <c r="G38" s="17">
        <f>SUM(B38:F38)</f>
        <v>322</v>
      </c>
    </row>
    <row r="39" spans="1:7" x14ac:dyDescent="0.3">
      <c r="A39" s="16" t="s">
        <v>37</v>
      </c>
      <c r="B39" s="17">
        <f>IF(SUMPRODUCT((LEFT('Slaughterhouse IQC'!$A$6:$A$64,7)="2026-04")*('Slaughterhouse IQC'!$B$6:$B$64="Martins")*('Slaughterhouse IQC'!$F$6:$F$64="666506")*'Slaughterhouse IQC'!$I$6:$I$64)=0,"",SUMPRODUCT((LEFT('Slaughterhouse IQC'!$A$6:$A$64,7)="2026-04")*('Slaughterhouse IQC'!$B$6:$B$64="Martins")*('Slaughterhouse IQC'!$F$6:$F$64="666506")*'Slaughterhouse IQC'!$J$6:$J$64))</f>
        <v>55</v>
      </c>
      <c r="C39" s="17">
        <f>IF(SUMPRODUCT((LEFT('Slaughterhouse IQC'!$A$6:$A$64,7)="2026-05")*('Slaughterhouse IQC'!$B$6:$B$64="Martins")*('Slaughterhouse IQC'!$F$6:$F$64="666506")*'Slaughterhouse IQC'!$I$6:$I$64)=0,"",SUMPRODUCT((LEFT('Slaughterhouse IQC'!$A$6:$A$64,7)="2026-05")*('Slaughterhouse IQC'!$B$6:$B$64="Martins")*('Slaughterhouse IQC'!$F$6:$F$64="666506")*'Slaughterhouse IQC'!$J$6:$J$64))</f>
        <v>112</v>
      </c>
      <c r="D39" s="17">
        <f>IF(SUMPRODUCT((LEFT('Slaughterhouse IQC'!$A$6:$A$64,7)="2026-06")*('Slaughterhouse IQC'!$B$6:$B$64="Martins")*('Slaughterhouse IQC'!$F$6:$F$64="666506")*'Slaughterhouse IQC'!$I$6:$I$64)=0,"",SUMPRODUCT((LEFT('Slaughterhouse IQC'!$A$6:$A$64,7)="2026-06")*('Slaughterhouse IQC'!$B$6:$B$64="Martins")*('Slaughterhouse IQC'!$F$6:$F$64="666506")*'Slaughterhouse IQC'!$J$6:$J$64))</f>
        <v>52</v>
      </c>
      <c r="E39" s="17">
        <f>IF(SUMPRODUCT((LEFT('Slaughterhouse IQC'!$A$6:$A$64,7)="2026-07")*('Slaughterhouse IQC'!$B$6:$B$64="Martins")*('Slaughterhouse IQC'!$F$6:$F$64="666506")*'Slaughterhouse IQC'!$I$6:$I$64)=0,"",SUMPRODUCT((LEFT('Slaughterhouse IQC'!$A$6:$A$64,7)="2026-07")*('Slaughterhouse IQC'!$B$6:$B$64="Martins")*('Slaughterhouse IQC'!$F$6:$F$64="666506")*'Slaughterhouse IQC'!$J$6:$J$64))</f>
        <v>77</v>
      </c>
      <c r="F39" s="17">
        <f>IF(SUMPRODUCT((LEFT('Slaughterhouse IQC'!$A$6:$A$64,7)="2026-08")*('Slaughterhouse IQC'!$B$6:$B$64="Martins")*('Slaughterhouse IQC'!$F$6:$F$64="666506")*'Slaughterhouse IQC'!$I$6:$I$64)=0,"",SUMPRODUCT((LEFT('Slaughterhouse IQC'!$A$6:$A$64,7)="2026-08")*('Slaughterhouse IQC'!$B$6:$B$64="Martins")*('Slaughterhouse IQC'!$F$6:$F$64="666506")*'Slaughterhouse IQC'!$J$6:$J$64))</f>
        <v>13</v>
      </c>
      <c r="G39" s="17">
        <f>SUM(B39:F39)</f>
        <v>309</v>
      </c>
    </row>
    <row r="40" spans="1:7" x14ac:dyDescent="0.3">
      <c r="A40" s="16" t="s">
        <v>38</v>
      </c>
      <c r="B40" s="17">
        <f>IF(SUMPRODUCT((LEFT('Slaughterhouse IQC'!$A$6:$A$64,7)="2026-04")*('Slaughterhouse IQC'!$B$6:$B$64="Martins")*('Slaughterhouse IQC'!$F$6:$F$64="666506")*'Slaughterhouse IQC'!$I$6:$I$64)=0,"",SUMPRODUCT((LEFT('Slaughterhouse IQC'!$A$6:$A$64,7)="2026-04")*('Slaughterhouse IQC'!$B$6:$B$64="Martins")*('Slaughterhouse IQC'!$F$6:$F$64="666506")*'Slaughterhouse IQC'!$K$6:$K$64))</f>
        <v>4</v>
      </c>
      <c r="C40" s="17">
        <f>IF(SUMPRODUCT((LEFT('Slaughterhouse IQC'!$A$6:$A$64,7)="2026-05")*('Slaughterhouse IQC'!$B$6:$B$64="Martins")*('Slaughterhouse IQC'!$F$6:$F$64="666506")*'Slaughterhouse IQC'!$I$6:$I$64)=0,"",SUMPRODUCT((LEFT('Slaughterhouse IQC'!$A$6:$A$64,7)="2026-05")*('Slaughterhouse IQC'!$B$6:$B$64="Martins")*('Slaughterhouse IQC'!$F$6:$F$64="666506")*'Slaughterhouse IQC'!$K$6:$K$64))</f>
        <v>6</v>
      </c>
      <c r="D40" s="17">
        <f>IF(SUMPRODUCT((LEFT('Slaughterhouse IQC'!$A$6:$A$64,7)="2026-06")*('Slaughterhouse IQC'!$B$6:$B$64="Martins")*('Slaughterhouse IQC'!$F$6:$F$64="666506")*'Slaughterhouse IQC'!$I$6:$I$64)=0,"",SUMPRODUCT((LEFT('Slaughterhouse IQC'!$A$6:$A$64,7)="2026-06")*('Slaughterhouse IQC'!$B$6:$B$64="Martins")*('Slaughterhouse IQC'!$F$6:$F$64="666506")*'Slaughterhouse IQC'!$K$6:$K$64))</f>
        <v>1</v>
      </c>
      <c r="E40" s="17">
        <f>IF(SUMPRODUCT((LEFT('Slaughterhouse IQC'!$A$6:$A$64,7)="2026-07")*('Slaughterhouse IQC'!$B$6:$B$64="Martins")*('Slaughterhouse IQC'!$F$6:$F$64="666506")*'Slaughterhouse IQC'!$I$6:$I$64)=0,"",SUMPRODUCT((LEFT('Slaughterhouse IQC'!$A$6:$A$64,7)="2026-07")*('Slaughterhouse IQC'!$B$6:$B$64="Martins")*('Slaughterhouse IQC'!$F$6:$F$64="666506")*'Slaughterhouse IQC'!$K$6:$K$64))</f>
        <v>2</v>
      </c>
      <c r="F40" s="17">
        <f>IF(SUMPRODUCT((LEFT('Slaughterhouse IQC'!$A$6:$A$64,7)="2026-08")*('Slaughterhouse IQC'!$B$6:$B$64="Martins")*('Slaughterhouse IQC'!$F$6:$F$64="666506")*'Slaughterhouse IQC'!$I$6:$I$64)=0,"",SUMPRODUCT((LEFT('Slaughterhouse IQC'!$A$6:$A$64,7)="2026-08")*('Slaughterhouse IQC'!$B$6:$B$64="Martins")*('Slaughterhouse IQC'!$F$6:$F$64="666506")*'Slaughterhouse IQC'!$K$6:$K$64))</f>
        <v>0</v>
      </c>
      <c r="G40" s="17">
        <f>SUM(B40:F40)</f>
        <v>13</v>
      </c>
    </row>
    <row r="41" spans="1:7" x14ac:dyDescent="0.3">
      <c r="A41" s="19" t="s">
        <v>154</v>
      </c>
      <c r="B41" s="20">
        <f>IF(B38="","",IF(B38=0,"",B39/B38))</f>
        <v>0.93220338983050843</v>
      </c>
      <c r="C41" s="20">
        <f>IF(C38="","",IF(C38=0,"",C39/C38))</f>
        <v>0.94915254237288138</v>
      </c>
      <c r="D41" s="20">
        <f>IF(D38="","",IF(D38=0,"",D39/D38))</f>
        <v>0.98113207547169812</v>
      </c>
      <c r="E41" s="20">
        <f>IF(E38="","",IF(E38=0,"",E39/E38))</f>
        <v>0.97468354430379744</v>
      </c>
      <c r="F41" s="20">
        <f>IF(F38="","",IF(F38=0,"",F39/F38))</f>
        <v>1</v>
      </c>
      <c r="G41" s="20">
        <f>IF(G38=0,"",G39/G38)</f>
        <v>0.95962732919254656</v>
      </c>
    </row>
    <row r="42" spans="1:7" ht="15" customHeight="1" x14ac:dyDescent="0.3">
      <c r="A42" s="8" t="s">
        <v>303</v>
      </c>
      <c r="B42" s="11"/>
      <c r="C42" s="11"/>
      <c r="D42" s="11"/>
      <c r="E42" s="11"/>
      <c r="F42" s="11"/>
      <c r="G42" s="11"/>
    </row>
    <row r="43" spans="1:7" x14ac:dyDescent="0.3">
      <c r="A43" s="21" t="s">
        <v>304</v>
      </c>
      <c r="C43" s="17">
        <v>4</v>
      </c>
      <c r="G43" s="17">
        <v>4</v>
      </c>
    </row>
    <row r="44" spans="1:7" x14ac:dyDescent="0.3">
      <c r="A44" s="21" t="s">
        <v>305</v>
      </c>
      <c r="C44" s="17">
        <v>1</v>
      </c>
      <c r="E44" s="17">
        <v>2</v>
      </c>
      <c r="G44" s="17">
        <v>3</v>
      </c>
    </row>
    <row r="45" spans="1:7" x14ac:dyDescent="0.3">
      <c r="A45" s="21" t="s">
        <v>306</v>
      </c>
      <c r="B45" s="17">
        <v>2</v>
      </c>
      <c r="G45" s="17">
        <v>2</v>
      </c>
    </row>
    <row r="46" spans="1:7" x14ac:dyDescent="0.3">
      <c r="A46" s="21" t="s">
        <v>307</v>
      </c>
      <c r="D46" s="17">
        <v>1</v>
      </c>
      <c r="G46" s="17">
        <v>1</v>
      </c>
    </row>
    <row r="47" spans="1:7" x14ac:dyDescent="0.3">
      <c r="A47" s="21" t="s">
        <v>308</v>
      </c>
      <c r="B47" s="17">
        <v>2</v>
      </c>
      <c r="C47" s="17">
        <v>1</v>
      </c>
      <c r="G47" s="17">
        <v>3</v>
      </c>
    </row>
    <row r="48" spans="1:7" x14ac:dyDescent="0.3">
      <c r="A48" s="19" t="s">
        <v>309</v>
      </c>
      <c r="B48" s="17">
        <f>IF(SUM(B43:B47)=0,"",SUM(B43:B47))</f>
        <v>4</v>
      </c>
      <c r="C48" s="17">
        <f>IF(SUM(C43:C47)=0,"",SUM(C43:C47))</f>
        <v>6</v>
      </c>
      <c r="D48" s="17">
        <f>IF(SUM(D43:D47)=0,"",SUM(D43:D47))</f>
        <v>1</v>
      </c>
      <c r="E48" s="17">
        <f>IF(SUM(E43:E47)=0,"",SUM(E43:E47))</f>
        <v>2</v>
      </c>
      <c r="F48" s="17" t="str">
        <f>IF(SUM(F43:F47)=0,"",SUM(F43:F47))</f>
        <v/>
      </c>
      <c r="G48" s="17">
        <f>SUM(G43:G47)</f>
        <v>13</v>
      </c>
    </row>
    <row r="50" spans="1:7" ht="18" customHeight="1" x14ac:dyDescent="0.3">
      <c r="A50" s="9" t="s">
        <v>311</v>
      </c>
      <c r="B50" s="11"/>
      <c r="C50" s="11"/>
      <c r="D50" s="11"/>
      <c r="E50" s="11"/>
      <c r="F50" s="11"/>
      <c r="G50" s="11"/>
    </row>
    <row r="51" spans="1:7" x14ac:dyDescent="0.3">
      <c r="A51" s="18" t="s">
        <v>91</v>
      </c>
      <c r="B51" s="18" t="s">
        <v>290</v>
      </c>
      <c r="C51" s="18" t="s">
        <v>291</v>
      </c>
      <c r="D51" s="18" t="s">
        <v>292</v>
      </c>
      <c r="E51" s="18" t="s">
        <v>293</v>
      </c>
      <c r="F51" s="18" t="s">
        <v>294</v>
      </c>
      <c r="G51" s="18" t="s">
        <v>4</v>
      </c>
    </row>
    <row r="52" spans="1:7" x14ac:dyDescent="0.3">
      <c r="A52" s="16" t="s">
        <v>36</v>
      </c>
      <c r="B52" s="17" t="str">
        <f>IF(SUMPRODUCT((LEFT('Slaughterhouse IQC'!$A$6:$A$64,7)="2026-04")*('Slaughterhouse IQC'!$B$6:$B$64="Parks Family Meats")*('Slaughterhouse IQC'!$F$6:$F$64="666518")*'Slaughterhouse IQC'!$I$6:$I$64)=0,"",SUMPRODUCT((LEFT('Slaughterhouse IQC'!$A$6:$A$64,7)="2026-04")*('Slaughterhouse IQC'!$B$6:$B$64="Parks Family Meats")*('Slaughterhouse IQC'!$F$6:$F$64="666518")*'Slaughterhouse IQC'!$I$6:$I$64))</f>
        <v/>
      </c>
      <c r="C52" s="17">
        <f>IF(SUMPRODUCT((LEFT('Slaughterhouse IQC'!$A$6:$A$64,7)="2026-05")*('Slaughterhouse IQC'!$B$6:$B$64="Parks Family Meats")*('Slaughterhouse IQC'!$F$6:$F$64="666518")*'Slaughterhouse IQC'!$I$6:$I$64)=0,"",SUMPRODUCT((LEFT('Slaughterhouse IQC'!$A$6:$A$64,7)="2026-05")*('Slaughterhouse IQC'!$B$6:$B$64="Parks Family Meats")*('Slaughterhouse IQC'!$F$6:$F$64="666518")*'Slaughterhouse IQC'!$I$6:$I$64))</f>
        <v>16</v>
      </c>
      <c r="D52" s="17">
        <f>IF(SUMPRODUCT((LEFT('Slaughterhouse IQC'!$A$6:$A$64,7)="2026-06")*('Slaughterhouse IQC'!$B$6:$B$64="Parks Family Meats")*('Slaughterhouse IQC'!$F$6:$F$64="666518")*'Slaughterhouse IQC'!$I$6:$I$64)=0,"",SUMPRODUCT((LEFT('Slaughterhouse IQC'!$A$6:$A$64,7)="2026-06")*('Slaughterhouse IQC'!$B$6:$B$64="Parks Family Meats")*('Slaughterhouse IQC'!$F$6:$F$64="666518")*'Slaughterhouse IQC'!$I$6:$I$64))</f>
        <v>128</v>
      </c>
      <c r="E52" s="17">
        <f>IF(SUMPRODUCT((LEFT('Slaughterhouse IQC'!$A$6:$A$64,7)="2026-07")*('Slaughterhouse IQC'!$B$6:$B$64="Parks Family Meats")*('Slaughterhouse IQC'!$F$6:$F$64="666518")*'Slaughterhouse IQC'!$I$6:$I$64)=0,"",SUMPRODUCT((LEFT('Slaughterhouse IQC'!$A$6:$A$64,7)="2026-07")*('Slaughterhouse IQC'!$B$6:$B$64="Parks Family Meats")*('Slaughterhouse IQC'!$F$6:$F$64="666518")*'Slaughterhouse IQC'!$I$6:$I$64))</f>
        <v>113</v>
      </c>
      <c r="F52" s="17" t="str">
        <f>IF(SUMPRODUCT((LEFT('Slaughterhouse IQC'!$A$6:$A$64,7)="2026-08")*('Slaughterhouse IQC'!$B$6:$B$64="Parks Family Meats")*('Slaughterhouse IQC'!$F$6:$F$64="666518")*'Slaughterhouse IQC'!$I$6:$I$64)=0,"",SUMPRODUCT((LEFT('Slaughterhouse IQC'!$A$6:$A$64,7)="2026-08")*('Slaughterhouse IQC'!$B$6:$B$64="Parks Family Meats")*('Slaughterhouse IQC'!$F$6:$F$64="666518")*'Slaughterhouse IQC'!$I$6:$I$64))</f>
        <v/>
      </c>
      <c r="G52" s="17">
        <f>SUM(B52:F52)</f>
        <v>257</v>
      </c>
    </row>
    <row r="53" spans="1:7" x14ac:dyDescent="0.3">
      <c r="A53" s="16" t="s">
        <v>37</v>
      </c>
      <c r="B53" s="17" t="str">
        <f>IF(SUMPRODUCT((LEFT('Slaughterhouse IQC'!$A$6:$A$64,7)="2026-04")*('Slaughterhouse IQC'!$B$6:$B$64="Parks Family Meats")*('Slaughterhouse IQC'!$F$6:$F$64="666518")*'Slaughterhouse IQC'!$I$6:$I$64)=0,"",SUMPRODUCT((LEFT('Slaughterhouse IQC'!$A$6:$A$64,7)="2026-04")*('Slaughterhouse IQC'!$B$6:$B$64="Parks Family Meats")*('Slaughterhouse IQC'!$F$6:$F$64="666518")*'Slaughterhouse IQC'!$J$6:$J$64))</f>
        <v/>
      </c>
      <c r="C53" s="17">
        <f>IF(SUMPRODUCT((LEFT('Slaughterhouse IQC'!$A$6:$A$64,7)="2026-05")*('Slaughterhouse IQC'!$B$6:$B$64="Parks Family Meats")*('Slaughterhouse IQC'!$F$6:$F$64="666518")*'Slaughterhouse IQC'!$I$6:$I$64)=0,"",SUMPRODUCT((LEFT('Slaughterhouse IQC'!$A$6:$A$64,7)="2026-05")*('Slaughterhouse IQC'!$B$6:$B$64="Parks Family Meats")*('Slaughterhouse IQC'!$F$6:$F$64="666518")*'Slaughterhouse IQC'!$J$6:$J$64))</f>
        <v>11</v>
      </c>
      <c r="D53" s="17">
        <f>IF(SUMPRODUCT((LEFT('Slaughterhouse IQC'!$A$6:$A$64,7)="2026-06")*('Slaughterhouse IQC'!$B$6:$B$64="Parks Family Meats")*('Slaughterhouse IQC'!$F$6:$F$64="666518")*'Slaughterhouse IQC'!$I$6:$I$64)=0,"",SUMPRODUCT((LEFT('Slaughterhouse IQC'!$A$6:$A$64,7)="2026-06")*('Slaughterhouse IQC'!$B$6:$B$64="Parks Family Meats")*('Slaughterhouse IQC'!$F$6:$F$64="666518")*'Slaughterhouse IQC'!$J$6:$J$64))</f>
        <v>106</v>
      </c>
      <c r="E53" s="17">
        <f>IF(SUMPRODUCT((LEFT('Slaughterhouse IQC'!$A$6:$A$64,7)="2026-07")*('Slaughterhouse IQC'!$B$6:$B$64="Parks Family Meats")*('Slaughterhouse IQC'!$F$6:$F$64="666518")*'Slaughterhouse IQC'!$I$6:$I$64)=0,"",SUMPRODUCT((LEFT('Slaughterhouse IQC'!$A$6:$A$64,7)="2026-07")*('Slaughterhouse IQC'!$B$6:$B$64="Parks Family Meats")*('Slaughterhouse IQC'!$F$6:$F$64="666518")*'Slaughterhouse IQC'!$J$6:$J$64))</f>
        <v>100</v>
      </c>
      <c r="F53" s="17" t="str">
        <f>IF(SUMPRODUCT((LEFT('Slaughterhouse IQC'!$A$6:$A$64,7)="2026-08")*('Slaughterhouse IQC'!$B$6:$B$64="Parks Family Meats")*('Slaughterhouse IQC'!$F$6:$F$64="666518")*'Slaughterhouse IQC'!$I$6:$I$64)=0,"",SUMPRODUCT((LEFT('Slaughterhouse IQC'!$A$6:$A$64,7)="2026-08")*('Slaughterhouse IQC'!$B$6:$B$64="Parks Family Meats")*('Slaughterhouse IQC'!$F$6:$F$64="666518")*'Slaughterhouse IQC'!$J$6:$J$64))</f>
        <v/>
      </c>
      <c r="G53" s="17">
        <f>SUM(B53:F53)</f>
        <v>217</v>
      </c>
    </row>
    <row r="54" spans="1:7" x14ac:dyDescent="0.3">
      <c r="A54" s="16" t="s">
        <v>38</v>
      </c>
      <c r="B54" s="17" t="str">
        <f>IF(SUMPRODUCT((LEFT('Slaughterhouse IQC'!$A$6:$A$64,7)="2026-04")*('Slaughterhouse IQC'!$B$6:$B$64="Parks Family Meats")*('Slaughterhouse IQC'!$F$6:$F$64="666518")*'Slaughterhouse IQC'!$I$6:$I$64)=0,"",SUMPRODUCT((LEFT('Slaughterhouse IQC'!$A$6:$A$64,7)="2026-04")*('Slaughterhouse IQC'!$B$6:$B$64="Parks Family Meats")*('Slaughterhouse IQC'!$F$6:$F$64="666518")*'Slaughterhouse IQC'!$K$6:$K$64))</f>
        <v/>
      </c>
      <c r="C54" s="17">
        <f>IF(SUMPRODUCT((LEFT('Slaughterhouse IQC'!$A$6:$A$64,7)="2026-05")*('Slaughterhouse IQC'!$B$6:$B$64="Parks Family Meats")*('Slaughterhouse IQC'!$F$6:$F$64="666518")*'Slaughterhouse IQC'!$I$6:$I$64)=0,"",SUMPRODUCT((LEFT('Slaughterhouse IQC'!$A$6:$A$64,7)="2026-05")*('Slaughterhouse IQC'!$B$6:$B$64="Parks Family Meats")*('Slaughterhouse IQC'!$F$6:$F$64="666518")*'Slaughterhouse IQC'!$K$6:$K$64))</f>
        <v>5</v>
      </c>
      <c r="D54" s="17">
        <f>IF(SUMPRODUCT((LEFT('Slaughterhouse IQC'!$A$6:$A$64,7)="2026-06")*('Slaughterhouse IQC'!$B$6:$B$64="Parks Family Meats")*('Slaughterhouse IQC'!$F$6:$F$64="666518")*'Slaughterhouse IQC'!$I$6:$I$64)=0,"",SUMPRODUCT((LEFT('Slaughterhouse IQC'!$A$6:$A$64,7)="2026-06")*('Slaughterhouse IQC'!$B$6:$B$64="Parks Family Meats")*('Slaughterhouse IQC'!$F$6:$F$64="666518")*'Slaughterhouse IQC'!$K$6:$K$64))</f>
        <v>22</v>
      </c>
      <c r="E54" s="17">
        <f>IF(SUMPRODUCT((LEFT('Slaughterhouse IQC'!$A$6:$A$64,7)="2026-07")*('Slaughterhouse IQC'!$B$6:$B$64="Parks Family Meats")*('Slaughterhouse IQC'!$F$6:$F$64="666518")*'Slaughterhouse IQC'!$I$6:$I$64)=0,"",SUMPRODUCT((LEFT('Slaughterhouse IQC'!$A$6:$A$64,7)="2026-07")*('Slaughterhouse IQC'!$B$6:$B$64="Parks Family Meats")*('Slaughterhouse IQC'!$F$6:$F$64="666518")*'Slaughterhouse IQC'!$K$6:$K$64))</f>
        <v>13</v>
      </c>
      <c r="F54" s="17" t="str">
        <f>IF(SUMPRODUCT((LEFT('Slaughterhouse IQC'!$A$6:$A$64,7)="2026-08")*('Slaughterhouse IQC'!$B$6:$B$64="Parks Family Meats")*('Slaughterhouse IQC'!$F$6:$F$64="666518")*'Slaughterhouse IQC'!$I$6:$I$64)=0,"",SUMPRODUCT((LEFT('Slaughterhouse IQC'!$A$6:$A$64,7)="2026-08")*('Slaughterhouse IQC'!$B$6:$B$64="Parks Family Meats")*('Slaughterhouse IQC'!$F$6:$F$64="666518")*'Slaughterhouse IQC'!$K$6:$K$64))</f>
        <v/>
      </c>
      <c r="G54" s="17">
        <f>SUM(B54:F54)</f>
        <v>40</v>
      </c>
    </row>
    <row r="55" spans="1:7" x14ac:dyDescent="0.3">
      <c r="A55" s="19" t="s">
        <v>154</v>
      </c>
      <c r="B55" s="20" t="str">
        <f>IF(B52="","",IF(B52=0,"",B53/B52))</f>
        <v/>
      </c>
      <c r="C55" s="20">
        <f>IF(C52="","",IF(C52=0,"",C53/C52))</f>
        <v>0.6875</v>
      </c>
      <c r="D55" s="20">
        <f>IF(D52="","",IF(D52=0,"",D53/D52))</f>
        <v>0.828125</v>
      </c>
      <c r="E55" s="20">
        <f>IF(E52="","",IF(E52=0,"",E53/E52))</f>
        <v>0.88495575221238942</v>
      </c>
      <c r="F55" s="20" t="str">
        <f>IF(F52="","",IF(F52=0,"",F53/F52))</f>
        <v/>
      </c>
      <c r="G55" s="20">
        <f>IF(G52=0,"",G53/G52)</f>
        <v>0.8443579766536965</v>
      </c>
    </row>
    <row r="56" spans="1:7" ht="15" customHeight="1" x14ac:dyDescent="0.3">
      <c r="A56" s="8" t="s">
        <v>303</v>
      </c>
      <c r="B56" s="11"/>
      <c r="C56" s="11"/>
      <c r="D56" s="11"/>
      <c r="E56" s="11"/>
      <c r="F56" s="11"/>
      <c r="G56" s="11"/>
    </row>
    <row r="57" spans="1:7" x14ac:dyDescent="0.3">
      <c r="A57" s="21" t="s">
        <v>304</v>
      </c>
      <c r="C57" s="17">
        <v>1</v>
      </c>
      <c r="D57" s="17">
        <v>10</v>
      </c>
      <c r="G57" s="17">
        <v>11</v>
      </c>
    </row>
    <row r="58" spans="1:7" x14ac:dyDescent="0.3">
      <c r="A58" s="21" t="s">
        <v>306</v>
      </c>
      <c r="D58" s="17">
        <v>2</v>
      </c>
      <c r="E58" s="17">
        <v>3</v>
      </c>
      <c r="G58" s="17">
        <v>5</v>
      </c>
    </row>
    <row r="59" spans="1:7" x14ac:dyDescent="0.3">
      <c r="A59" s="21" t="s">
        <v>307</v>
      </c>
      <c r="C59" s="17">
        <v>4</v>
      </c>
      <c r="D59" s="17">
        <v>5</v>
      </c>
      <c r="E59" s="17">
        <v>6</v>
      </c>
      <c r="G59" s="17">
        <v>15</v>
      </c>
    </row>
    <row r="60" spans="1:7" x14ac:dyDescent="0.3">
      <c r="A60" s="21" t="s">
        <v>312</v>
      </c>
      <c r="D60" s="17">
        <v>3</v>
      </c>
      <c r="E60" s="17">
        <v>3</v>
      </c>
      <c r="G60" s="17">
        <v>6</v>
      </c>
    </row>
    <row r="61" spans="1:7" x14ac:dyDescent="0.3">
      <c r="A61" s="21" t="s">
        <v>313</v>
      </c>
      <c r="D61" s="17">
        <v>2</v>
      </c>
      <c r="E61" s="17">
        <v>1</v>
      </c>
      <c r="G61" s="17">
        <v>3</v>
      </c>
    </row>
    <row r="62" spans="1:7" x14ac:dyDescent="0.3">
      <c r="A62" s="19" t="s">
        <v>309</v>
      </c>
      <c r="B62" s="17" t="str">
        <f>IF(SUM(B57:B61)=0,"",SUM(B57:B61))</f>
        <v/>
      </c>
      <c r="C62" s="17">
        <f>IF(SUM(C57:C61)=0,"",SUM(C57:C61))</f>
        <v>5</v>
      </c>
      <c r="D62" s="17">
        <f>IF(SUM(D57:D61)=0,"",SUM(D57:D61))</f>
        <v>22</v>
      </c>
      <c r="E62" s="17">
        <f>IF(SUM(E57:E61)=0,"",SUM(E57:E61))</f>
        <v>13</v>
      </c>
      <c r="F62" s="17" t="str">
        <f>IF(SUM(F57:F61)=0,"",SUM(F57:F61))</f>
        <v/>
      </c>
      <c r="G62" s="17">
        <f>SUM(G57:G61)</f>
        <v>40</v>
      </c>
    </row>
    <row r="64" spans="1:7" ht="18" customHeight="1" x14ac:dyDescent="0.3">
      <c r="A64" s="9" t="s">
        <v>314</v>
      </c>
      <c r="B64" s="11"/>
      <c r="C64" s="11"/>
      <c r="D64" s="11"/>
      <c r="E64" s="11"/>
      <c r="F64" s="11"/>
      <c r="G64" s="11"/>
    </row>
    <row r="65" spans="1:7" x14ac:dyDescent="0.3">
      <c r="A65" s="18" t="s">
        <v>91</v>
      </c>
      <c r="B65" s="18" t="s">
        <v>290</v>
      </c>
      <c r="C65" s="18" t="s">
        <v>291</v>
      </c>
      <c r="D65" s="18" t="s">
        <v>292</v>
      </c>
      <c r="E65" s="18" t="s">
        <v>293</v>
      </c>
      <c r="F65" s="18" t="s">
        <v>294</v>
      </c>
      <c r="G65" s="18" t="s">
        <v>4</v>
      </c>
    </row>
    <row r="66" spans="1:7" x14ac:dyDescent="0.3">
      <c r="A66" s="16" t="s">
        <v>36</v>
      </c>
      <c r="B66" s="17" t="str">
        <f>IF(SUMPRODUCT((LEFT('Slaughterhouse IQC'!$A$6:$A$64,7)="2026-04")*('Slaughterhouse IQC'!$B$6:$B$64="Parks Family Meats")*('Slaughterhouse IQC'!$F$6:$F$64="666541")*'Slaughterhouse IQC'!$I$6:$I$64)=0,"",SUMPRODUCT((LEFT('Slaughterhouse IQC'!$A$6:$A$64,7)="2026-04")*('Slaughterhouse IQC'!$B$6:$B$64="Parks Family Meats")*('Slaughterhouse IQC'!$F$6:$F$64="666541")*'Slaughterhouse IQC'!$I$6:$I$64))</f>
        <v/>
      </c>
      <c r="C66" s="17" t="str">
        <f>IF(SUMPRODUCT((LEFT('Slaughterhouse IQC'!$A$6:$A$64,7)="2026-05")*('Slaughterhouse IQC'!$B$6:$B$64="Parks Family Meats")*('Slaughterhouse IQC'!$F$6:$F$64="666541")*'Slaughterhouse IQC'!$I$6:$I$64)=0,"",SUMPRODUCT((LEFT('Slaughterhouse IQC'!$A$6:$A$64,7)="2026-05")*('Slaughterhouse IQC'!$B$6:$B$64="Parks Family Meats")*('Slaughterhouse IQC'!$F$6:$F$64="666541")*'Slaughterhouse IQC'!$I$6:$I$64))</f>
        <v/>
      </c>
      <c r="D66" s="17" t="str">
        <f>IF(SUMPRODUCT((LEFT('Slaughterhouse IQC'!$A$6:$A$64,7)="2026-06")*('Slaughterhouse IQC'!$B$6:$B$64="Parks Family Meats")*('Slaughterhouse IQC'!$F$6:$F$64="666541")*'Slaughterhouse IQC'!$I$6:$I$64)=0,"",SUMPRODUCT((LEFT('Slaughterhouse IQC'!$A$6:$A$64,7)="2026-06")*('Slaughterhouse IQC'!$B$6:$B$64="Parks Family Meats")*('Slaughterhouse IQC'!$F$6:$F$64="666541")*'Slaughterhouse IQC'!$I$6:$I$64))</f>
        <v/>
      </c>
      <c r="E66" s="17" t="str">
        <f>IF(SUMPRODUCT((LEFT('Slaughterhouse IQC'!$A$6:$A$64,7)="2026-07")*('Slaughterhouse IQC'!$B$6:$B$64="Parks Family Meats")*('Slaughterhouse IQC'!$F$6:$F$64="666541")*'Slaughterhouse IQC'!$I$6:$I$64)=0,"",SUMPRODUCT((LEFT('Slaughterhouse IQC'!$A$6:$A$64,7)="2026-07")*('Slaughterhouse IQC'!$B$6:$B$64="Parks Family Meats")*('Slaughterhouse IQC'!$F$6:$F$64="666541")*'Slaughterhouse IQC'!$I$6:$I$64))</f>
        <v/>
      </c>
      <c r="F66" s="17">
        <f>IF(SUMPRODUCT((LEFT('Slaughterhouse IQC'!$A$6:$A$64,7)="2026-08")*('Slaughterhouse IQC'!$B$6:$B$64="Parks Family Meats")*('Slaughterhouse IQC'!$F$6:$F$64="666541")*'Slaughterhouse IQC'!$I$6:$I$64)=0,"",SUMPRODUCT((LEFT('Slaughterhouse IQC'!$A$6:$A$64,7)="2026-08")*('Slaughterhouse IQC'!$B$6:$B$64="Parks Family Meats")*('Slaughterhouse IQC'!$F$6:$F$64="666541")*'Slaughterhouse IQC'!$I$6:$I$64))</f>
        <v>33</v>
      </c>
      <c r="G66" s="17">
        <f>SUM(B66:F66)</f>
        <v>33</v>
      </c>
    </row>
    <row r="67" spans="1:7" x14ac:dyDescent="0.3">
      <c r="A67" s="16" t="s">
        <v>37</v>
      </c>
      <c r="B67" s="17" t="str">
        <f>IF(SUMPRODUCT((LEFT('Slaughterhouse IQC'!$A$6:$A$64,7)="2026-04")*('Slaughterhouse IQC'!$B$6:$B$64="Parks Family Meats")*('Slaughterhouse IQC'!$F$6:$F$64="666541")*'Slaughterhouse IQC'!$I$6:$I$64)=0,"",SUMPRODUCT((LEFT('Slaughterhouse IQC'!$A$6:$A$64,7)="2026-04")*('Slaughterhouse IQC'!$B$6:$B$64="Parks Family Meats")*('Slaughterhouse IQC'!$F$6:$F$64="666541")*'Slaughterhouse IQC'!$J$6:$J$64))</f>
        <v/>
      </c>
      <c r="C67" s="17" t="str">
        <f>IF(SUMPRODUCT((LEFT('Slaughterhouse IQC'!$A$6:$A$64,7)="2026-05")*('Slaughterhouse IQC'!$B$6:$B$64="Parks Family Meats")*('Slaughterhouse IQC'!$F$6:$F$64="666541")*'Slaughterhouse IQC'!$I$6:$I$64)=0,"",SUMPRODUCT((LEFT('Slaughterhouse IQC'!$A$6:$A$64,7)="2026-05")*('Slaughterhouse IQC'!$B$6:$B$64="Parks Family Meats")*('Slaughterhouse IQC'!$F$6:$F$64="666541")*'Slaughterhouse IQC'!$J$6:$J$64))</f>
        <v/>
      </c>
      <c r="D67" s="17" t="str">
        <f>IF(SUMPRODUCT((LEFT('Slaughterhouse IQC'!$A$6:$A$64,7)="2026-06")*('Slaughterhouse IQC'!$B$6:$B$64="Parks Family Meats")*('Slaughterhouse IQC'!$F$6:$F$64="666541")*'Slaughterhouse IQC'!$I$6:$I$64)=0,"",SUMPRODUCT((LEFT('Slaughterhouse IQC'!$A$6:$A$64,7)="2026-06")*('Slaughterhouse IQC'!$B$6:$B$64="Parks Family Meats")*('Slaughterhouse IQC'!$F$6:$F$64="666541")*'Slaughterhouse IQC'!$J$6:$J$64))</f>
        <v/>
      </c>
      <c r="E67" s="17" t="str">
        <f>IF(SUMPRODUCT((LEFT('Slaughterhouse IQC'!$A$6:$A$64,7)="2026-07")*('Slaughterhouse IQC'!$B$6:$B$64="Parks Family Meats")*('Slaughterhouse IQC'!$F$6:$F$64="666541")*'Slaughterhouse IQC'!$I$6:$I$64)=0,"",SUMPRODUCT((LEFT('Slaughterhouse IQC'!$A$6:$A$64,7)="2026-07")*('Slaughterhouse IQC'!$B$6:$B$64="Parks Family Meats")*('Slaughterhouse IQC'!$F$6:$F$64="666541")*'Slaughterhouse IQC'!$J$6:$J$64))</f>
        <v/>
      </c>
      <c r="F67" s="17">
        <f>IF(SUMPRODUCT((LEFT('Slaughterhouse IQC'!$A$6:$A$64,7)="2026-08")*('Slaughterhouse IQC'!$B$6:$B$64="Parks Family Meats")*('Slaughterhouse IQC'!$F$6:$F$64="666541")*'Slaughterhouse IQC'!$I$6:$I$64)=0,"",SUMPRODUCT((LEFT('Slaughterhouse IQC'!$A$6:$A$64,7)="2026-08")*('Slaughterhouse IQC'!$B$6:$B$64="Parks Family Meats")*('Slaughterhouse IQC'!$F$6:$F$64="666541")*'Slaughterhouse IQC'!$J$6:$J$64))</f>
        <v>32</v>
      </c>
      <c r="G67" s="17">
        <f>SUM(B67:F67)</f>
        <v>32</v>
      </c>
    </row>
    <row r="68" spans="1:7" x14ac:dyDescent="0.3">
      <c r="A68" s="16" t="s">
        <v>38</v>
      </c>
      <c r="B68" s="17" t="str">
        <f>IF(SUMPRODUCT((LEFT('Slaughterhouse IQC'!$A$6:$A$64,7)="2026-04")*('Slaughterhouse IQC'!$B$6:$B$64="Parks Family Meats")*('Slaughterhouse IQC'!$F$6:$F$64="666541")*'Slaughterhouse IQC'!$I$6:$I$64)=0,"",SUMPRODUCT((LEFT('Slaughterhouse IQC'!$A$6:$A$64,7)="2026-04")*('Slaughterhouse IQC'!$B$6:$B$64="Parks Family Meats")*('Slaughterhouse IQC'!$F$6:$F$64="666541")*'Slaughterhouse IQC'!$K$6:$K$64))</f>
        <v/>
      </c>
      <c r="C68" s="17" t="str">
        <f>IF(SUMPRODUCT((LEFT('Slaughterhouse IQC'!$A$6:$A$64,7)="2026-05")*('Slaughterhouse IQC'!$B$6:$B$64="Parks Family Meats")*('Slaughterhouse IQC'!$F$6:$F$64="666541")*'Slaughterhouse IQC'!$I$6:$I$64)=0,"",SUMPRODUCT((LEFT('Slaughterhouse IQC'!$A$6:$A$64,7)="2026-05")*('Slaughterhouse IQC'!$B$6:$B$64="Parks Family Meats")*('Slaughterhouse IQC'!$F$6:$F$64="666541")*'Slaughterhouse IQC'!$K$6:$K$64))</f>
        <v/>
      </c>
      <c r="D68" s="17" t="str">
        <f>IF(SUMPRODUCT((LEFT('Slaughterhouse IQC'!$A$6:$A$64,7)="2026-06")*('Slaughterhouse IQC'!$B$6:$B$64="Parks Family Meats")*('Slaughterhouse IQC'!$F$6:$F$64="666541")*'Slaughterhouse IQC'!$I$6:$I$64)=0,"",SUMPRODUCT((LEFT('Slaughterhouse IQC'!$A$6:$A$64,7)="2026-06")*('Slaughterhouse IQC'!$B$6:$B$64="Parks Family Meats")*('Slaughterhouse IQC'!$F$6:$F$64="666541")*'Slaughterhouse IQC'!$K$6:$K$64))</f>
        <v/>
      </c>
      <c r="E68" s="17" t="str">
        <f>IF(SUMPRODUCT((LEFT('Slaughterhouse IQC'!$A$6:$A$64,7)="2026-07")*('Slaughterhouse IQC'!$B$6:$B$64="Parks Family Meats")*('Slaughterhouse IQC'!$F$6:$F$64="666541")*'Slaughterhouse IQC'!$I$6:$I$64)=0,"",SUMPRODUCT((LEFT('Slaughterhouse IQC'!$A$6:$A$64,7)="2026-07")*('Slaughterhouse IQC'!$B$6:$B$64="Parks Family Meats")*('Slaughterhouse IQC'!$F$6:$F$64="666541")*'Slaughterhouse IQC'!$K$6:$K$64))</f>
        <v/>
      </c>
      <c r="F68" s="17">
        <f>IF(SUMPRODUCT((LEFT('Slaughterhouse IQC'!$A$6:$A$64,7)="2026-08")*('Slaughterhouse IQC'!$B$6:$B$64="Parks Family Meats")*('Slaughterhouse IQC'!$F$6:$F$64="666541")*'Slaughterhouse IQC'!$I$6:$I$64)=0,"",SUMPRODUCT((LEFT('Slaughterhouse IQC'!$A$6:$A$64,7)="2026-08")*('Slaughterhouse IQC'!$B$6:$B$64="Parks Family Meats")*('Slaughterhouse IQC'!$F$6:$F$64="666541")*'Slaughterhouse IQC'!$K$6:$K$64))</f>
        <v>1</v>
      </c>
      <c r="G68" s="17">
        <f>SUM(B68:F68)</f>
        <v>1</v>
      </c>
    </row>
    <row r="69" spans="1:7" x14ac:dyDescent="0.3">
      <c r="A69" s="19" t="s">
        <v>154</v>
      </c>
      <c r="B69" s="20" t="str">
        <f>IF(B66="","",IF(B66=0,"",B67/B66))</f>
        <v/>
      </c>
      <c r="C69" s="20" t="str">
        <f>IF(C66="","",IF(C66=0,"",C67/C66))</f>
        <v/>
      </c>
      <c r="D69" s="20" t="str">
        <f>IF(D66="","",IF(D66=0,"",D67/D66))</f>
        <v/>
      </c>
      <c r="E69" s="20" t="str">
        <f>IF(E66="","",IF(E66=0,"",E67/E66))</f>
        <v/>
      </c>
      <c r="F69" s="20">
        <f>IF(F66="","",IF(F66=0,"",F67/F66))</f>
        <v>0.96969696969696972</v>
      </c>
      <c r="G69" s="20">
        <f>IF(G66=0,"",G67/G66)</f>
        <v>0.96969696969696972</v>
      </c>
    </row>
    <row r="70" spans="1:7" ht="15" customHeight="1" x14ac:dyDescent="0.3">
      <c r="A70" s="8" t="s">
        <v>303</v>
      </c>
      <c r="B70" s="11"/>
      <c r="C70" s="11"/>
      <c r="D70" s="11"/>
      <c r="E70" s="11"/>
      <c r="F70" s="11"/>
      <c r="G70" s="11"/>
    </row>
    <row r="71" spans="1:7" x14ac:dyDescent="0.3">
      <c r="A71" s="21" t="s">
        <v>306</v>
      </c>
      <c r="F71" s="17">
        <v>1</v>
      </c>
      <c r="G71" s="17">
        <v>1</v>
      </c>
    </row>
    <row r="72" spans="1:7" x14ac:dyDescent="0.3">
      <c r="A72" s="19" t="s">
        <v>309</v>
      </c>
      <c r="B72" s="17" t="str">
        <f>IF(SUM(B71:B71)=0,"",SUM(B71:B71))</f>
        <v/>
      </c>
      <c r="C72" s="17" t="str">
        <f>IF(SUM(C71:C71)=0,"",SUM(C71:C71))</f>
        <v/>
      </c>
      <c r="D72" s="17" t="str">
        <f>IF(SUM(D71:D71)=0,"",SUM(D71:D71))</f>
        <v/>
      </c>
      <c r="E72" s="17" t="str">
        <f>IF(SUM(E71:E71)=0,"",SUM(E71:E71))</f>
        <v/>
      </c>
      <c r="F72" s="17">
        <f>IF(SUM(F71:F71)=0,"",SUM(F71:F71))</f>
        <v>1</v>
      </c>
      <c r="G72" s="17">
        <f>SUM(G71:G71)</f>
        <v>1</v>
      </c>
    </row>
    <row r="74" spans="1:7" ht="18" customHeight="1" x14ac:dyDescent="0.3">
      <c r="A74" s="9" t="s">
        <v>315</v>
      </c>
      <c r="B74" s="11"/>
      <c r="C74" s="11"/>
      <c r="D74" s="11"/>
      <c r="E74" s="11"/>
      <c r="F74" s="11"/>
      <c r="G74" s="11"/>
    </row>
    <row r="75" spans="1:7" x14ac:dyDescent="0.3">
      <c r="A75" s="18" t="s">
        <v>91</v>
      </c>
      <c r="B75" s="18" t="s">
        <v>290</v>
      </c>
      <c r="C75" s="18" t="s">
        <v>291</v>
      </c>
      <c r="D75" s="18" t="s">
        <v>292</v>
      </c>
      <c r="E75" s="18" t="s">
        <v>293</v>
      </c>
      <c r="F75" s="18" t="s">
        <v>294</v>
      </c>
      <c r="G75" s="18" t="s">
        <v>4</v>
      </c>
    </row>
    <row r="76" spans="1:7" x14ac:dyDescent="0.3">
      <c r="A76" s="16" t="s">
        <v>36</v>
      </c>
      <c r="B76" s="17" t="str">
        <f>IF(SUMPRODUCT((LEFT('Slaughterhouse IQC'!$A$6:$A$64,7)="2026-04")*('Slaughterhouse IQC'!$B$6:$B$64="Nahunta")*('Slaughterhouse IQC'!$F$6:$F$64="666541")*'Slaughterhouse IQC'!$I$6:$I$64)=0,"",SUMPRODUCT((LEFT('Slaughterhouse IQC'!$A$6:$A$64,7)="2026-04")*('Slaughterhouse IQC'!$B$6:$B$64="Nahunta")*('Slaughterhouse IQC'!$F$6:$F$64="666541")*'Slaughterhouse IQC'!$I$6:$I$64))</f>
        <v/>
      </c>
      <c r="C76" s="17" t="str">
        <f>IF(SUMPRODUCT((LEFT('Slaughterhouse IQC'!$A$6:$A$64,7)="2026-05")*('Slaughterhouse IQC'!$B$6:$B$64="Nahunta")*('Slaughterhouse IQC'!$F$6:$F$64="666541")*'Slaughterhouse IQC'!$I$6:$I$64)=0,"",SUMPRODUCT((LEFT('Slaughterhouse IQC'!$A$6:$A$64,7)="2026-05")*('Slaughterhouse IQC'!$B$6:$B$64="Nahunta")*('Slaughterhouse IQC'!$F$6:$F$64="666541")*'Slaughterhouse IQC'!$I$6:$I$64))</f>
        <v/>
      </c>
      <c r="D76" s="17" t="str">
        <f>IF(SUMPRODUCT((LEFT('Slaughterhouse IQC'!$A$6:$A$64,7)="2026-06")*('Slaughterhouse IQC'!$B$6:$B$64="Nahunta")*('Slaughterhouse IQC'!$F$6:$F$64="666541")*'Slaughterhouse IQC'!$I$6:$I$64)=0,"",SUMPRODUCT((LEFT('Slaughterhouse IQC'!$A$6:$A$64,7)="2026-06")*('Slaughterhouse IQC'!$B$6:$B$64="Nahunta")*('Slaughterhouse IQC'!$F$6:$F$64="666541")*'Slaughterhouse IQC'!$I$6:$I$64))</f>
        <v/>
      </c>
      <c r="E76" s="17">
        <f>IF(SUMPRODUCT((LEFT('Slaughterhouse IQC'!$A$6:$A$64,7)="2026-07")*('Slaughterhouse IQC'!$B$6:$B$64="Nahunta")*('Slaughterhouse IQC'!$F$6:$F$64="666541")*'Slaughterhouse IQC'!$I$6:$I$64)=0,"",SUMPRODUCT((LEFT('Slaughterhouse IQC'!$A$6:$A$64,7)="2026-07")*('Slaughterhouse IQC'!$B$6:$B$64="Nahunta")*('Slaughterhouse IQC'!$F$6:$F$64="666541")*'Slaughterhouse IQC'!$I$6:$I$64))</f>
        <v>1</v>
      </c>
      <c r="F76" s="17">
        <f>IF(SUMPRODUCT((LEFT('Slaughterhouse IQC'!$A$6:$A$64,7)="2026-08")*('Slaughterhouse IQC'!$B$6:$B$64="Nahunta")*('Slaughterhouse IQC'!$F$6:$F$64="666541")*'Slaughterhouse IQC'!$I$6:$I$64)=0,"",SUMPRODUCT((LEFT('Slaughterhouse IQC'!$A$6:$A$64,7)="2026-08")*('Slaughterhouse IQC'!$B$6:$B$64="Nahunta")*('Slaughterhouse IQC'!$F$6:$F$64="666541")*'Slaughterhouse IQC'!$I$6:$I$64))</f>
        <v>13</v>
      </c>
      <c r="G76" s="17">
        <f>SUM(B76:F76)</f>
        <v>14</v>
      </c>
    </row>
    <row r="77" spans="1:7" x14ac:dyDescent="0.3">
      <c r="A77" s="16" t="s">
        <v>37</v>
      </c>
      <c r="B77" s="17" t="str">
        <f>IF(SUMPRODUCT((LEFT('Slaughterhouse IQC'!$A$6:$A$64,7)="2026-04")*('Slaughterhouse IQC'!$B$6:$B$64="Nahunta")*('Slaughterhouse IQC'!$F$6:$F$64="666541")*'Slaughterhouse IQC'!$I$6:$I$64)=0,"",SUMPRODUCT((LEFT('Slaughterhouse IQC'!$A$6:$A$64,7)="2026-04")*('Slaughterhouse IQC'!$B$6:$B$64="Nahunta")*('Slaughterhouse IQC'!$F$6:$F$64="666541")*'Slaughterhouse IQC'!$J$6:$J$64))</f>
        <v/>
      </c>
      <c r="C77" s="17" t="str">
        <f>IF(SUMPRODUCT((LEFT('Slaughterhouse IQC'!$A$6:$A$64,7)="2026-05")*('Slaughterhouse IQC'!$B$6:$B$64="Nahunta")*('Slaughterhouse IQC'!$F$6:$F$64="666541")*'Slaughterhouse IQC'!$I$6:$I$64)=0,"",SUMPRODUCT((LEFT('Slaughterhouse IQC'!$A$6:$A$64,7)="2026-05")*('Slaughterhouse IQC'!$B$6:$B$64="Nahunta")*('Slaughterhouse IQC'!$F$6:$F$64="666541")*'Slaughterhouse IQC'!$J$6:$J$64))</f>
        <v/>
      </c>
      <c r="D77" s="17" t="str">
        <f>IF(SUMPRODUCT((LEFT('Slaughterhouse IQC'!$A$6:$A$64,7)="2026-06")*('Slaughterhouse IQC'!$B$6:$B$64="Nahunta")*('Slaughterhouse IQC'!$F$6:$F$64="666541")*'Slaughterhouse IQC'!$I$6:$I$64)=0,"",SUMPRODUCT((LEFT('Slaughterhouse IQC'!$A$6:$A$64,7)="2026-06")*('Slaughterhouse IQC'!$B$6:$B$64="Nahunta")*('Slaughterhouse IQC'!$F$6:$F$64="666541")*'Slaughterhouse IQC'!$J$6:$J$64))</f>
        <v/>
      </c>
      <c r="E77" s="17">
        <f>IF(SUMPRODUCT((LEFT('Slaughterhouse IQC'!$A$6:$A$64,7)="2026-07")*('Slaughterhouse IQC'!$B$6:$B$64="Nahunta")*('Slaughterhouse IQC'!$F$6:$F$64="666541")*'Slaughterhouse IQC'!$I$6:$I$64)=0,"",SUMPRODUCT((LEFT('Slaughterhouse IQC'!$A$6:$A$64,7)="2026-07")*('Slaughterhouse IQC'!$B$6:$B$64="Nahunta")*('Slaughterhouse IQC'!$F$6:$F$64="666541")*'Slaughterhouse IQC'!$J$6:$J$64))</f>
        <v>1</v>
      </c>
      <c r="F77" s="17">
        <f>IF(SUMPRODUCT((LEFT('Slaughterhouse IQC'!$A$6:$A$64,7)="2026-08")*('Slaughterhouse IQC'!$B$6:$B$64="Nahunta")*('Slaughterhouse IQC'!$F$6:$F$64="666541")*'Slaughterhouse IQC'!$I$6:$I$64)=0,"",SUMPRODUCT((LEFT('Slaughterhouse IQC'!$A$6:$A$64,7)="2026-08")*('Slaughterhouse IQC'!$B$6:$B$64="Nahunta")*('Slaughterhouse IQC'!$F$6:$F$64="666541")*'Slaughterhouse IQC'!$J$6:$J$64))</f>
        <v>1</v>
      </c>
      <c r="G77" s="17">
        <f>SUM(B77:F77)</f>
        <v>2</v>
      </c>
    </row>
    <row r="78" spans="1:7" x14ac:dyDescent="0.3">
      <c r="A78" s="16" t="s">
        <v>38</v>
      </c>
      <c r="B78" s="17" t="str">
        <f>IF(SUMPRODUCT((LEFT('Slaughterhouse IQC'!$A$6:$A$64,7)="2026-04")*('Slaughterhouse IQC'!$B$6:$B$64="Nahunta")*('Slaughterhouse IQC'!$F$6:$F$64="666541")*'Slaughterhouse IQC'!$I$6:$I$64)=0,"",SUMPRODUCT((LEFT('Slaughterhouse IQC'!$A$6:$A$64,7)="2026-04")*('Slaughterhouse IQC'!$B$6:$B$64="Nahunta")*('Slaughterhouse IQC'!$F$6:$F$64="666541")*'Slaughterhouse IQC'!$K$6:$K$64))</f>
        <v/>
      </c>
      <c r="C78" s="17" t="str">
        <f>IF(SUMPRODUCT((LEFT('Slaughterhouse IQC'!$A$6:$A$64,7)="2026-05")*('Slaughterhouse IQC'!$B$6:$B$64="Nahunta")*('Slaughterhouse IQC'!$F$6:$F$64="666541")*'Slaughterhouse IQC'!$I$6:$I$64)=0,"",SUMPRODUCT((LEFT('Slaughterhouse IQC'!$A$6:$A$64,7)="2026-05")*('Slaughterhouse IQC'!$B$6:$B$64="Nahunta")*('Slaughterhouse IQC'!$F$6:$F$64="666541")*'Slaughterhouse IQC'!$K$6:$K$64))</f>
        <v/>
      </c>
      <c r="D78" s="17" t="str">
        <f>IF(SUMPRODUCT((LEFT('Slaughterhouse IQC'!$A$6:$A$64,7)="2026-06")*('Slaughterhouse IQC'!$B$6:$B$64="Nahunta")*('Slaughterhouse IQC'!$F$6:$F$64="666541")*'Slaughterhouse IQC'!$I$6:$I$64)=0,"",SUMPRODUCT((LEFT('Slaughterhouse IQC'!$A$6:$A$64,7)="2026-06")*('Slaughterhouse IQC'!$B$6:$B$64="Nahunta")*('Slaughterhouse IQC'!$F$6:$F$64="666541")*'Slaughterhouse IQC'!$K$6:$K$64))</f>
        <v/>
      </c>
      <c r="E78" s="17">
        <f>IF(SUMPRODUCT((LEFT('Slaughterhouse IQC'!$A$6:$A$64,7)="2026-07")*('Slaughterhouse IQC'!$B$6:$B$64="Nahunta")*('Slaughterhouse IQC'!$F$6:$F$64="666541")*'Slaughterhouse IQC'!$I$6:$I$64)=0,"",SUMPRODUCT((LEFT('Slaughterhouse IQC'!$A$6:$A$64,7)="2026-07")*('Slaughterhouse IQC'!$B$6:$B$64="Nahunta")*('Slaughterhouse IQC'!$F$6:$F$64="666541")*'Slaughterhouse IQC'!$K$6:$K$64))</f>
        <v>0</v>
      </c>
      <c r="F78" s="17">
        <f>IF(SUMPRODUCT((LEFT('Slaughterhouse IQC'!$A$6:$A$64,7)="2026-08")*('Slaughterhouse IQC'!$B$6:$B$64="Nahunta")*('Slaughterhouse IQC'!$F$6:$F$64="666541")*'Slaughterhouse IQC'!$I$6:$I$64)=0,"",SUMPRODUCT((LEFT('Slaughterhouse IQC'!$A$6:$A$64,7)="2026-08")*('Slaughterhouse IQC'!$B$6:$B$64="Nahunta")*('Slaughterhouse IQC'!$F$6:$F$64="666541")*'Slaughterhouse IQC'!$K$6:$K$64))</f>
        <v>12</v>
      </c>
      <c r="G78" s="17">
        <f>SUM(B78:F78)</f>
        <v>12</v>
      </c>
    </row>
    <row r="79" spans="1:7" x14ac:dyDescent="0.3">
      <c r="A79" s="19" t="s">
        <v>154</v>
      </c>
      <c r="B79" s="20" t="str">
        <f>IF(B76="","",IF(B76=0,"",B77/B76))</f>
        <v/>
      </c>
      <c r="C79" s="20" t="str">
        <f>IF(C76="","",IF(C76=0,"",C77/C76))</f>
        <v/>
      </c>
      <c r="D79" s="20" t="str">
        <f>IF(D76="","",IF(D76=0,"",D77/D76))</f>
        <v/>
      </c>
      <c r="E79" s="20">
        <f>IF(E76="","",IF(E76=0,"",E77/E76))</f>
        <v>1</v>
      </c>
      <c r="F79" s="20">
        <f>IF(F76="","",IF(F76=0,"",F77/F76))</f>
        <v>7.6923076923076927E-2</v>
      </c>
      <c r="G79" s="20">
        <f>IF(G76=0,"",G77/G76)</f>
        <v>0.14285714285714285</v>
      </c>
    </row>
    <row r="80" spans="1:7" ht="15" customHeight="1" x14ac:dyDescent="0.3">
      <c r="A80" s="8" t="s">
        <v>303</v>
      </c>
      <c r="B80" s="11"/>
      <c r="C80" s="11"/>
      <c r="D80" s="11"/>
      <c r="E80" s="11"/>
      <c r="F80" s="11"/>
      <c r="G80" s="11"/>
    </row>
    <row r="81" spans="1:7" x14ac:dyDescent="0.3">
      <c r="A81" s="21" t="s">
        <v>308</v>
      </c>
      <c r="F81" s="17">
        <v>12</v>
      </c>
      <c r="G81" s="17">
        <v>12</v>
      </c>
    </row>
    <row r="82" spans="1:7" x14ac:dyDescent="0.3">
      <c r="A82" s="19" t="s">
        <v>309</v>
      </c>
      <c r="B82" s="17" t="str">
        <f>IF(SUM(B81:B81)=0,"",SUM(B81:B81))</f>
        <v/>
      </c>
      <c r="C82" s="17" t="str">
        <f>IF(SUM(C81:C81)=0,"",SUM(C81:C81))</f>
        <v/>
      </c>
      <c r="D82" s="17" t="str">
        <f>IF(SUM(D81:D81)=0,"",SUM(D81:D81))</f>
        <v/>
      </c>
      <c r="E82" s="17" t="str">
        <f>IF(SUM(E81:E81)=0,"",SUM(E81:E81))</f>
        <v/>
      </c>
      <c r="F82" s="17">
        <f>IF(SUM(F81:F81)=0,"",SUM(F81:F81))</f>
        <v>12</v>
      </c>
      <c r="G82" s="17">
        <f>SUM(G81:G81)</f>
        <v>12</v>
      </c>
    </row>
    <row r="84" spans="1:7" ht="18" customHeight="1" x14ac:dyDescent="0.3">
      <c r="A84" s="9" t="s">
        <v>316</v>
      </c>
      <c r="B84" s="11"/>
      <c r="C84" s="11"/>
      <c r="D84" s="11"/>
      <c r="E84" s="11"/>
      <c r="F84" s="11"/>
      <c r="G84" s="11"/>
    </row>
    <row r="85" spans="1:7" x14ac:dyDescent="0.3">
      <c r="A85" s="18" t="s">
        <v>91</v>
      </c>
      <c r="B85" s="18" t="s">
        <v>290</v>
      </c>
      <c r="C85" s="18" t="s">
        <v>291</v>
      </c>
      <c r="D85" s="18" t="s">
        <v>292</v>
      </c>
      <c r="E85" s="18" t="s">
        <v>293</v>
      </c>
      <c r="F85" s="18" t="s">
        <v>294</v>
      </c>
      <c r="G85" s="18" t="s">
        <v>4</v>
      </c>
    </row>
    <row r="86" spans="1:7" x14ac:dyDescent="0.3">
      <c r="A86" s="16" t="s">
        <v>36</v>
      </c>
      <c r="B86" s="17" t="str">
        <f>IF(SUMPRODUCT((LEFT('Slaughterhouse IQC'!$A$6:$A$64,7)="2026-04")*('Slaughterhouse IQC'!$B$6:$B$64="Nahunta")*('Slaughterhouse IQC'!$F$6:$F$64="666521")*'Slaughterhouse IQC'!$I$6:$I$64)=0,"",SUMPRODUCT((LEFT('Slaughterhouse IQC'!$A$6:$A$64,7)="2026-04")*('Slaughterhouse IQC'!$B$6:$B$64="Nahunta")*('Slaughterhouse IQC'!$F$6:$F$64="666521")*'Slaughterhouse IQC'!$I$6:$I$64))</f>
        <v/>
      </c>
      <c r="C86" s="17" t="str">
        <f>IF(SUMPRODUCT((LEFT('Slaughterhouse IQC'!$A$6:$A$64,7)="2026-05")*('Slaughterhouse IQC'!$B$6:$B$64="Nahunta")*('Slaughterhouse IQC'!$F$6:$F$64="666521")*'Slaughterhouse IQC'!$I$6:$I$64)=0,"",SUMPRODUCT((LEFT('Slaughterhouse IQC'!$A$6:$A$64,7)="2026-05")*('Slaughterhouse IQC'!$B$6:$B$64="Nahunta")*('Slaughterhouse IQC'!$F$6:$F$64="666521")*'Slaughterhouse IQC'!$I$6:$I$64))</f>
        <v/>
      </c>
      <c r="D86" s="17" t="str">
        <f>IF(SUMPRODUCT((LEFT('Slaughterhouse IQC'!$A$6:$A$64,7)="2026-06")*('Slaughterhouse IQC'!$B$6:$B$64="Nahunta")*('Slaughterhouse IQC'!$F$6:$F$64="666521")*'Slaughterhouse IQC'!$I$6:$I$64)=0,"",SUMPRODUCT((LEFT('Slaughterhouse IQC'!$A$6:$A$64,7)="2026-06")*('Slaughterhouse IQC'!$B$6:$B$64="Nahunta")*('Slaughterhouse IQC'!$F$6:$F$64="666521")*'Slaughterhouse IQC'!$I$6:$I$64))</f>
        <v/>
      </c>
      <c r="E86" s="17">
        <f>IF(SUMPRODUCT((LEFT('Slaughterhouse IQC'!$A$6:$A$64,7)="2026-07")*('Slaughterhouse IQC'!$B$6:$B$64="Nahunta")*('Slaughterhouse IQC'!$F$6:$F$64="666521")*'Slaughterhouse IQC'!$I$6:$I$64)=0,"",SUMPRODUCT((LEFT('Slaughterhouse IQC'!$A$6:$A$64,7)="2026-07")*('Slaughterhouse IQC'!$B$6:$B$64="Nahunta")*('Slaughterhouse IQC'!$F$6:$F$64="666521")*'Slaughterhouse IQC'!$I$6:$I$64))</f>
        <v>19</v>
      </c>
      <c r="F86" s="17">
        <f>IF(SUMPRODUCT((LEFT('Slaughterhouse IQC'!$A$6:$A$64,7)="2026-08")*('Slaughterhouse IQC'!$B$6:$B$64="Nahunta")*('Slaughterhouse IQC'!$F$6:$F$64="666521")*'Slaughterhouse IQC'!$I$6:$I$64)=0,"",SUMPRODUCT((LEFT('Slaughterhouse IQC'!$A$6:$A$64,7)="2026-08")*('Slaughterhouse IQC'!$B$6:$B$64="Nahunta")*('Slaughterhouse IQC'!$F$6:$F$64="666521")*'Slaughterhouse IQC'!$I$6:$I$64))</f>
        <v>57</v>
      </c>
      <c r="G86" s="17">
        <f>SUM(B86:F86)</f>
        <v>76</v>
      </c>
    </row>
    <row r="87" spans="1:7" x14ac:dyDescent="0.3">
      <c r="A87" s="16" t="s">
        <v>37</v>
      </c>
      <c r="B87" s="17" t="str">
        <f>IF(SUMPRODUCT((LEFT('Slaughterhouse IQC'!$A$6:$A$64,7)="2026-04")*('Slaughterhouse IQC'!$B$6:$B$64="Nahunta")*('Slaughterhouse IQC'!$F$6:$F$64="666521")*'Slaughterhouse IQC'!$I$6:$I$64)=0,"",SUMPRODUCT((LEFT('Slaughterhouse IQC'!$A$6:$A$64,7)="2026-04")*('Slaughterhouse IQC'!$B$6:$B$64="Nahunta")*('Slaughterhouse IQC'!$F$6:$F$64="666521")*'Slaughterhouse IQC'!$J$6:$J$64))</f>
        <v/>
      </c>
      <c r="C87" s="17" t="str">
        <f>IF(SUMPRODUCT((LEFT('Slaughterhouse IQC'!$A$6:$A$64,7)="2026-05")*('Slaughterhouse IQC'!$B$6:$B$64="Nahunta")*('Slaughterhouse IQC'!$F$6:$F$64="666521")*'Slaughterhouse IQC'!$I$6:$I$64)=0,"",SUMPRODUCT((LEFT('Slaughterhouse IQC'!$A$6:$A$64,7)="2026-05")*('Slaughterhouse IQC'!$B$6:$B$64="Nahunta")*('Slaughterhouse IQC'!$F$6:$F$64="666521")*'Slaughterhouse IQC'!$J$6:$J$64))</f>
        <v/>
      </c>
      <c r="D87" s="17" t="str">
        <f>IF(SUMPRODUCT((LEFT('Slaughterhouse IQC'!$A$6:$A$64,7)="2026-06")*('Slaughterhouse IQC'!$B$6:$B$64="Nahunta")*('Slaughterhouse IQC'!$F$6:$F$64="666521")*'Slaughterhouse IQC'!$I$6:$I$64)=0,"",SUMPRODUCT((LEFT('Slaughterhouse IQC'!$A$6:$A$64,7)="2026-06")*('Slaughterhouse IQC'!$B$6:$B$64="Nahunta")*('Slaughterhouse IQC'!$F$6:$F$64="666521")*'Slaughterhouse IQC'!$J$6:$J$64))</f>
        <v/>
      </c>
      <c r="E87" s="17">
        <f>IF(SUMPRODUCT((LEFT('Slaughterhouse IQC'!$A$6:$A$64,7)="2026-07")*('Slaughterhouse IQC'!$B$6:$B$64="Nahunta")*('Slaughterhouse IQC'!$F$6:$F$64="666521")*'Slaughterhouse IQC'!$I$6:$I$64)=0,"",SUMPRODUCT((LEFT('Slaughterhouse IQC'!$A$6:$A$64,7)="2026-07")*('Slaughterhouse IQC'!$B$6:$B$64="Nahunta")*('Slaughterhouse IQC'!$F$6:$F$64="666521")*'Slaughterhouse IQC'!$J$6:$J$64))</f>
        <v>6</v>
      </c>
      <c r="F87" s="17">
        <f>IF(SUMPRODUCT((LEFT('Slaughterhouse IQC'!$A$6:$A$64,7)="2026-08")*('Slaughterhouse IQC'!$B$6:$B$64="Nahunta")*('Slaughterhouse IQC'!$F$6:$F$64="666521")*'Slaughterhouse IQC'!$I$6:$I$64)=0,"",SUMPRODUCT((LEFT('Slaughterhouse IQC'!$A$6:$A$64,7)="2026-08")*('Slaughterhouse IQC'!$B$6:$B$64="Nahunta")*('Slaughterhouse IQC'!$F$6:$F$64="666521")*'Slaughterhouse IQC'!$J$6:$J$64))</f>
        <v>8</v>
      </c>
      <c r="G87" s="17">
        <f>SUM(B87:F87)</f>
        <v>14</v>
      </c>
    </row>
    <row r="88" spans="1:7" x14ac:dyDescent="0.3">
      <c r="A88" s="16" t="s">
        <v>38</v>
      </c>
      <c r="B88" s="17" t="str">
        <f>IF(SUMPRODUCT((LEFT('Slaughterhouse IQC'!$A$6:$A$64,7)="2026-04")*('Slaughterhouse IQC'!$B$6:$B$64="Nahunta")*('Slaughterhouse IQC'!$F$6:$F$64="666521")*'Slaughterhouse IQC'!$I$6:$I$64)=0,"",SUMPRODUCT((LEFT('Slaughterhouse IQC'!$A$6:$A$64,7)="2026-04")*('Slaughterhouse IQC'!$B$6:$B$64="Nahunta")*('Slaughterhouse IQC'!$F$6:$F$64="666521")*'Slaughterhouse IQC'!$K$6:$K$64))</f>
        <v/>
      </c>
      <c r="C88" s="17" t="str">
        <f>IF(SUMPRODUCT((LEFT('Slaughterhouse IQC'!$A$6:$A$64,7)="2026-05")*('Slaughterhouse IQC'!$B$6:$B$64="Nahunta")*('Slaughterhouse IQC'!$F$6:$F$64="666521")*'Slaughterhouse IQC'!$I$6:$I$64)=0,"",SUMPRODUCT((LEFT('Slaughterhouse IQC'!$A$6:$A$64,7)="2026-05")*('Slaughterhouse IQC'!$B$6:$B$64="Nahunta")*('Slaughterhouse IQC'!$F$6:$F$64="666521")*'Slaughterhouse IQC'!$K$6:$K$64))</f>
        <v/>
      </c>
      <c r="D88" s="17" t="str">
        <f>IF(SUMPRODUCT((LEFT('Slaughterhouse IQC'!$A$6:$A$64,7)="2026-06")*('Slaughterhouse IQC'!$B$6:$B$64="Nahunta")*('Slaughterhouse IQC'!$F$6:$F$64="666521")*'Slaughterhouse IQC'!$I$6:$I$64)=0,"",SUMPRODUCT((LEFT('Slaughterhouse IQC'!$A$6:$A$64,7)="2026-06")*('Slaughterhouse IQC'!$B$6:$B$64="Nahunta")*('Slaughterhouse IQC'!$F$6:$F$64="666521")*'Slaughterhouse IQC'!$K$6:$K$64))</f>
        <v/>
      </c>
      <c r="E88" s="17">
        <f>IF(SUMPRODUCT((LEFT('Slaughterhouse IQC'!$A$6:$A$64,7)="2026-07")*('Slaughterhouse IQC'!$B$6:$B$64="Nahunta")*('Slaughterhouse IQC'!$F$6:$F$64="666521")*'Slaughterhouse IQC'!$I$6:$I$64)=0,"",SUMPRODUCT((LEFT('Slaughterhouse IQC'!$A$6:$A$64,7)="2026-07")*('Slaughterhouse IQC'!$B$6:$B$64="Nahunta")*('Slaughterhouse IQC'!$F$6:$F$64="666521")*'Slaughterhouse IQC'!$K$6:$K$64))</f>
        <v>13</v>
      </c>
      <c r="F88" s="17">
        <f>IF(SUMPRODUCT((LEFT('Slaughterhouse IQC'!$A$6:$A$64,7)="2026-08")*('Slaughterhouse IQC'!$B$6:$B$64="Nahunta")*('Slaughterhouse IQC'!$F$6:$F$64="666521")*'Slaughterhouse IQC'!$I$6:$I$64)=0,"",SUMPRODUCT((LEFT('Slaughterhouse IQC'!$A$6:$A$64,7)="2026-08")*('Slaughterhouse IQC'!$B$6:$B$64="Nahunta")*('Slaughterhouse IQC'!$F$6:$F$64="666521")*'Slaughterhouse IQC'!$K$6:$K$64))</f>
        <v>49</v>
      </c>
      <c r="G88" s="17">
        <f>SUM(B88:F88)</f>
        <v>62</v>
      </c>
    </row>
    <row r="89" spans="1:7" x14ac:dyDescent="0.3">
      <c r="A89" s="19" t="s">
        <v>154</v>
      </c>
      <c r="B89" s="20" t="str">
        <f>IF(B86="","",IF(B86=0,"",B87/B86))</f>
        <v/>
      </c>
      <c r="C89" s="20" t="str">
        <f>IF(C86="","",IF(C86=0,"",C87/C86))</f>
        <v/>
      </c>
      <c r="D89" s="20" t="str">
        <f>IF(D86="","",IF(D86=0,"",D87/D86))</f>
        <v/>
      </c>
      <c r="E89" s="20">
        <f>IF(E86="","",IF(E86=0,"",E87/E86))</f>
        <v>0.31578947368421051</v>
      </c>
      <c r="F89" s="20">
        <f>IF(F86="","",IF(F86=0,"",F87/F86))</f>
        <v>0.14035087719298245</v>
      </c>
      <c r="G89" s="20">
        <f>IF(G86=0,"",G87/G86)</f>
        <v>0.18421052631578946</v>
      </c>
    </row>
    <row r="90" spans="1:7" ht="15" customHeight="1" x14ac:dyDescent="0.3">
      <c r="A90" s="8" t="s">
        <v>303</v>
      </c>
      <c r="B90" s="11"/>
      <c r="C90" s="11"/>
      <c r="D90" s="11"/>
      <c r="E90" s="11"/>
      <c r="F90" s="11"/>
      <c r="G90" s="11"/>
    </row>
    <row r="91" spans="1:7" x14ac:dyDescent="0.3">
      <c r="A91" s="21" t="s">
        <v>317</v>
      </c>
      <c r="E91" s="17">
        <v>11</v>
      </c>
      <c r="F91" s="17">
        <v>31</v>
      </c>
      <c r="G91" s="17">
        <v>42</v>
      </c>
    </row>
    <row r="92" spans="1:7" x14ac:dyDescent="0.3">
      <c r="A92" s="21" t="s">
        <v>318</v>
      </c>
      <c r="E92" s="17">
        <v>2</v>
      </c>
      <c r="F92" s="17">
        <v>19</v>
      </c>
      <c r="G92" s="17">
        <v>21</v>
      </c>
    </row>
    <row r="93" spans="1:7" x14ac:dyDescent="0.3">
      <c r="A93" s="19" t="s">
        <v>309</v>
      </c>
      <c r="B93" s="17" t="str">
        <f>IF(SUM(B91:B92)=0,"",SUM(B91:B92))</f>
        <v/>
      </c>
      <c r="C93" s="17" t="str">
        <f>IF(SUM(C91:C92)=0,"",SUM(C91:C92))</f>
        <v/>
      </c>
      <c r="D93" s="17" t="str">
        <f>IF(SUM(D91:D92)=0,"",SUM(D91:D92))</f>
        <v/>
      </c>
      <c r="E93" s="17">
        <f>IF(SUM(E91:E92)=0,"",SUM(E91:E92))</f>
        <v>13</v>
      </c>
      <c r="F93" s="17">
        <f>IF(SUM(F91:F92)=0,"",SUM(F91:F92))</f>
        <v>50</v>
      </c>
      <c r="G93" s="17">
        <f>SUM(G91:G92)</f>
        <v>63</v>
      </c>
    </row>
    <row r="95" spans="1:7" ht="18" customHeight="1" x14ac:dyDescent="0.3">
      <c r="A95" s="9" t="s">
        <v>319</v>
      </c>
      <c r="B95" s="11"/>
      <c r="C95" s="11"/>
      <c r="D95" s="11"/>
      <c r="E95" s="11"/>
      <c r="F95" s="11"/>
      <c r="G95" s="11"/>
    </row>
    <row r="96" spans="1:7" ht="43.95" customHeight="1" x14ac:dyDescent="0.3">
      <c r="A96" s="7" t="s">
        <v>320</v>
      </c>
      <c r="B96" s="11"/>
      <c r="C96" s="11"/>
      <c r="D96" s="11"/>
      <c r="E96" s="11"/>
      <c r="F96" s="11"/>
      <c r="G96" s="11"/>
    </row>
    <row r="97" spans="1:7" ht="43.95" customHeight="1" x14ac:dyDescent="0.3">
      <c r="A97" s="7" t="s">
        <v>321</v>
      </c>
      <c r="B97" s="11"/>
      <c r="C97" s="11"/>
      <c r="D97" s="11"/>
      <c r="E97" s="11"/>
      <c r="F97" s="11"/>
      <c r="G97" s="11"/>
    </row>
    <row r="98" spans="1:7" ht="43.95" customHeight="1" x14ac:dyDescent="0.3">
      <c r="A98" s="7" t="s">
        <v>322</v>
      </c>
      <c r="B98" s="11"/>
      <c r="C98" s="11"/>
      <c r="D98" s="11"/>
      <c r="E98" s="11"/>
      <c r="F98" s="11"/>
      <c r="G98" s="11"/>
    </row>
    <row r="99" spans="1:7" ht="43.95" customHeight="1" x14ac:dyDescent="0.3">
      <c r="A99" s="7" t="s">
        <v>323</v>
      </c>
      <c r="B99" s="11"/>
      <c r="C99" s="11"/>
      <c r="D99" s="11"/>
      <c r="E99" s="11"/>
      <c r="F99" s="11"/>
      <c r="G99" s="11"/>
    </row>
  </sheetData>
  <mergeCells count="21">
    <mergeCell ref="A99:G99"/>
    <mergeCell ref="A90:G90"/>
    <mergeCell ref="A95:G95"/>
    <mergeCell ref="A96:G96"/>
    <mergeCell ref="A97:G97"/>
    <mergeCell ref="A98:G98"/>
    <mergeCell ref="A64:G64"/>
    <mergeCell ref="A70:G70"/>
    <mergeCell ref="A74:G74"/>
    <mergeCell ref="A80:G80"/>
    <mergeCell ref="A84:G84"/>
    <mergeCell ref="A28:G28"/>
    <mergeCell ref="A36:G36"/>
    <mergeCell ref="A42:G42"/>
    <mergeCell ref="A50:G50"/>
    <mergeCell ref="A56:G56"/>
    <mergeCell ref="A1:G1"/>
    <mergeCell ref="A2:G2"/>
    <mergeCell ref="A4:G4"/>
    <mergeCell ref="A13:G13"/>
    <mergeCell ref="A22:G22"/>
  </mergeCells>
  <conditionalFormatting sqref="B6:G11 B27:G27 B41:G41 B55:G55 B69:G69 B79:G79 B89:G89">
    <cfRule type="colorScale" priority="1">
      <colorScale>
        <cfvo type="num" val="0.3"/>
        <cfvo type="num" val="0.8"/>
        <cfvo type="num" val="1"/>
        <color rgb="FFF8696B"/>
        <color rgb="FFFFEB84"/>
        <color rgb="FF63BE7B"/>
      </colorScale>
    </cfRule>
  </conditionalFormatting>
  <pageMargins left="0.5" right="0.5" top="0.6" bottom="0.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4"/>
  <sheetViews>
    <sheetView workbookViewId="0"/>
  </sheetViews>
  <sheetFormatPr defaultRowHeight="14.4" x14ac:dyDescent="0.3"/>
  <cols>
    <col min="1" max="1" width="17" customWidth="1"/>
    <col min="2" max="2" width="15" customWidth="1"/>
    <col min="3" max="3" width="10" customWidth="1"/>
    <col min="4" max="4" width="9" customWidth="1"/>
    <col min="5" max="5" width="14" customWidth="1"/>
    <col min="6" max="8" width="10" customWidth="1"/>
    <col min="9" max="9" width="9" customWidth="1"/>
    <col min="10" max="10" width="52" customWidth="1"/>
  </cols>
  <sheetData>
    <row r="1" spans="1:10" ht="22.05" customHeight="1" x14ac:dyDescent="0.4">
      <c r="A1" s="12" t="s">
        <v>324</v>
      </c>
      <c r="B1" s="11"/>
      <c r="C1" s="11"/>
      <c r="D1" s="11"/>
      <c r="E1" s="11"/>
      <c r="F1" s="11"/>
      <c r="G1" s="11"/>
      <c r="H1" s="11"/>
      <c r="I1" s="11"/>
      <c r="J1" s="11"/>
    </row>
    <row r="2" spans="1:10" ht="43.95" customHeight="1" x14ac:dyDescent="0.3">
      <c r="A2" s="10" t="s">
        <v>325</v>
      </c>
      <c r="B2" s="11"/>
      <c r="C2" s="11"/>
      <c r="D2" s="11"/>
      <c r="E2" s="11"/>
      <c r="F2" s="11"/>
      <c r="G2" s="11"/>
      <c r="H2" s="11"/>
      <c r="I2" s="11"/>
      <c r="J2" s="11"/>
    </row>
    <row r="4" spans="1:10" ht="18" customHeight="1" x14ac:dyDescent="0.3">
      <c r="A4" s="9" t="s">
        <v>326</v>
      </c>
      <c r="B4" s="11"/>
      <c r="C4" s="11"/>
      <c r="D4" s="11"/>
      <c r="E4" s="11"/>
      <c r="F4" s="11"/>
      <c r="G4" s="11"/>
      <c r="H4" s="11"/>
      <c r="I4" s="11"/>
      <c r="J4" s="11"/>
    </row>
    <row r="5" spans="1:10" ht="28.8" x14ac:dyDescent="0.3">
      <c r="A5" s="18" t="s">
        <v>327</v>
      </c>
      <c r="B5" s="18" t="s">
        <v>159</v>
      </c>
      <c r="C5" s="18" t="s">
        <v>36</v>
      </c>
      <c r="D5" s="18" t="s">
        <v>37</v>
      </c>
      <c r="E5" s="18" t="s">
        <v>38</v>
      </c>
      <c r="F5" s="18" t="s">
        <v>154</v>
      </c>
      <c r="G5" s="6" t="s">
        <v>328</v>
      </c>
      <c r="H5" s="11"/>
      <c r="I5" s="11"/>
      <c r="J5" s="11"/>
    </row>
    <row r="6" spans="1:10" x14ac:dyDescent="0.3">
      <c r="A6" s="16" t="s">
        <v>329</v>
      </c>
      <c r="B6" s="16" t="s">
        <v>16</v>
      </c>
      <c r="C6" s="17">
        <v>122</v>
      </c>
      <c r="D6" s="17">
        <v>116</v>
      </c>
      <c r="E6" s="17">
        <v>6</v>
      </c>
      <c r="F6" s="20">
        <v>0.95079999999999998</v>
      </c>
      <c r="G6" s="5" t="s">
        <v>330</v>
      </c>
      <c r="H6" s="11"/>
      <c r="I6" s="11"/>
      <c r="J6" s="11"/>
    </row>
    <row r="7" spans="1:10" x14ac:dyDescent="0.3">
      <c r="A7" s="16" t="s">
        <v>329</v>
      </c>
      <c r="B7" s="16" t="s">
        <v>17</v>
      </c>
      <c r="C7" s="17">
        <v>59</v>
      </c>
      <c r="D7" s="17">
        <v>55</v>
      </c>
      <c r="E7" s="17">
        <v>4</v>
      </c>
      <c r="F7" s="20">
        <v>0.93220000000000003</v>
      </c>
      <c r="G7" s="5" t="s">
        <v>331</v>
      </c>
      <c r="H7" s="11"/>
      <c r="I7" s="11"/>
      <c r="J7" s="11"/>
    </row>
    <row r="9" spans="1:10" ht="18" customHeight="1" x14ac:dyDescent="0.3">
      <c r="A9" s="9" t="s">
        <v>332</v>
      </c>
      <c r="B9" s="11"/>
      <c r="C9" s="11"/>
      <c r="D9" s="11"/>
      <c r="E9" s="11"/>
      <c r="F9" s="11"/>
      <c r="G9" s="11"/>
      <c r="H9" s="11"/>
      <c r="I9" s="11"/>
      <c r="J9" s="11"/>
    </row>
    <row r="10" spans="1:10" ht="16.05" customHeight="1" x14ac:dyDescent="0.3">
      <c r="A10" s="8" t="s">
        <v>333</v>
      </c>
      <c r="B10" s="11"/>
      <c r="C10" s="11"/>
      <c r="D10" s="11"/>
      <c r="E10" s="11"/>
      <c r="F10" s="11"/>
      <c r="G10" s="11"/>
      <c r="H10" s="11"/>
      <c r="I10" s="11"/>
      <c r="J10" s="11"/>
    </row>
    <row r="11" spans="1:10" x14ac:dyDescent="0.3">
      <c r="A11" s="18" t="s">
        <v>7</v>
      </c>
      <c r="B11" s="6" t="s">
        <v>334</v>
      </c>
      <c r="C11" s="11"/>
      <c r="D11" s="11"/>
      <c r="E11" s="11"/>
      <c r="F11" s="18" t="s">
        <v>90</v>
      </c>
      <c r="G11" s="18" t="s">
        <v>335</v>
      </c>
    </row>
    <row r="12" spans="1:10" x14ac:dyDescent="0.3">
      <c r="A12" s="17">
        <v>1</v>
      </c>
      <c r="B12" s="4" t="s">
        <v>336</v>
      </c>
      <c r="C12" s="11"/>
      <c r="D12" s="11"/>
      <c r="E12" s="11"/>
      <c r="F12" s="17">
        <v>2</v>
      </c>
      <c r="G12" s="20">
        <v>0.33329999999999999</v>
      </c>
    </row>
    <row r="13" spans="1:10" x14ac:dyDescent="0.3">
      <c r="A13" s="17">
        <v>2</v>
      </c>
      <c r="B13" s="4" t="s">
        <v>337</v>
      </c>
      <c r="C13" s="11"/>
      <c r="D13" s="11"/>
      <c r="E13" s="11"/>
      <c r="F13" s="17">
        <v>2</v>
      </c>
      <c r="G13" s="20">
        <v>0.33329999999999999</v>
      </c>
    </row>
    <row r="14" spans="1:10" x14ac:dyDescent="0.3">
      <c r="A14" s="17">
        <v>3</v>
      </c>
      <c r="B14" s="4" t="s">
        <v>338</v>
      </c>
      <c r="C14" s="11"/>
      <c r="D14" s="11"/>
      <c r="E14" s="11"/>
      <c r="F14" s="17">
        <v>2</v>
      </c>
      <c r="G14" s="20">
        <v>0.33329999999999999</v>
      </c>
    </row>
    <row r="16" spans="1:10" ht="16.05" customHeight="1" x14ac:dyDescent="0.3">
      <c r="A16" s="8" t="s">
        <v>339</v>
      </c>
      <c r="B16" s="11"/>
      <c r="C16" s="11"/>
      <c r="D16" s="11"/>
      <c r="E16" s="11"/>
      <c r="F16" s="11"/>
      <c r="G16" s="11"/>
      <c r="H16" s="11"/>
      <c r="I16" s="11"/>
      <c r="J16" s="11"/>
    </row>
    <row r="17" spans="1:10" x14ac:dyDescent="0.3">
      <c r="A17" s="18" t="s">
        <v>7</v>
      </c>
      <c r="B17" s="6" t="s">
        <v>334</v>
      </c>
      <c r="C17" s="11"/>
      <c r="D17" s="11"/>
      <c r="E17" s="11"/>
      <c r="F17" s="18" t="s">
        <v>90</v>
      </c>
      <c r="G17" s="18" t="s">
        <v>335</v>
      </c>
    </row>
    <row r="18" spans="1:10" x14ac:dyDescent="0.3">
      <c r="A18" s="17">
        <v>1</v>
      </c>
      <c r="B18" s="4" t="s">
        <v>337</v>
      </c>
      <c r="C18" s="11"/>
      <c r="D18" s="11"/>
      <c r="E18" s="11"/>
      <c r="F18" s="17">
        <v>2</v>
      </c>
      <c r="G18" s="20">
        <v>0.5</v>
      </c>
    </row>
    <row r="19" spans="1:10" x14ac:dyDescent="0.3">
      <c r="A19" s="17">
        <v>2</v>
      </c>
      <c r="B19" s="4" t="s">
        <v>338</v>
      </c>
      <c r="C19" s="11"/>
      <c r="D19" s="11"/>
      <c r="E19" s="11"/>
      <c r="F19" s="17">
        <v>2</v>
      </c>
      <c r="G19" s="20">
        <v>0.5</v>
      </c>
    </row>
    <row r="21" spans="1:10" ht="18" customHeight="1" x14ac:dyDescent="0.3">
      <c r="A21" s="9" t="s">
        <v>340</v>
      </c>
      <c r="B21" s="11"/>
      <c r="C21" s="11"/>
      <c r="D21" s="11"/>
      <c r="E21" s="11"/>
      <c r="F21" s="11"/>
      <c r="G21" s="11"/>
      <c r="H21" s="11"/>
      <c r="I21" s="11"/>
      <c r="J21" s="11"/>
    </row>
    <row r="22" spans="1:10" ht="28.8" x14ac:dyDescent="0.3">
      <c r="A22" s="18" t="s">
        <v>34</v>
      </c>
      <c r="B22" s="18" t="s">
        <v>8</v>
      </c>
      <c r="C22" s="18" t="s">
        <v>341</v>
      </c>
      <c r="D22" s="18" t="s">
        <v>159</v>
      </c>
      <c r="E22" s="18" t="s">
        <v>35</v>
      </c>
      <c r="F22" s="18" t="s">
        <v>36</v>
      </c>
      <c r="G22" s="18" t="s">
        <v>37</v>
      </c>
      <c r="H22" s="18" t="s">
        <v>38</v>
      </c>
      <c r="I22" s="18" t="s">
        <v>342</v>
      </c>
      <c r="J22" s="18" t="s">
        <v>188</v>
      </c>
    </row>
    <row r="23" spans="1:10" ht="13.5" customHeight="1" x14ac:dyDescent="0.3">
      <c r="A23" s="16" t="s">
        <v>0</v>
      </c>
      <c r="B23" s="16" t="s">
        <v>11</v>
      </c>
      <c r="C23" s="16" t="s">
        <v>156</v>
      </c>
      <c r="D23" s="16" t="s">
        <v>17</v>
      </c>
      <c r="E23" s="16" t="s">
        <v>15</v>
      </c>
      <c r="F23" s="17">
        <v>3</v>
      </c>
      <c r="G23" s="17">
        <v>3</v>
      </c>
      <c r="H23" s="17">
        <v>0</v>
      </c>
      <c r="I23" s="20">
        <v>1</v>
      </c>
      <c r="J23" s="21" t="s">
        <v>44</v>
      </c>
    </row>
    <row r="24" spans="1:10" ht="13.5" customHeight="1" x14ac:dyDescent="0.3">
      <c r="A24" s="16" t="s">
        <v>0</v>
      </c>
      <c r="B24" s="16" t="s">
        <v>11</v>
      </c>
      <c r="C24" s="16" t="s">
        <v>156</v>
      </c>
      <c r="D24" s="16" t="s">
        <v>16</v>
      </c>
      <c r="E24" s="16" t="s">
        <v>14</v>
      </c>
      <c r="F24" s="17">
        <v>48</v>
      </c>
      <c r="G24" s="17">
        <v>47</v>
      </c>
      <c r="H24" s="17">
        <v>1</v>
      </c>
      <c r="I24" s="20">
        <v>0.97919999999999996</v>
      </c>
      <c r="J24" s="21" t="s">
        <v>40</v>
      </c>
    </row>
    <row r="25" spans="1:10" ht="13.5" customHeight="1" x14ac:dyDescent="0.3">
      <c r="A25" s="16" t="s">
        <v>41</v>
      </c>
      <c r="B25" s="16" t="s">
        <v>11</v>
      </c>
      <c r="C25" s="16" t="s">
        <v>156</v>
      </c>
      <c r="D25" s="16" t="s">
        <v>17</v>
      </c>
      <c r="E25" s="16" t="s">
        <v>15</v>
      </c>
      <c r="F25" s="17">
        <v>4</v>
      </c>
      <c r="G25" s="17">
        <v>4</v>
      </c>
      <c r="H25" s="17">
        <v>0</v>
      </c>
      <c r="I25" s="20">
        <v>1</v>
      </c>
      <c r="J25" s="21" t="s">
        <v>189</v>
      </c>
    </row>
    <row r="26" spans="1:10" ht="27" customHeight="1" x14ac:dyDescent="0.3">
      <c r="A26" s="16" t="s">
        <v>41</v>
      </c>
      <c r="B26" s="16" t="s">
        <v>11</v>
      </c>
      <c r="C26" s="16" t="s">
        <v>156</v>
      </c>
      <c r="D26" s="16" t="s">
        <v>16</v>
      </c>
      <c r="E26" s="16" t="s">
        <v>14</v>
      </c>
      <c r="F26" s="17">
        <v>17</v>
      </c>
      <c r="G26" s="17">
        <v>13</v>
      </c>
      <c r="H26" s="17">
        <v>4</v>
      </c>
      <c r="I26" s="20">
        <v>0.76470000000000005</v>
      </c>
      <c r="J26" s="21" t="s">
        <v>42</v>
      </c>
    </row>
    <row r="27" spans="1:10" ht="13.5" customHeight="1" x14ac:dyDescent="0.3">
      <c r="A27" s="16" t="s">
        <v>1</v>
      </c>
      <c r="B27" s="16" t="s">
        <v>11</v>
      </c>
      <c r="C27" s="16" t="s">
        <v>156</v>
      </c>
      <c r="D27" s="16" t="s">
        <v>17</v>
      </c>
      <c r="E27" s="16" t="s">
        <v>19</v>
      </c>
      <c r="F27" s="17">
        <v>31</v>
      </c>
      <c r="G27" s="17">
        <v>29</v>
      </c>
      <c r="H27" s="17">
        <v>2</v>
      </c>
      <c r="I27" s="20">
        <v>0.9355</v>
      </c>
      <c r="J27" s="21" t="s">
        <v>48</v>
      </c>
    </row>
    <row r="28" spans="1:10" ht="27" customHeight="1" x14ac:dyDescent="0.3">
      <c r="A28" s="16" t="s">
        <v>1</v>
      </c>
      <c r="B28" s="16" t="s">
        <v>11</v>
      </c>
      <c r="C28" s="16" t="s">
        <v>156</v>
      </c>
      <c r="D28" s="16" t="s">
        <v>16</v>
      </c>
      <c r="E28" s="16" t="s">
        <v>18</v>
      </c>
      <c r="F28" s="17">
        <v>0</v>
      </c>
      <c r="G28" s="17">
        <v>0</v>
      </c>
      <c r="H28" s="17">
        <v>0</v>
      </c>
      <c r="I28" s="20">
        <v>0</v>
      </c>
      <c r="J28" s="21" t="s">
        <v>45</v>
      </c>
    </row>
    <row r="29" spans="1:10" ht="13.5" customHeight="1" x14ac:dyDescent="0.3">
      <c r="A29" s="16" t="s">
        <v>46</v>
      </c>
      <c r="B29" s="16" t="s">
        <v>11</v>
      </c>
      <c r="C29" s="16" t="s">
        <v>156</v>
      </c>
      <c r="D29" s="16" t="s">
        <v>17</v>
      </c>
      <c r="E29" s="16" t="s">
        <v>19</v>
      </c>
      <c r="F29" s="17">
        <v>21</v>
      </c>
      <c r="G29" s="17">
        <v>19</v>
      </c>
      <c r="H29" s="17">
        <v>2</v>
      </c>
      <c r="I29" s="20">
        <v>0.90480000000000005</v>
      </c>
      <c r="J29" s="21" t="s">
        <v>49</v>
      </c>
    </row>
    <row r="30" spans="1:10" ht="13.5" customHeight="1" x14ac:dyDescent="0.3">
      <c r="A30" s="16" t="s">
        <v>46</v>
      </c>
      <c r="B30" s="16" t="s">
        <v>11</v>
      </c>
      <c r="C30" s="16" t="s">
        <v>156</v>
      </c>
      <c r="D30" s="16" t="s">
        <v>16</v>
      </c>
      <c r="E30" s="16" t="s">
        <v>18</v>
      </c>
      <c r="F30" s="17">
        <v>57</v>
      </c>
      <c r="G30" s="17">
        <v>56</v>
      </c>
      <c r="H30" s="17">
        <v>1</v>
      </c>
      <c r="I30" s="20">
        <v>0.98250000000000004</v>
      </c>
      <c r="J30" s="21" t="s">
        <v>47</v>
      </c>
    </row>
    <row r="32" ht="16.5" customHeight="1">
      <c r="A32" s="45" t="inlineStr">
        <is>
          <t>Key Takeaways</t>
        </is>
      </c>
      <c r="B32" s="45"/>
      <c r="C32" s="45"/>
      <c r="D32" s="45"/>
      <c r="E32" s="45"/>
      <c r="F32" s="45"/>
      <c r="G32" s="45"/>
      <c r="H32" s="45"/>
      <c r="I32" s="45"/>
      <c r="J32" s="45"/>
    </row>
    <row r="33" ht="27.0" customHeight="1">
      <c r="A33" s="46" t="inlineStr">
        <is>
          <t xml:space="preserve">➢ 666541 (Pelvic @ Martins): 95.1% FPY on 122 blocks — isolated bowel holes plus two cut urethras on 4/15; no systemic issue.</t>
        </is>
      </c>
      <c r="B33" s="46"/>
      <c r="C33" s="46"/>
      <c r="D33" s="46"/>
      <c r="E33" s="46"/>
      <c r="F33" s="46"/>
      <c r="G33" s="46"/>
      <c r="H33" s="46"/>
      <c r="I33" s="46"/>
      <c r="J33" s="46"/>
    </row>
    <row r="34" ht="15.0" customHeight="1">
      <c r="A34" s="47" t="inlineStr">
        <is>
          <t xml:space="preserve">➢ 666506 (Pelvic @ Martins): 93.2% FPY on 59 — early bowel damage and two cleaning losses; clean by month-end.</t>
        </is>
      </c>
      <c r="B34" s="47"/>
      <c r="C34" s="47"/>
      <c r="D34" s="47"/>
      <c r="E34" s="47"/>
      <c r="F34" s="47"/>
      <c r="G34" s="47"/>
      <c r="H34" s="47"/>
      <c r="I34" s="47"/>
      <c r="J34" s="47"/>
    </row>
  </sheetData>
  <mergeCells count="20">
    <mergeCell ref="B19:E19"/>
    <mergeCell ref="A21:J21"/>
    <mergeCell ref="B13:E13"/>
    <mergeCell ref="B14:E14"/>
    <mergeCell ref="A16:J16"/>
    <mergeCell ref="B17:E17"/>
    <mergeCell ref="B18:E18"/>
    <mergeCell ref="G7:J7"/>
    <mergeCell ref="A9:J9"/>
    <mergeCell ref="A10:J10"/>
    <mergeCell ref="B11:E11"/>
    <mergeCell ref="B12:E12"/>
    <mergeCell ref="A1:J1"/>
    <mergeCell ref="A2:J2"/>
    <mergeCell ref="A4:J4"/>
    <mergeCell ref="G5:J5"/>
    <mergeCell ref="G6:J6"/>
    <mergeCell ref="A32:J32"/>
    <mergeCell ref="A33:J33"/>
    <mergeCell ref="A34:J34"/>
  </mergeCells>
  <conditionalFormatting sqref="F6:F7">
    <cfRule type="colorScale" priority="1">
      <colorScale>
        <cfvo type="num" val="0.3"/>
        <cfvo type="num" val="0.8"/>
        <cfvo type="num" val="1"/>
        <color rgb="FFF8696B"/>
        <color rgb="FFFFEB84"/>
        <color rgb="FF63BE7B"/>
      </colorScale>
    </cfRule>
  </conditionalFormatting>
  <conditionalFormatting sqref="F12:F14">
    <cfRule type="dataBar" priority="2">
      <dataBar>
        <cfvo type="min"/>
        <cfvo type="max"/>
        <color rgb="FF638EC6"/>
      </dataBar>
    </cfRule>
  </conditionalFormatting>
  <conditionalFormatting sqref="F18:F19">
    <cfRule type="dataBar" priority="3">
      <dataBar>
        <cfvo type="min"/>
        <cfvo type="max"/>
        <color rgb="FF638EC6"/>
      </dataBar>
    </cfRule>
  </conditionalFormatting>
  <pageMargins left="0.5" right="0.5" top="0.6" bottom="0.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5"/>
  <sheetViews>
    <sheetView workbookViewId="0"/>
  </sheetViews>
  <sheetFormatPr defaultRowHeight="14.4" x14ac:dyDescent="0.3"/>
  <cols>
    <col min="1" max="1" width="17" customWidth="1"/>
    <col min="2" max="2" width="15" customWidth="1"/>
    <col min="3" max="3" width="10" customWidth="1"/>
    <col min="4" max="4" width="9" customWidth="1"/>
    <col min="5" max="5" width="14" customWidth="1"/>
    <col min="6" max="8" width="10" customWidth="1"/>
    <col min="9" max="9" width="9" customWidth="1"/>
    <col min="10" max="10" width="52" customWidth="1"/>
  </cols>
  <sheetData>
    <row r="1" spans="1:10" ht="22.05" customHeight="1" x14ac:dyDescent="0.4">
      <c r="A1" s="12" t="s">
        <v>343</v>
      </c>
      <c r="B1" s="11"/>
      <c r="C1" s="11"/>
      <c r="D1" s="11"/>
      <c r="E1" s="11"/>
      <c r="F1" s="11"/>
      <c r="G1" s="11"/>
      <c r="H1" s="11"/>
      <c r="I1" s="11"/>
      <c r="J1" s="11"/>
    </row>
    <row r="2" spans="1:10" ht="43.95" customHeight="1" x14ac:dyDescent="0.3">
      <c r="A2" s="10" t="s">
        <v>344</v>
      </c>
      <c r="B2" s="11"/>
      <c r="C2" s="11"/>
      <c r="D2" s="11"/>
      <c r="E2" s="11"/>
      <c r="F2" s="11"/>
      <c r="G2" s="11"/>
      <c r="H2" s="11"/>
      <c r="I2" s="11"/>
      <c r="J2" s="11"/>
    </row>
    <row r="4" spans="1:10" ht="18" customHeight="1" x14ac:dyDescent="0.3">
      <c r="A4" s="9" t="s">
        <v>326</v>
      </c>
      <c r="B4" s="11"/>
      <c r="C4" s="11"/>
      <c r="D4" s="11"/>
      <c r="E4" s="11"/>
      <c r="F4" s="11"/>
      <c r="G4" s="11"/>
      <c r="H4" s="11"/>
      <c r="I4" s="11"/>
      <c r="J4" s="11"/>
    </row>
    <row r="5" spans="1:10" ht="28.8" x14ac:dyDescent="0.3">
      <c r="A5" s="18" t="s">
        <v>327</v>
      </c>
      <c r="B5" s="18" t="s">
        <v>159</v>
      </c>
      <c r="C5" s="18" t="s">
        <v>36</v>
      </c>
      <c r="D5" s="18" t="s">
        <v>37</v>
      </c>
      <c r="E5" s="18" t="s">
        <v>38</v>
      </c>
      <c r="F5" s="18" t="s">
        <v>154</v>
      </c>
      <c r="G5" s="6" t="s">
        <v>328</v>
      </c>
      <c r="H5" s="11"/>
      <c r="I5" s="11"/>
      <c r="J5" s="11"/>
    </row>
    <row r="6" spans="1:10" x14ac:dyDescent="0.3">
      <c r="A6" s="16" t="s">
        <v>329</v>
      </c>
      <c r="B6" s="16" t="s">
        <v>16</v>
      </c>
      <c r="C6" s="17">
        <v>194</v>
      </c>
      <c r="D6" s="17">
        <v>181</v>
      </c>
      <c r="E6" s="17">
        <v>13</v>
      </c>
      <c r="F6" s="20">
        <v>0.93300000000000005</v>
      </c>
      <c r="G6" s="5" t="s">
        <v>345</v>
      </c>
      <c r="H6" s="11"/>
      <c r="I6" s="11"/>
      <c r="J6" s="11"/>
    </row>
    <row r="7" spans="1:10" x14ac:dyDescent="0.3">
      <c r="A7" s="16" t="s">
        <v>329</v>
      </c>
      <c r="B7" s="16" t="s">
        <v>17</v>
      </c>
      <c r="C7" s="17">
        <v>118</v>
      </c>
      <c r="D7" s="17">
        <v>112</v>
      </c>
      <c r="E7" s="17">
        <v>6</v>
      </c>
      <c r="F7" s="20">
        <v>0.94920000000000004</v>
      </c>
      <c r="G7" s="5" t="s">
        <v>346</v>
      </c>
      <c r="H7" s="11"/>
      <c r="I7" s="11"/>
      <c r="J7" s="11"/>
    </row>
    <row r="8" spans="1:10" x14ac:dyDescent="0.3">
      <c r="A8" s="16" t="s">
        <v>347</v>
      </c>
      <c r="B8" s="16" t="s">
        <v>30</v>
      </c>
      <c r="C8" s="17">
        <v>16</v>
      </c>
      <c r="D8" s="17">
        <v>11</v>
      </c>
      <c r="E8" s="17">
        <v>5</v>
      </c>
      <c r="F8" s="20">
        <v>0.6875</v>
      </c>
      <c r="G8" s="5" t="s">
        <v>348</v>
      </c>
      <c r="H8" s="11"/>
      <c r="I8" s="11"/>
      <c r="J8" s="11"/>
    </row>
    <row r="10" spans="1:10" ht="18" customHeight="1" x14ac:dyDescent="0.3">
      <c r="A10" s="9" t="s">
        <v>332</v>
      </c>
      <c r="B10" s="11"/>
      <c r="C10" s="11"/>
      <c r="D10" s="11"/>
      <c r="E10" s="11"/>
      <c r="F10" s="11"/>
      <c r="G10" s="11"/>
      <c r="H10" s="11"/>
      <c r="I10" s="11"/>
      <c r="J10" s="11"/>
    </row>
    <row r="11" spans="1:10" ht="16.05" customHeight="1" x14ac:dyDescent="0.3">
      <c r="A11" s="8" t="s">
        <v>349</v>
      </c>
      <c r="B11" s="11"/>
      <c r="C11" s="11"/>
      <c r="D11" s="11"/>
      <c r="E11" s="11"/>
      <c r="F11" s="11"/>
      <c r="G11" s="11"/>
      <c r="H11" s="11"/>
      <c r="I11" s="11"/>
      <c r="J11" s="11"/>
    </row>
    <row r="12" spans="1:10" x14ac:dyDescent="0.3">
      <c r="A12" s="18" t="s">
        <v>7</v>
      </c>
      <c r="B12" s="6" t="s">
        <v>334</v>
      </c>
      <c r="C12" s="11"/>
      <c r="D12" s="11"/>
      <c r="E12" s="11"/>
      <c r="F12" s="18" t="s">
        <v>90</v>
      </c>
      <c r="G12" s="18" t="s">
        <v>335</v>
      </c>
    </row>
    <row r="13" spans="1:10" x14ac:dyDescent="0.3">
      <c r="A13" s="17">
        <v>1</v>
      </c>
      <c r="B13" s="4" t="s">
        <v>336</v>
      </c>
      <c r="C13" s="11"/>
      <c r="D13" s="11"/>
      <c r="E13" s="11"/>
      <c r="F13" s="17">
        <v>9</v>
      </c>
      <c r="G13" s="20">
        <v>0.69230000000000003</v>
      </c>
    </row>
    <row r="14" spans="1:10" x14ac:dyDescent="0.3">
      <c r="A14" s="17">
        <v>2</v>
      </c>
      <c r="B14" s="4" t="s">
        <v>350</v>
      </c>
      <c r="C14" s="11"/>
      <c r="D14" s="11"/>
      <c r="E14" s="11"/>
      <c r="F14" s="17">
        <v>2</v>
      </c>
      <c r="G14" s="20">
        <v>0.15379999999999999</v>
      </c>
    </row>
    <row r="15" spans="1:10" x14ac:dyDescent="0.3">
      <c r="A15" s="17">
        <v>3</v>
      </c>
      <c r="B15" s="4" t="s">
        <v>337</v>
      </c>
      <c r="C15" s="11"/>
      <c r="D15" s="11"/>
      <c r="E15" s="11"/>
      <c r="F15" s="17">
        <v>1</v>
      </c>
      <c r="G15" s="20">
        <v>7.6899999999999996E-2</v>
      </c>
    </row>
    <row r="16" spans="1:10" x14ac:dyDescent="0.3">
      <c r="A16" s="17">
        <v>4</v>
      </c>
      <c r="B16" s="4" t="s">
        <v>351</v>
      </c>
      <c r="C16" s="11"/>
      <c r="D16" s="11"/>
      <c r="E16" s="11"/>
      <c r="F16" s="17">
        <v>1</v>
      </c>
      <c r="G16" s="20">
        <v>7.6899999999999996E-2</v>
      </c>
    </row>
    <row r="18" spans="1:10" ht="16.05" customHeight="1" x14ac:dyDescent="0.3">
      <c r="A18" s="8" t="s">
        <v>352</v>
      </c>
      <c r="B18" s="11"/>
      <c r="C18" s="11"/>
      <c r="D18" s="11"/>
      <c r="E18" s="11"/>
      <c r="F18" s="11"/>
      <c r="G18" s="11"/>
      <c r="H18" s="11"/>
      <c r="I18" s="11"/>
      <c r="J18" s="11"/>
    </row>
    <row r="19" spans="1:10" x14ac:dyDescent="0.3">
      <c r="A19" s="18" t="s">
        <v>7</v>
      </c>
      <c r="B19" s="6" t="s">
        <v>334</v>
      </c>
      <c r="C19" s="11"/>
      <c r="D19" s="11"/>
      <c r="E19" s="11"/>
      <c r="F19" s="18" t="s">
        <v>90</v>
      </c>
      <c r="G19" s="18" t="s">
        <v>335</v>
      </c>
    </row>
    <row r="20" spans="1:10" x14ac:dyDescent="0.3">
      <c r="A20" s="17">
        <v>1</v>
      </c>
      <c r="B20" s="4" t="s">
        <v>336</v>
      </c>
      <c r="C20" s="11"/>
      <c r="D20" s="11"/>
      <c r="E20" s="11"/>
      <c r="F20" s="17">
        <v>4</v>
      </c>
      <c r="G20" s="20">
        <v>0.66669999999999996</v>
      </c>
    </row>
    <row r="21" spans="1:10" x14ac:dyDescent="0.3">
      <c r="A21" s="17">
        <v>2</v>
      </c>
      <c r="B21" s="4" t="s">
        <v>350</v>
      </c>
      <c r="C21" s="11"/>
      <c r="D21" s="11"/>
      <c r="E21" s="11"/>
      <c r="F21" s="17">
        <v>1</v>
      </c>
      <c r="G21" s="20">
        <v>0.16669999999999999</v>
      </c>
    </row>
    <row r="22" spans="1:10" x14ac:dyDescent="0.3">
      <c r="A22" s="17">
        <v>3</v>
      </c>
      <c r="B22" s="4" t="s">
        <v>338</v>
      </c>
      <c r="C22" s="11"/>
      <c r="D22" s="11"/>
      <c r="E22" s="11"/>
      <c r="F22" s="17">
        <v>1</v>
      </c>
      <c r="G22" s="20">
        <v>0.16669999999999999</v>
      </c>
    </row>
    <row r="24" spans="1:10" ht="16.05" customHeight="1" x14ac:dyDescent="0.3">
      <c r="A24" s="8" t="s">
        <v>353</v>
      </c>
      <c r="B24" s="11"/>
      <c r="C24" s="11"/>
      <c r="D24" s="11"/>
      <c r="E24" s="11"/>
      <c r="F24" s="11"/>
      <c r="G24" s="11"/>
      <c r="H24" s="11"/>
      <c r="I24" s="11"/>
      <c r="J24" s="11"/>
    </row>
    <row r="25" spans="1:10" x14ac:dyDescent="0.3">
      <c r="A25" s="18" t="s">
        <v>7</v>
      </c>
      <c r="B25" s="6" t="s">
        <v>334</v>
      </c>
      <c r="C25" s="11"/>
      <c r="D25" s="11"/>
      <c r="E25" s="11"/>
      <c r="F25" s="18" t="s">
        <v>90</v>
      </c>
      <c r="G25" s="18" t="s">
        <v>335</v>
      </c>
    </row>
    <row r="26" spans="1:10" x14ac:dyDescent="0.3">
      <c r="A26" s="17">
        <v>1</v>
      </c>
      <c r="B26" s="4" t="s">
        <v>351</v>
      </c>
      <c r="C26" s="11"/>
      <c r="D26" s="11"/>
      <c r="E26" s="11"/>
      <c r="F26" s="17">
        <v>4</v>
      </c>
      <c r="G26" s="20">
        <v>0.8</v>
      </c>
    </row>
    <row r="27" spans="1:10" x14ac:dyDescent="0.3">
      <c r="A27" s="17">
        <v>2</v>
      </c>
      <c r="B27" s="4" t="s">
        <v>336</v>
      </c>
      <c r="C27" s="11"/>
      <c r="D27" s="11"/>
      <c r="E27" s="11"/>
      <c r="F27" s="17">
        <v>1</v>
      </c>
      <c r="G27" s="20">
        <v>0.2</v>
      </c>
    </row>
    <row r="29" spans="1:10" ht="18" customHeight="1" x14ac:dyDescent="0.3">
      <c r="A29" s="9" t="s">
        <v>340</v>
      </c>
      <c r="B29" s="11"/>
      <c r="C29" s="11"/>
      <c r="D29" s="11"/>
      <c r="E29" s="11"/>
      <c r="F29" s="11"/>
      <c r="G29" s="11"/>
      <c r="H29" s="11"/>
      <c r="I29" s="11"/>
      <c r="J29" s="11"/>
    </row>
    <row r="30" spans="1:10" ht="28.8" x14ac:dyDescent="0.3">
      <c r="A30" s="18" t="s">
        <v>34</v>
      </c>
      <c r="B30" s="18" t="s">
        <v>8</v>
      </c>
      <c r="C30" s="18" t="s">
        <v>341</v>
      </c>
      <c r="D30" s="18" t="s">
        <v>159</v>
      </c>
      <c r="E30" s="18" t="s">
        <v>35</v>
      </c>
      <c r="F30" s="18" t="s">
        <v>36</v>
      </c>
      <c r="G30" s="18" t="s">
        <v>37</v>
      </c>
      <c r="H30" s="18" t="s">
        <v>38</v>
      </c>
      <c r="I30" s="18" t="s">
        <v>342</v>
      </c>
      <c r="J30" s="18" t="s">
        <v>188</v>
      </c>
    </row>
    <row r="31" spans="1:10" ht="13.5" customHeight="1" x14ac:dyDescent="0.3">
      <c r="A31" s="16" t="s">
        <v>2</v>
      </c>
      <c r="B31" s="16" t="s">
        <v>11</v>
      </c>
      <c r="C31" s="16" t="s">
        <v>156</v>
      </c>
      <c r="D31" s="16" t="s">
        <v>17</v>
      </c>
      <c r="E31" s="16" t="s">
        <v>21</v>
      </c>
      <c r="F31" s="17">
        <v>16</v>
      </c>
      <c r="G31" s="17">
        <v>13</v>
      </c>
      <c r="H31" s="17">
        <v>3</v>
      </c>
      <c r="I31" s="20">
        <v>0.8125</v>
      </c>
      <c r="J31" s="21" t="s">
        <v>52</v>
      </c>
    </row>
    <row r="32" spans="1:10" ht="13.5" customHeight="1" x14ac:dyDescent="0.3">
      <c r="A32" s="16" t="s">
        <v>2</v>
      </c>
      <c r="B32" s="16" t="s">
        <v>11</v>
      </c>
      <c r="C32" s="16" t="s">
        <v>156</v>
      </c>
      <c r="D32" s="16" t="s">
        <v>16</v>
      </c>
      <c r="E32" s="16" t="s">
        <v>20</v>
      </c>
      <c r="F32" s="17">
        <v>37</v>
      </c>
      <c r="G32" s="17">
        <v>36</v>
      </c>
      <c r="H32" s="17">
        <v>1</v>
      </c>
      <c r="I32" s="20">
        <v>0.97299999999999998</v>
      </c>
      <c r="J32" s="21" t="s">
        <v>50</v>
      </c>
    </row>
    <row r="33" spans="1:10" ht="13.5" customHeight="1" x14ac:dyDescent="0.3">
      <c r="A33" s="16" t="s">
        <v>51</v>
      </c>
      <c r="B33" s="16" t="s">
        <v>11</v>
      </c>
      <c r="C33" s="16" t="s">
        <v>156</v>
      </c>
      <c r="D33" s="16" t="s">
        <v>17</v>
      </c>
      <c r="E33" s="16" t="s">
        <v>21</v>
      </c>
      <c r="F33" s="17">
        <v>29</v>
      </c>
      <c r="G33" s="17">
        <v>28</v>
      </c>
      <c r="H33" s="17">
        <v>1</v>
      </c>
      <c r="I33" s="20">
        <v>0.96550000000000002</v>
      </c>
      <c r="J33" s="21" t="s">
        <v>53</v>
      </c>
    </row>
    <row r="34" spans="1:10" ht="13.5" customHeight="1" x14ac:dyDescent="0.3">
      <c r="A34" s="16" t="s">
        <v>51</v>
      </c>
      <c r="B34" s="16" t="s">
        <v>11</v>
      </c>
      <c r="C34" s="16" t="s">
        <v>156</v>
      </c>
      <c r="D34" s="16" t="s">
        <v>16</v>
      </c>
      <c r="E34" s="16" t="s">
        <v>20</v>
      </c>
      <c r="F34" s="17">
        <v>25</v>
      </c>
      <c r="G34" s="17">
        <v>22</v>
      </c>
      <c r="H34" s="17">
        <v>3</v>
      </c>
      <c r="I34" s="20">
        <v>0.88</v>
      </c>
      <c r="J34" s="21" t="s">
        <v>52</v>
      </c>
    </row>
    <row r="35" spans="1:10" ht="13.5" customHeight="1" x14ac:dyDescent="0.3">
      <c r="A35" s="16" t="s">
        <v>54</v>
      </c>
      <c r="B35" s="16" t="s">
        <v>11</v>
      </c>
      <c r="C35" s="16" t="s">
        <v>156</v>
      </c>
      <c r="D35" s="16" t="s">
        <v>17</v>
      </c>
      <c r="E35" s="16" t="s">
        <v>23</v>
      </c>
      <c r="F35" s="17">
        <v>43</v>
      </c>
      <c r="G35" s="17">
        <v>42</v>
      </c>
      <c r="H35" s="17">
        <v>1</v>
      </c>
      <c r="I35" s="20">
        <v>0.97670000000000001</v>
      </c>
      <c r="J35" s="21" t="s">
        <v>58</v>
      </c>
    </row>
    <row r="36" spans="1:10" ht="13.5" customHeight="1" x14ac:dyDescent="0.3">
      <c r="A36" s="16" t="s">
        <v>54</v>
      </c>
      <c r="B36" s="16" t="s">
        <v>11</v>
      </c>
      <c r="C36" s="16" t="s">
        <v>156</v>
      </c>
      <c r="D36" s="16" t="s">
        <v>16</v>
      </c>
      <c r="E36" s="16" t="s">
        <v>22</v>
      </c>
      <c r="F36" s="17">
        <v>62</v>
      </c>
      <c r="G36" s="17">
        <v>58</v>
      </c>
      <c r="H36" s="17">
        <v>4</v>
      </c>
      <c r="I36" s="20">
        <v>0.9355</v>
      </c>
      <c r="J36" s="21" t="s">
        <v>55</v>
      </c>
    </row>
    <row r="37" spans="1:10" ht="13.5" customHeight="1" x14ac:dyDescent="0.3">
      <c r="A37" s="16" t="s">
        <v>56</v>
      </c>
      <c r="B37" s="16" t="s">
        <v>11</v>
      </c>
      <c r="C37" s="16" t="s">
        <v>156</v>
      </c>
      <c r="D37" s="16" t="s">
        <v>17</v>
      </c>
      <c r="E37" s="16" t="s">
        <v>23</v>
      </c>
      <c r="F37" s="17">
        <v>30</v>
      </c>
      <c r="G37" s="17">
        <v>29</v>
      </c>
      <c r="H37" s="17">
        <v>1</v>
      </c>
      <c r="I37" s="20">
        <v>0.9667</v>
      </c>
      <c r="J37" s="21" t="s">
        <v>59</v>
      </c>
    </row>
    <row r="38" spans="1:10" ht="13.5" customHeight="1" x14ac:dyDescent="0.3">
      <c r="A38" s="16" t="s">
        <v>56</v>
      </c>
      <c r="B38" s="16" t="s">
        <v>11</v>
      </c>
      <c r="C38" s="16" t="s">
        <v>156</v>
      </c>
      <c r="D38" s="16" t="s">
        <v>16</v>
      </c>
      <c r="E38" s="16" t="s">
        <v>22</v>
      </c>
      <c r="F38" s="17">
        <v>31</v>
      </c>
      <c r="G38" s="17">
        <v>29</v>
      </c>
      <c r="H38" s="17">
        <v>2</v>
      </c>
      <c r="I38" s="20">
        <v>0.9355</v>
      </c>
      <c r="J38" s="21" t="s">
        <v>57</v>
      </c>
    </row>
    <row r="39" spans="1:10" ht="13.5" customHeight="1" x14ac:dyDescent="0.3">
      <c r="A39" s="16" t="s">
        <v>24</v>
      </c>
      <c r="B39" s="16" t="s">
        <v>11</v>
      </c>
      <c r="C39" s="16" t="s">
        <v>156</v>
      </c>
      <c r="D39" s="16" t="s">
        <v>16</v>
      </c>
      <c r="E39" s="16" t="s">
        <v>22</v>
      </c>
      <c r="F39" s="17">
        <v>39</v>
      </c>
      <c r="G39" s="17">
        <v>36</v>
      </c>
      <c r="H39" s="17">
        <v>3</v>
      </c>
      <c r="I39" s="20">
        <v>0.92310000000000003</v>
      </c>
      <c r="J39" s="21" t="s">
        <v>60</v>
      </c>
    </row>
    <row r="40" spans="1:10" ht="27" customHeight="1" x14ac:dyDescent="0.3">
      <c r="A40" s="16" t="s">
        <v>3</v>
      </c>
      <c r="B40" s="16" t="s">
        <v>88</v>
      </c>
      <c r="C40" s="16" t="s">
        <v>156</v>
      </c>
      <c r="D40" s="16" t="s">
        <v>30</v>
      </c>
      <c r="E40" s="16" t="s">
        <v>29</v>
      </c>
      <c r="F40" s="17">
        <v>16</v>
      </c>
      <c r="G40" s="17">
        <v>11</v>
      </c>
      <c r="H40" s="17">
        <v>5</v>
      </c>
      <c r="I40" s="20">
        <v>0.6875</v>
      </c>
      <c r="J40" s="21" t="s">
        <v>61</v>
      </c>
    </row>
    <row r="42" ht="16.5" customHeight="1">
      <c r="A42" s="45" t="inlineStr">
        <is>
          <t>Key Takeaways</t>
        </is>
      </c>
      <c r="B42" s="45"/>
      <c r="C42" s="45"/>
      <c r="D42" s="45"/>
      <c r="E42" s="45"/>
      <c r="F42" s="45"/>
      <c r="G42" s="45"/>
      <c r="H42" s="45"/>
      <c r="I42" s="45"/>
      <c r="J42" s="45"/>
    </row>
    <row r="43" ht="27.0" customHeight="1">
      <c r="A43" s="46" t="inlineStr">
        <is>
          <t xml:space="preserve">➢ 666541 (Pelvic @ Martins): 93.3% FPY on 194 — urethra damage drove 9 of 13 fails; harvest-cut technique flagged with the SH tech.</t>
        </is>
      </c>
      <c r="B43" s="46"/>
      <c r="C43" s="46"/>
      <c r="D43" s="46"/>
      <c r="E43" s="46"/>
      <c r="F43" s="46"/>
      <c r="G43" s="46"/>
      <c r="H43" s="46"/>
      <c r="I43" s="46"/>
      <c r="J43" s="46"/>
    </row>
    <row r="44" ht="15.0" customHeight="1">
      <c r="A44" s="46" t="inlineStr">
        <is>
          <t xml:space="preserve">➢ 666506 (Pelvic @ Martins): 94.9% FPY on 118 — a few urethra/bladder fails; otherwise steady.</t>
        </is>
      </c>
      <c r="B44" s="46"/>
      <c r="C44" s="46"/>
      <c r="D44" s="46"/>
      <c r="E44" s="46"/>
      <c r="F44" s="46"/>
      <c r="G44" s="46"/>
      <c r="H44" s="46"/>
      <c r="I44" s="46"/>
      <c r="J44" s="46"/>
    </row>
    <row r="45" ht="27.0" customHeight="1">
      <c r="A45" s="47" t="inlineStr">
        <is>
          <t xml:space="preserve">➢ 666518 (Pelvic @ Parks): first Parks visit (5/28) came in at 68.8% FPY — 4 short-mesentery blocks + 1 bladder; kicked off the Parks improvement push.</t>
        </is>
      </c>
      <c r="B45" s="47"/>
      <c r="C45" s="47"/>
      <c r="D45" s="47"/>
      <c r="E45" s="47"/>
      <c r="F45" s="47"/>
      <c r="G45" s="47"/>
      <c r="H45" s="47"/>
      <c r="I45" s="47"/>
      <c r="J45" s="47"/>
    </row>
  </sheetData>
  <mergeCells count="28">
    <mergeCell ref="B25:E25"/>
    <mergeCell ref="B26:E26"/>
    <mergeCell ref="B27:E27"/>
    <mergeCell ref="A29:J29"/>
    <mergeCell ref="B19:E19"/>
    <mergeCell ref="B20:E20"/>
    <mergeCell ref="B21:E21"/>
    <mergeCell ref="B22:E22"/>
    <mergeCell ref="A24:J24"/>
    <mergeCell ref="B13:E13"/>
    <mergeCell ref="B14:E14"/>
    <mergeCell ref="B15:E15"/>
    <mergeCell ref="B16:E16"/>
    <mergeCell ref="A18:J18"/>
    <mergeCell ref="G7:J7"/>
    <mergeCell ref="G8:J8"/>
    <mergeCell ref="A10:J10"/>
    <mergeCell ref="A11:J11"/>
    <mergeCell ref="B12:E12"/>
    <mergeCell ref="A1:J1"/>
    <mergeCell ref="A2:J2"/>
    <mergeCell ref="A4:J4"/>
    <mergeCell ref="G5:J5"/>
    <mergeCell ref="G6:J6"/>
    <mergeCell ref="A42:J42"/>
    <mergeCell ref="A43:J43"/>
    <mergeCell ref="A44:J44"/>
    <mergeCell ref="A45:J45"/>
  </mergeCells>
  <conditionalFormatting sqref="F6:F8">
    <cfRule type="colorScale" priority="1">
      <colorScale>
        <cfvo type="num" val="0.3"/>
        <cfvo type="num" val="0.8"/>
        <cfvo type="num" val="1"/>
        <color rgb="FFF8696B"/>
        <color rgb="FFFFEB84"/>
        <color rgb="FF63BE7B"/>
      </colorScale>
    </cfRule>
  </conditionalFormatting>
  <conditionalFormatting sqref="F13:F16">
    <cfRule type="dataBar" priority="2">
      <dataBar>
        <cfvo type="min"/>
        <cfvo type="max"/>
        <color rgb="FF638EC6"/>
      </dataBar>
    </cfRule>
  </conditionalFormatting>
  <conditionalFormatting sqref="F20:F22">
    <cfRule type="dataBar" priority="3">
      <dataBar>
        <cfvo type="min"/>
        <cfvo type="max"/>
        <color rgb="FF638EC6"/>
      </dataBar>
    </cfRule>
  </conditionalFormatting>
  <conditionalFormatting sqref="F26:F27">
    <cfRule type="dataBar" priority="4">
      <dataBar>
        <cfvo type="min"/>
        <cfvo type="max"/>
        <color rgb="FF638EC6"/>
      </dataBar>
    </cfRule>
  </conditionalFormatting>
  <pageMargins left="0.5" right="0.5" top="0.6" bottom="0.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50"/>
  <sheetViews>
    <sheetView workbookViewId="0"/>
  </sheetViews>
  <sheetFormatPr defaultRowHeight="14.4" x14ac:dyDescent="0.3"/>
  <cols>
    <col min="1" max="1" width="17" customWidth="1"/>
    <col min="2" max="2" width="15" customWidth="1"/>
    <col min="3" max="3" width="10" customWidth="1"/>
    <col min="4" max="4" width="9" customWidth="1"/>
    <col min="5" max="5" width="14" customWidth="1"/>
    <col min="6" max="8" width="10" customWidth="1"/>
    <col min="9" max="9" width="9" customWidth="1"/>
    <col min="10" max="10" width="52" customWidth="1"/>
  </cols>
  <sheetData>
    <row r="1" spans="1:10" ht="22.05" customHeight="1" x14ac:dyDescent="0.4">
      <c r="A1" s="12" t="s">
        <v>354</v>
      </c>
      <c r="B1" s="11"/>
      <c r="C1" s="11"/>
      <c r="D1" s="11"/>
      <c r="E1" s="11"/>
      <c r="F1" s="11"/>
      <c r="G1" s="11"/>
      <c r="H1" s="11"/>
      <c r="I1" s="11"/>
      <c r="J1" s="11"/>
    </row>
    <row r="2" spans="1:10" ht="43.95" customHeight="1" x14ac:dyDescent="0.3">
      <c r="A2" s="10" t="s">
        <v>355</v>
      </c>
      <c r="B2" s="11"/>
      <c r="C2" s="11"/>
      <c r="D2" s="11"/>
      <c r="E2" s="11"/>
      <c r="F2" s="11"/>
      <c r="G2" s="11"/>
      <c r="H2" s="11"/>
      <c r="I2" s="11"/>
      <c r="J2" s="11"/>
    </row>
    <row r="4" spans="1:10" ht="18" customHeight="1" x14ac:dyDescent="0.3">
      <c r="A4" s="9" t="s">
        <v>326</v>
      </c>
      <c r="B4" s="11"/>
      <c r="C4" s="11"/>
      <c r="D4" s="11"/>
      <c r="E4" s="11"/>
      <c r="F4" s="11"/>
      <c r="G4" s="11"/>
      <c r="H4" s="11"/>
      <c r="I4" s="11"/>
      <c r="J4" s="11"/>
    </row>
    <row r="5" spans="1:10" ht="28.8" x14ac:dyDescent="0.3">
      <c r="A5" s="18" t="s">
        <v>327</v>
      </c>
      <c r="B5" s="18" t="s">
        <v>159</v>
      </c>
      <c r="C5" s="18" t="s">
        <v>36</v>
      </c>
      <c r="D5" s="18" t="s">
        <v>37</v>
      </c>
      <c r="E5" s="18" t="s">
        <v>38</v>
      </c>
      <c r="F5" s="18" t="s">
        <v>154</v>
      </c>
      <c r="G5" s="6" t="s">
        <v>328</v>
      </c>
      <c r="H5" s="11"/>
      <c r="I5" s="11"/>
      <c r="J5" s="11"/>
    </row>
    <row r="6" spans="1:10" x14ac:dyDescent="0.3">
      <c r="A6" s="16" t="s">
        <v>329</v>
      </c>
      <c r="B6" s="16" t="s">
        <v>16</v>
      </c>
      <c r="C6" s="17">
        <v>152</v>
      </c>
      <c r="D6" s="17">
        <v>144</v>
      </c>
      <c r="E6" s="17">
        <v>8</v>
      </c>
      <c r="F6" s="20">
        <v>0.94740000000000002</v>
      </c>
      <c r="G6" s="5" t="s">
        <v>346</v>
      </c>
      <c r="H6" s="11"/>
      <c r="I6" s="11"/>
      <c r="J6" s="11"/>
    </row>
    <row r="7" spans="1:10" x14ac:dyDescent="0.3">
      <c r="A7" s="16" t="s">
        <v>329</v>
      </c>
      <c r="B7" s="16" t="s">
        <v>17</v>
      </c>
      <c r="C7" s="17">
        <v>53</v>
      </c>
      <c r="D7" s="17">
        <v>52</v>
      </c>
      <c r="E7" s="17">
        <v>1</v>
      </c>
      <c r="F7" s="20">
        <v>0.98109999999999997</v>
      </c>
      <c r="G7" s="5" t="s">
        <v>356</v>
      </c>
      <c r="H7" s="11"/>
      <c r="I7" s="11"/>
      <c r="J7" s="11"/>
    </row>
    <row r="8" spans="1:10" x14ac:dyDescent="0.3">
      <c r="A8" s="16" t="s">
        <v>347</v>
      </c>
      <c r="B8" s="16" t="s">
        <v>30</v>
      </c>
      <c r="C8" s="17">
        <v>128</v>
      </c>
      <c r="D8" s="17">
        <v>106</v>
      </c>
      <c r="E8" s="17">
        <v>22</v>
      </c>
      <c r="F8" s="20">
        <v>0.82809999999999995</v>
      </c>
      <c r="G8" s="5" t="s">
        <v>357</v>
      </c>
      <c r="H8" s="11"/>
      <c r="I8" s="11"/>
      <c r="J8" s="11"/>
    </row>
    <row r="10" spans="1:10" ht="18" customHeight="1" x14ac:dyDescent="0.3">
      <c r="A10" s="9" t="s">
        <v>332</v>
      </c>
      <c r="B10" s="11"/>
      <c r="C10" s="11"/>
      <c r="D10" s="11"/>
      <c r="E10" s="11"/>
      <c r="F10" s="11"/>
      <c r="G10" s="11"/>
      <c r="H10" s="11"/>
      <c r="I10" s="11"/>
      <c r="J10" s="11"/>
    </row>
    <row r="11" spans="1:10" ht="16.05" customHeight="1" x14ac:dyDescent="0.3">
      <c r="A11" s="8" t="s">
        <v>358</v>
      </c>
      <c r="B11" s="11"/>
      <c r="C11" s="11"/>
      <c r="D11" s="11"/>
      <c r="E11" s="11"/>
      <c r="F11" s="11"/>
      <c r="G11" s="11"/>
      <c r="H11" s="11"/>
      <c r="I11" s="11"/>
      <c r="J11" s="11"/>
    </row>
    <row r="12" spans="1:10" x14ac:dyDescent="0.3">
      <c r="A12" s="18" t="s">
        <v>7</v>
      </c>
      <c r="B12" s="6" t="s">
        <v>334</v>
      </c>
      <c r="C12" s="11"/>
      <c r="D12" s="11"/>
      <c r="E12" s="11"/>
      <c r="F12" s="18" t="s">
        <v>90</v>
      </c>
      <c r="G12" s="18" t="s">
        <v>335</v>
      </c>
    </row>
    <row r="13" spans="1:10" x14ac:dyDescent="0.3">
      <c r="A13" s="17">
        <v>1</v>
      </c>
      <c r="B13" s="4" t="s">
        <v>336</v>
      </c>
      <c r="C13" s="11"/>
      <c r="D13" s="11"/>
      <c r="E13" s="11"/>
      <c r="F13" s="17">
        <v>4</v>
      </c>
      <c r="G13" s="20">
        <v>0.5</v>
      </c>
    </row>
    <row r="14" spans="1:10" x14ac:dyDescent="0.3">
      <c r="A14" s="17">
        <v>2</v>
      </c>
      <c r="B14" s="4" t="s">
        <v>350</v>
      </c>
      <c r="C14" s="11"/>
      <c r="D14" s="11"/>
      <c r="E14" s="11"/>
      <c r="F14" s="17">
        <v>3</v>
      </c>
      <c r="G14" s="20">
        <v>0.375</v>
      </c>
    </row>
    <row r="15" spans="1:10" x14ac:dyDescent="0.3">
      <c r="A15" s="17">
        <v>3</v>
      </c>
      <c r="B15" s="4" t="s">
        <v>337</v>
      </c>
      <c r="C15" s="11"/>
      <c r="D15" s="11"/>
      <c r="E15" s="11"/>
      <c r="F15" s="17">
        <v>1</v>
      </c>
      <c r="G15" s="20">
        <v>0.125</v>
      </c>
    </row>
    <row r="17" spans="1:10" ht="16.05" customHeight="1" x14ac:dyDescent="0.3">
      <c r="A17" s="8" t="s">
        <v>359</v>
      </c>
      <c r="B17" s="11"/>
      <c r="C17" s="11"/>
      <c r="D17" s="11"/>
      <c r="E17" s="11"/>
      <c r="F17" s="11"/>
      <c r="G17" s="11"/>
      <c r="H17" s="11"/>
      <c r="I17" s="11"/>
      <c r="J17" s="11"/>
    </row>
    <row r="18" spans="1:10" x14ac:dyDescent="0.3">
      <c r="A18" s="18" t="s">
        <v>7</v>
      </c>
      <c r="B18" s="6" t="s">
        <v>334</v>
      </c>
      <c r="C18" s="11"/>
      <c r="D18" s="11"/>
      <c r="E18" s="11"/>
      <c r="F18" s="18" t="s">
        <v>90</v>
      </c>
      <c r="G18" s="18" t="s">
        <v>335</v>
      </c>
    </row>
    <row r="19" spans="1:10" x14ac:dyDescent="0.3">
      <c r="A19" s="17">
        <v>1</v>
      </c>
      <c r="B19" s="4" t="s">
        <v>351</v>
      </c>
      <c r="C19" s="11"/>
      <c r="D19" s="11"/>
      <c r="E19" s="11"/>
      <c r="F19" s="17">
        <v>1</v>
      </c>
      <c r="G19" s="20">
        <v>1</v>
      </c>
    </row>
    <row r="21" spans="1:10" ht="16.05" customHeight="1" x14ac:dyDescent="0.3">
      <c r="A21" s="8" t="s">
        <v>360</v>
      </c>
      <c r="B21" s="11"/>
      <c r="C21" s="11"/>
      <c r="D21" s="11"/>
      <c r="E21" s="11"/>
      <c r="F21" s="11"/>
      <c r="G21" s="11"/>
      <c r="H21" s="11"/>
      <c r="I21" s="11"/>
      <c r="J21" s="11"/>
    </row>
    <row r="22" spans="1:10" x14ac:dyDescent="0.3">
      <c r="A22" s="18" t="s">
        <v>7</v>
      </c>
      <c r="B22" s="6" t="s">
        <v>334</v>
      </c>
      <c r="C22" s="11"/>
      <c r="D22" s="11"/>
      <c r="E22" s="11"/>
      <c r="F22" s="18" t="s">
        <v>90</v>
      </c>
      <c r="G22" s="18" t="s">
        <v>335</v>
      </c>
    </row>
    <row r="23" spans="1:10" x14ac:dyDescent="0.3">
      <c r="A23" s="17">
        <v>1</v>
      </c>
      <c r="B23" s="4" t="s">
        <v>336</v>
      </c>
      <c r="C23" s="11"/>
      <c r="D23" s="11"/>
      <c r="E23" s="11"/>
      <c r="F23" s="17">
        <v>10</v>
      </c>
      <c r="G23" s="20">
        <v>0.45450000000000002</v>
      </c>
    </row>
    <row r="24" spans="1:10" x14ac:dyDescent="0.3">
      <c r="A24" s="17">
        <v>2</v>
      </c>
      <c r="B24" s="4" t="s">
        <v>351</v>
      </c>
      <c r="C24" s="11"/>
      <c r="D24" s="11"/>
      <c r="E24" s="11"/>
      <c r="F24" s="17">
        <v>5</v>
      </c>
      <c r="G24" s="20">
        <v>0.2273</v>
      </c>
    </row>
    <row r="25" spans="1:10" x14ac:dyDescent="0.3">
      <c r="A25" s="17">
        <v>3</v>
      </c>
      <c r="B25" s="4" t="s">
        <v>361</v>
      </c>
      <c r="C25" s="11"/>
      <c r="D25" s="11"/>
      <c r="E25" s="11"/>
      <c r="F25" s="17">
        <v>3</v>
      </c>
      <c r="G25" s="20">
        <v>0.13639999999999999</v>
      </c>
    </row>
    <row r="26" spans="1:10" x14ac:dyDescent="0.3">
      <c r="A26" s="17">
        <v>4</v>
      </c>
      <c r="B26" s="4" t="s">
        <v>337</v>
      </c>
      <c r="C26" s="11"/>
      <c r="D26" s="11"/>
      <c r="E26" s="11"/>
      <c r="F26" s="17">
        <v>2</v>
      </c>
      <c r="G26" s="20">
        <v>9.0899999999999995E-2</v>
      </c>
    </row>
    <row r="27" spans="1:10" x14ac:dyDescent="0.3">
      <c r="A27" s="17">
        <v>5</v>
      </c>
      <c r="B27" s="4" t="s">
        <v>362</v>
      </c>
      <c r="C27" s="11"/>
      <c r="D27" s="11"/>
      <c r="E27" s="11"/>
      <c r="F27" s="17">
        <v>2</v>
      </c>
      <c r="G27" s="20">
        <v>9.0899999999999995E-2</v>
      </c>
    </row>
    <row r="29" spans="1:10" ht="18" customHeight="1" x14ac:dyDescent="0.3">
      <c r="A29" s="9" t="s">
        <v>340</v>
      </c>
      <c r="B29" s="11"/>
      <c r="C29" s="11"/>
      <c r="D29" s="11"/>
      <c r="E29" s="11"/>
      <c r="F29" s="11"/>
      <c r="G29" s="11"/>
      <c r="H29" s="11"/>
      <c r="I29" s="11"/>
      <c r="J29" s="11"/>
    </row>
    <row r="30" spans="1:10" ht="28.8" x14ac:dyDescent="0.3">
      <c r="A30" s="18" t="s">
        <v>34</v>
      </c>
      <c r="B30" s="18" t="s">
        <v>8</v>
      </c>
      <c r="C30" s="18" t="s">
        <v>341</v>
      </c>
      <c r="D30" s="18" t="s">
        <v>159</v>
      </c>
      <c r="E30" s="18" t="s">
        <v>35</v>
      </c>
      <c r="F30" s="18" t="s">
        <v>36</v>
      </c>
      <c r="G30" s="18" t="s">
        <v>37</v>
      </c>
      <c r="H30" s="18" t="s">
        <v>38</v>
      </c>
      <c r="I30" s="18" t="s">
        <v>342</v>
      </c>
      <c r="J30" s="18" t="s">
        <v>188</v>
      </c>
    </row>
    <row r="31" spans="1:10" ht="13.5" customHeight="1" x14ac:dyDescent="0.3">
      <c r="A31" s="16" t="s">
        <v>62</v>
      </c>
      <c r="B31" s="16" t="s">
        <v>11</v>
      </c>
      <c r="C31" s="16" t="s">
        <v>156</v>
      </c>
      <c r="D31" s="16" t="s">
        <v>17</v>
      </c>
      <c r="E31" s="16" t="s">
        <v>32</v>
      </c>
      <c r="F31" s="17">
        <v>7</v>
      </c>
      <c r="G31" s="17">
        <v>7</v>
      </c>
      <c r="H31" s="17">
        <v>0</v>
      </c>
      <c r="I31" s="20">
        <v>1</v>
      </c>
      <c r="J31" s="21" t="s">
        <v>189</v>
      </c>
    </row>
    <row r="32" spans="1:10" ht="13.5" customHeight="1" x14ac:dyDescent="0.3">
      <c r="A32" s="16" t="s">
        <v>62</v>
      </c>
      <c r="B32" s="16" t="s">
        <v>11</v>
      </c>
      <c r="C32" s="16" t="s">
        <v>156</v>
      </c>
      <c r="D32" s="16" t="s">
        <v>16</v>
      </c>
      <c r="E32" s="16" t="s">
        <v>31</v>
      </c>
      <c r="F32" s="17">
        <v>9</v>
      </c>
      <c r="G32" s="17">
        <v>9</v>
      </c>
      <c r="H32" s="17">
        <v>0</v>
      </c>
      <c r="I32" s="20">
        <v>1</v>
      </c>
      <c r="J32" s="21" t="s">
        <v>189</v>
      </c>
    </row>
    <row r="33" spans="1:10" ht="13.5" customHeight="1" x14ac:dyDescent="0.3">
      <c r="A33" s="16" t="s">
        <v>33</v>
      </c>
      <c r="B33" s="16" t="s">
        <v>88</v>
      </c>
      <c r="C33" s="16" t="s">
        <v>156</v>
      </c>
      <c r="D33" s="16" t="s">
        <v>30</v>
      </c>
      <c r="E33" s="16" t="s">
        <v>29</v>
      </c>
      <c r="F33" s="17">
        <v>7</v>
      </c>
      <c r="G33" s="17">
        <v>7</v>
      </c>
      <c r="H33" s="17">
        <v>0</v>
      </c>
      <c r="I33" s="20">
        <v>1</v>
      </c>
      <c r="J33" s="21" t="s">
        <v>189</v>
      </c>
    </row>
    <row r="34" spans="1:10" ht="13.5" customHeight="1" x14ac:dyDescent="0.3">
      <c r="A34" s="16" t="s">
        <v>63</v>
      </c>
      <c r="B34" s="16" t="s">
        <v>11</v>
      </c>
      <c r="C34" s="16" t="s">
        <v>156</v>
      </c>
      <c r="D34" s="16" t="s">
        <v>17</v>
      </c>
      <c r="E34" s="16" t="s">
        <v>32</v>
      </c>
      <c r="F34" s="17">
        <v>29</v>
      </c>
      <c r="G34" s="17">
        <v>29</v>
      </c>
      <c r="H34" s="17">
        <v>0</v>
      </c>
      <c r="I34" s="20">
        <v>1</v>
      </c>
      <c r="J34" s="21" t="s">
        <v>189</v>
      </c>
    </row>
    <row r="35" spans="1:10" ht="13.5" customHeight="1" x14ac:dyDescent="0.3">
      <c r="A35" s="16" t="s">
        <v>63</v>
      </c>
      <c r="B35" s="16" t="s">
        <v>11</v>
      </c>
      <c r="C35" s="16" t="s">
        <v>156</v>
      </c>
      <c r="D35" s="16" t="s">
        <v>16</v>
      </c>
      <c r="E35" s="16" t="s">
        <v>31</v>
      </c>
      <c r="F35" s="17">
        <v>45</v>
      </c>
      <c r="G35" s="17">
        <v>43</v>
      </c>
      <c r="H35" s="17">
        <v>2</v>
      </c>
      <c r="I35" s="20">
        <v>0.9556</v>
      </c>
      <c r="J35" s="21" t="s">
        <v>64</v>
      </c>
    </row>
    <row r="36" spans="1:10" ht="13.5" customHeight="1" x14ac:dyDescent="0.3">
      <c r="A36" s="16" t="s">
        <v>191</v>
      </c>
      <c r="B36" s="16" t="s">
        <v>11</v>
      </c>
      <c r="C36" s="16" t="s">
        <v>156</v>
      </c>
      <c r="D36" s="16" t="s">
        <v>17</v>
      </c>
      <c r="E36" s="16" t="s">
        <v>32</v>
      </c>
      <c r="F36" s="17">
        <v>13</v>
      </c>
      <c r="G36" s="17">
        <v>12</v>
      </c>
      <c r="H36" s="17">
        <v>1</v>
      </c>
      <c r="I36" s="20">
        <v>0.92310000000000003</v>
      </c>
      <c r="J36" s="21" t="s">
        <v>192</v>
      </c>
    </row>
    <row r="37" spans="1:10" ht="13.5" customHeight="1" x14ac:dyDescent="0.3">
      <c r="A37" s="16" t="s">
        <v>191</v>
      </c>
      <c r="B37" s="16" t="s">
        <v>11</v>
      </c>
      <c r="C37" s="16" t="s">
        <v>156</v>
      </c>
      <c r="D37" s="16" t="s">
        <v>16</v>
      </c>
      <c r="E37" s="16" t="s">
        <v>31</v>
      </c>
      <c r="F37" s="17">
        <v>17</v>
      </c>
      <c r="G37" s="17">
        <v>16</v>
      </c>
      <c r="H37" s="17">
        <v>1</v>
      </c>
      <c r="I37" s="20">
        <v>0.94120000000000004</v>
      </c>
      <c r="J37" s="21" t="s">
        <v>193</v>
      </c>
    </row>
    <row r="38" spans="1:10" ht="27" customHeight="1" x14ac:dyDescent="0.3">
      <c r="A38" s="16" t="s">
        <v>194</v>
      </c>
      <c r="B38" s="16" t="s">
        <v>11</v>
      </c>
      <c r="C38" s="16" t="s">
        <v>156</v>
      </c>
      <c r="D38" s="16" t="s">
        <v>16</v>
      </c>
      <c r="E38" s="16" t="s">
        <v>195</v>
      </c>
      <c r="F38" s="17">
        <v>31</v>
      </c>
      <c r="G38" s="17">
        <v>30</v>
      </c>
      <c r="H38" s="17">
        <v>1</v>
      </c>
      <c r="I38" s="20">
        <v>0.9677</v>
      </c>
      <c r="J38" s="21" t="s">
        <v>196</v>
      </c>
    </row>
    <row r="39" spans="1:10" ht="27" customHeight="1" x14ac:dyDescent="0.3">
      <c r="A39" s="16" t="s">
        <v>197</v>
      </c>
      <c r="B39" s="16" t="s">
        <v>88</v>
      </c>
      <c r="C39" s="16" t="s">
        <v>156</v>
      </c>
      <c r="D39" s="16" t="s">
        <v>30</v>
      </c>
      <c r="E39" s="16" t="s">
        <v>29</v>
      </c>
      <c r="F39" s="17">
        <v>16</v>
      </c>
      <c r="G39" s="17">
        <v>14</v>
      </c>
      <c r="H39" s="17">
        <v>2</v>
      </c>
      <c r="I39" s="20">
        <v>0.875</v>
      </c>
      <c r="J39" s="21" t="s">
        <v>198</v>
      </c>
    </row>
    <row r="40" spans="1:10" ht="13.5" customHeight="1" x14ac:dyDescent="0.3">
      <c r="A40" s="16" t="s">
        <v>199</v>
      </c>
      <c r="B40" s="16" t="s">
        <v>88</v>
      </c>
      <c r="C40" s="16" t="s">
        <v>156</v>
      </c>
      <c r="D40" s="16" t="s">
        <v>30</v>
      </c>
      <c r="E40" s="16" t="s">
        <v>29</v>
      </c>
      <c r="F40" s="17">
        <v>36</v>
      </c>
      <c r="G40" s="17">
        <v>31</v>
      </c>
      <c r="H40" s="17">
        <v>5</v>
      </c>
      <c r="I40" s="20">
        <v>0.86109999999999998</v>
      </c>
      <c r="J40" s="21" t="s">
        <v>200</v>
      </c>
    </row>
    <row r="41" spans="1:10" ht="13.5" customHeight="1" x14ac:dyDescent="0.3">
      <c r="A41" s="16" t="s">
        <v>201</v>
      </c>
      <c r="B41" s="16" t="s">
        <v>11</v>
      </c>
      <c r="C41" s="16" t="s">
        <v>156</v>
      </c>
      <c r="D41" s="16" t="s">
        <v>16</v>
      </c>
      <c r="E41" s="16" t="s">
        <v>195</v>
      </c>
      <c r="F41" s="17">
        <v>34</v>
      </c>
      <c r="G41" s="17">
        <v>30</v>
      </c>
      <c r="H41" s="17">
        <v>4</v>
      </c>
      <c r="I41" s="20">
        <v>0.88239999999999996</v>
      </c>
      <c r="J41" s="21" t="s">
        <v>202</v>
      </c>
    </row>
    <row r="42" spans="1:10" ht="13.5" customHeight="1" x14ac:dyDescent="0.3">
      <c r="A42" s="16" t="s">
        <v>203</v>
      </c>
      <c r="B42" s="16" t="s">
        <v>88</v>
      </c>
      <c r="C42" s="16" t="s">
        <v>156</v>
      </c>
      <c r="D42" s="16" t="s">
        <v>30</v>
      </c>
      <c r="E42" s="16" t="s">
        <v>29</v>
      </c>
      <c r="F42" s="17">
        <v>19</v>
      </c>
      <c r="G42" s="17">
        <v>16</v>
      </c>
      <c r="H42" s="17">
        <v>3</v>
      </c>
      <c r="I42" s="20">
        <v>0.84209999999999996</v>
      </c>
      <c r="J42" s="21" t="s">
        <v>204</v>
      </c>
    </row>
    <row r="43" spans="1:10" ht="13.5" customHeight="1" x14ac:dyDescent="0.3">
      <c r="A43" s="16" t="s">
        <v>205</v>
      </c>
      <c r="B43" s="16" t="s">
        <v>11</v>
      </c>
      <c r="C43" s="16" t="s">
        <v>156</v>
      </c>
      <c r="D43" s="16" t="s">
        <v>17</v>
      </c>
      <c r="E43" s="16" t="s">
        <v>206</v>
      </c>
      <c r="F43" s="17">
        <v>4</v>
      </c>
      <c r="G43" s="17">
        <v>4</v>
      </c>
      <c r="H43" s="17">
        <v>0</v>
      </c>
      <c r="I43" s="20">
        <v>1</v>
      </c>
      <c r="J43" s="21" t="s">
        <v>189</v>
      </c>
    </row>
    <row r="44" spans="1:10" ht="40.049999999999997" customHeight="1" x14ac:dyDescent="0.3">
      <c r="A44" s="16" t="s">
        <v>205</v>
      </c>
      <c r="B44" s="16" t="s">
        <v>88</v>
      </c>
      <c r="C44" s="16" t="s">
        <v>156</v>
      </c>
      <c r="D44" s="16" t="s">
        <v>30</v>
      </c>
      <c r="E44" s="16" t="s">
        <v>29</v>
      </c>
      <c r="F44" s="17">
        <v>50</v>
      </c>
      <c r="G44" s="17">
        <v>38</v>
      </c>
      <c r="H44" s="17">
        <v>12</v>
      </c>
      <c r="I44" s="20">
        <v>0.76</v>
      </c>
      <c r="J44" s="21" t="s">
        <v>207</v>
      </c>
    </row>
    <row r="45" spans="1:10" ht="13.5" customHeight="1" x14ac:dyDescent="0.3">
      <c r="A45" s="16" t="s">
        <v>205</v>
      </c>
      <c r="B45" s="16" t="s">
        <v>11</v>
      </c>
      <c r="C45" s="16" t="s">
        <v>156</v>
      </c>
      <c r="D45" s="16" t="s">
        <v>16</v>
      </c>
      <c r="E45" s="16" t="s">
        <v>208</v>
      </c>
      <c r="F45" s="17">
        <v>16</v>
      </c>
      <c r="G45" s="17">
        <v>16</v>
      </c>
      <c r="H45" s="17">
        <v>0</v>
      </c>
      <c r="I45" s="20">
        <v>1</v>
      </c>
      <c r="J45" s="21" t="s">
        <v>189</v>
      </c>
    </row>
    <row r="47" ht="16.5" customHeight="1">
      <c r="A47" s="45" t="inlineStr">
        <is>
          <t>Key Takeaways</t>
        </is>
      </c>
      <c r="B47" s="45"/>
      <c r="C47" s="45"/>
      <c r="D47" s="45"/>
      <c r="E47" s="45"/>
      <c r="F47" s="45"/>
      <c r="G47" s="45"/>
      <c r="H47" s="45"/>
      <c r="I47" s="45"/>
      <c r="J47" s="45"/>
    </row>
    <row r="48" ht="15.0" customHeight="1">
      <c r="A48" s="46" t="inlineStr">
        <is>
          <t xml:space="preserve">➢ 666541 (Pelvic @ Martins): 94.7% FPY on 152 — minor urethra and membrane damage; steady.</t>
        </is>
      </c>
      <c r="B48" s="46"/>
      <c r="C48" s="46"/>
      <c r="D48" s="46"/>
      <c r="E48" s="46"/>
      <c r="F48" s="46"/>
      <c r="G48" s="46"/>
      <c r="H48" s="46"/>
      <c r="I48" s="46"/>
      <c r="J48" s="46"/>
    </row>
    <row r="49" ht="15.0" customHeight="1">
      <c r="A49" s="46" t="inlineStr">
        <is>
          <t xml:space="preserve">➢ 666506 (Pelvic @ Martins): 98.1% FPY on 53 — a single short block; best line of the month.</t>
        </is>
      </c>
      <c r="B49" s="46"/>
      <c r="C49" s="46"/>
      <c r="D49" s="46"/>
      <c r="E49" s="46"/>
      <c r="F49" s="46"/>
      <c r="G49" s="46"/>
      <c r="H49" s="46"/>
      <c r="I49" s="46"/>
      <c r="J49" s="46"/>
    </row>
    <row r="50" ht="27.0" customHeight="1">
      <c r="A50" s="47" t="inlineStr">
        <is>
          <t xml:space="preserve">➢ 666518 (Pelvic @ Parks): 82.8% FPY on 128 — worst month: 10 urethra/bladder cuts near the template edge, 5 short blocks, 3 critical-area; root-caused and addressed in the Parks deep-dive.</t>
        </is>
      </c>
      <c r="B50" s="47"/>
      <c r="C50" s="47"/>
      <c r="D50" s="47"/>
      <c r="E50" s="47"/>
      <c r="F50" s="47"/>
      <c r="G50" s="47"/>
      <c r="H50" s="47"/>
      <c r="I50" s="47"/>
      <c r="J50" s="47"/>
    </row>
  </sheetData>
  <mergeCells count="28">
    <mergeCell ref="B25:E25"/>
    <mergeCell ref="B26:E26"/>
    <mergeCell ref="B27:E27"/>
    <mergeCell ref="A29:J29"/>
    <mergeCell ref="B19:E19"/>
    <mergeCell ref="A21:J21"/>
    <mergeCell ref="B22:E22"/>
    <mergeCell ref="B23:E23"/>
    <mergeCell ref="B24:E24"/>
    <mergeCell ref="B13:E13"/>
    <mergeCell ref="B14:E14"/>
    <mergeCell ref="B15:E15"/>
    <mergeCell ref="A17:J17"/>
    <mergeCell ref="B18:E18"/>
    <mergeCell ref="G7:J7"/>
    <mergeCell ref="G8:J8"/>
    <mergeCell ref="A10:J10"/>
    <mergeCell ref="A11:J11"/>
    <mergeCell ref="B12:E12"/>
    <mergeCell ref="A1:J1"/>
    <mergeCell ref="A2:J2"/>
    <mergeCell ref="A4:J4"/>
    <mergeCell ref="G5:J5"/>
    <mergeCell ref="G6:J6"/>
    <mergeCell ref="A47:J47"/>
    <mergeCell ref="A48:J48"/>
    <mergeCell ref="A49:J49"/>
    <mergeCell ref="A50:J50"/>
  </mergeCells>
  <conditionalFormatting sqref="F6:F8">
    <cfRule type="colorScale" priority="1">
      <colorScale>
        <cfvo type="num" val="0.3"/>
        <cfvo type="num" val="0.8"/>
        <cfvo type="num" val="1"/>
        <color rgb="FFF8696B"/>
        <color rgb="FFFFEB84"/>
        <color rgb="FF63BE7B"/>
      </colorScale>
    </cfRule>
  </conditionalFormatting>
  <conditionalFormatting sqref="F13:F15">
    <cfRule type="dataBar" priority="2">
      <dataBar>
        <cfvo type="min"/>
        <cfvo type="max"/>
        <color rgb="FF638EC6"/>
      </dataBar>
    </cfRule>
  </conditionalFormatting>
  <conditionalFormatting sqref="F19">
    <cfRule type="dataBar" priority="3">
      <dataBar>
        <cfvo type="min"/>
        <cfvo type="max"/>
        <color rgb="FF638EC6"/>
      </dataBar>
    </cfRule>
  </conditionalFormatting>
  <conditionalFormatting sqref="F23:F27">
    <cfRule type="dataBar" priority="4">
      <dataBar>
        <cfvo type="min"/>
        <cfvo type="max"/>
        <color rgb="FF638EC6"/>
      </dataBar>
    </cfRule>
  </conditionalFormatting>
  <pageMargins left="0.5" right="0.5" top="0.6" bottom="0.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8"/>
  <sheetViews>
    <sheetView tabSelected="1" workbookViewId="0">
      <selection activeCell="A23" sqref="A23:J23"/>
    </sheetView>
  </sheetViews>
  <sheetFormatPr defaultRowHeight="14.4" x14ac:dyDescent="0.3"/>
  <cols>
    <col min="1" max="1" width="17" customWidth="1"/>
    <col min="2" max="2" width="15" customWidth="1"/>
    <col min="3" max="3" width="10" customWidth="1"/>
    <col min="4" max="4" width="4.109375" customWidth="1"/>
    <col min="5" max="5" width="5.21875" customWidth="1"/>
    <col min="6" max="8" width="10" customWidth="1"/>
    <col min="9" max="9" width="9" customWidth="1"/>
    <col min="10" max="10" width="23.33203125" customWidth="1"/>
  </cols>
  <sheetData>
    <row r="1" spans="1:10" ht="22.05" customHeight="1" x14ac:dyDescent="0.4">
      <c r="A1" s="12" t="s">
        <v>363</v>
      </c>
      <c r="B1" s="11"/>
      <c r="C1" s="11"/>
      <c r="D1" s="11"/>
      <c r="E1" s="11"/>
      <c r="F1" s="11"/>
      <c r="G1" s="11"/>
      <c r="H1" s="11"/>
      <c r="I1" s="11"/>
      <c r="J1" s="11"/>
    </row>
    <row r="2" spans="1:10" ht="43.95" customHeight="1" x14ac:dyDescent="0.3">
      <c r="A2" s="10" t="s">
        <v>364</v>
      </c>
      <c r="B2" s="11"/>
      <c r="C2" s="11"/>
      <c r="D2" s="11"/>
      <c r="E2" s="11"/>
      <c r="F2" s="11"/>
      <c r="G2" s="11"/>
      <c r="H2" s="11"/>
      <c r="I2" s="11"/>
      <c r="J2" s="11"/>
    </row>
    <row r="3" spans="1:10" ht="15" thickBot="1" x14ac:dyDescent="0.35"/>
    <row r="4" spans="1:10" ht="18" customHeight="1" x14ac:dyDescent="0.3">
      <c r="A4" s="30" t="s">
        <v>326</v>
      </c>
      <c r="B4" s="31"/>
      <c r="C4" s="31"/>
      <c r="D4" s="31"/>
      <c r="E4" s="31"/>
      <c r="F4" s="31"/>
      <c r="G4" s="31"/>
      <c r="H4" s="31"/>
      <c r="I4" s="31"/>
      <c r="J4" s="32"/>
    </row>
    <row r="5" spans="1:10" ht="28.8" customHeight="1" x14ac:dyDescent="0.3">
      <c r="A5" s="33" t="s">
        <v>327</v>
      </c>
      <c r="B5" s="18" t="s">
        <v>159</v>
      </c>
      <c r="C5" s="18" t="s">
        <v>36</v>
      </c>
      <c r="D5" s="18" t="s">
        <v>37</v>
      </c>
      <c r="E5" s="18" t="s">
        <v>38</v>
      </c>
      <c r="F5" s="18" t="s">
        <v>154</v>
      </c>
      <c r="G5" s="28" t="s">
        <v>328</v>
      </c>
      <c r="H5" s="29"/>
      <c r="I5" s="29"/>
      <c r="J5" s="34"/>
    </row>
    <row r="6" spans="1:10" x14ac:dyDescent="0.3">
      <c r="A6" s="35" t="s">
        <v>329</v>
      </c>
      <c r="B6" s="16" t="s">
        <v>16</v>
      </c>
      <c r="C6" s="17">
        <v>161</v>
      </c>
      <c r="D6" s="17">
        <v>155</v>
      </c>
      <c r="E6" s="17">
        <v>6</v>
      </c>
      <c r="F6" s="20">
        <v>0.9627</v>
      </c>
      <c r="G6" s="5" t="s">
        <v>365</v>
      </c>
      <c r="H6" s="36"/>
      <c r="I6" s="36"/>
      <c r="J6" s="37"/>
    </row>
    <row r="7" spans="1:10" x14ac:dyDescent="0.3">
      <c r="A7" s="35" t="s">
        <v>329</v>
      </c>
      <c r="B7" s="16" t="s">
        <v>17</v>
      </c>
      <c r="C7" s="17">
        <v>79</v>
      </c>
      <c r="D7" s="17">
        <v>77</v>
      </c>
      <c r="E7" s="17">
        <v>2</v>
      </c>
      <c r="F7" s="20">
        <v>0.97470000000000001</v>
      </c>
      <c r="G7" s="5" t="s">
        <v>366</v>
      </c>
      <c r="H7" s="36"/>
      <c r="I7" s="36"/>
      <c r="J7" s="37"/>
    </row>
    <row r="8" spans="1:10" x14ac:dyDescent="0.3">
      <c r="A8" s="35" t="s">
        <v>347</v>
      </c>
      <c r="B8" s="16" t="s">
        <v>30</v>
      </c>
      <c r="C8" s="17">
        <v>113</v>
      </c>
      <c r="D8" s="17">
        <v>100</v>
      </c>
      <c r="E8" s="17">
        <v>13</v>
      </c>
      <c r="F8" s="20">
        <v>0.88500000000000001</v>
      </c>
      <c r="G8" s="5" t="s">
        <v>367</v>
      </c>
      <c r="H8" s="36"/>
      <c r="I8" s="36"/>
      <c r="J8" s="37"/>
    </row>
    <row r="9" spans="1:10" x14ac:dyDescent="0.3">
      <c r="A9" s="35" t="s">
        <v>368</v>
      </c>
      <c r="B9" s="16" t="s">
        <v>16</v>
      </c>
      <c r="C9" s="17">
        <v>1</v>
      </c>
      <c r="D9" s="17">
        <v>1</v>
      </c>
      <c r="E9" s="17">
        <v>0</v>
      </c>
      <c r="F9" s="20">
        <v>1</v>
      </c>
      <c r="G9" s="5" t="s">
        <v>25</v>
      </c>
      <c r="H9" s="36"/>
      <c r="I9" s="36"/>
      <c r="J9" s="37"/>
    </row>
    <row r="10" spans="1:10" ht="15" thickBot="1" x14ac:dyDescent="0.35">
      <c r="A10" s="38" t="s">
        <v>369</v>
      </c>
      <c r="B10" s="39" t="s">
        <v>167</v>
      </c>
      <c r="C10" s="40">
        <v>19</v>
      </c>
      <c r="D10" s="40">
        <v>6</v>
      </c>
      <c r="E10" s="40">
        <v>13</v>
      </c>
      <c r="F10" s="41">
        <v>0.31580000000000003</v>
      </c>
      <c r="G10" s="42" t="s">
        <v>370</v>
      </c>
      <c r="H10" s="43"/>
      <c r="I10" s="43"/>
      <c r="J10" s="44"/>
    </row>
    <row r="12" spans="1:10" ht="18" customHeight="1" x14ac:dyDescent="0.3">
      <c r="A12" s="9" t="s">
        <v>332</v>
      </c>
      <c r="B12" s="11"/>
      <c r="C12" s="11"/>
      <c r="D12" s="11"/>
      <c r="E12" s="11"/>
      <c r="F12" s="11"/>
      <c r="G12" s="11"/>
      <c r="H12" s="11"/>
      <c r="I12" s="11"/>
      <c r="J12" s="11"/>
    </row>
    <row r="13" spans="1:10" ht="16.05" customHeight="1" x14ac:dyDescent="0.3">
      <c r="A13" s="8" t="s">
        <v>371</v>
      </c>
      <c r="B13" s="11"/>
      <c r="C13" s="11"/>
      <c r="D13" s="11"/>
      <c r="E13" s="11"/>
      <c r="F13" s="11"/>
      <c r="G13" s="11"/>
      <c r="H13" s="11"/>
      <c r="I13" s="11"/>
      <c r="J13" s="11"/>
    </row>
    <row r="14" spans="1:10" x14ac:dyDescent="0.3">
      <c r="A14" s="18" t="s">
        <v>7</v>
      </c>
      <c r="B14" s="6" t="s">
        <v>334</v>
      </c>
      <c r="C14" s="11"/>
      <c r="D14" s="11"/>
      <c r="E14" s="11"/>
      <c r="F14" s="18" t="s">
        <v>90</v>
      </c>
      <c r="G14" s="18" t="s">
        <v>335</v>
      </c>
    </row>
    <row r="15" spans="1:10" x14ac:dyDescent="0.3">
      <c r="A15" s="17">
        <v>1</v>
      </c>
      <c r="B15" s="4" t="s">
        <v>336</v>
      </c>
      <c r="C15" s="11"/>
      <c r="D15" s="11"/>
      <c r="E15" s="11"/>
      <c r="F15" s="17">
        <v>3</v>
      </c>
      <c r="G15" s="20">
        <v>0.5</v>
      </c>
    </row>
    <row r="16" spans="1:10" x14ac:dyDescent="0.3">
      <c r="A16" s="17">
        <v>2</v>
      </c>
      <c r="B16" s="4" t="s">
        <v>350</v>
      </c>
      <c r="C16" s="11"/>
      <c r="D16" s="11"/>
      <c r="E16" s="11"/>
      <c r="F16" s="17">
        <v>2</v>
      </c>
      <c r="G16" s="20">
        <v>0.33329999999999999</v>
      </c>
    </row>
    <row r="17" spans="1:10" x14ac:dyDescent="0.3">
      <c r="A17" s="17">
        <v>3</v>
      </c>
      <c r="B17" s="4" t="s">
        <v>338</v>
      </c>
      <c r="C17" s="11"/>
      <c r="D17" s="11"/>
      <c r="E17" s="11"/>
      <c r="F17" s="17">
        <v>1</v>
      </c>
      <c r="G17" s="20">
        <v>0.16669999999999999</v>
      </c>
    </row>
    <row r="19" spans="1:10" ht="16.05" customHeight="1" x14ac:dyDescent="0.3">
      <c r="A19" s="8" t="s">
        <v>372</v>
      </c>
      <c r="B19" s="11"/>
      <c r="C19" s="11"/>
      <c r="D19" s="11"/>
      <c r="E19" s="11"/>
      <c r="F19" s="11"/>
      <c r="G19" s="11"/>
      <c r="H19" s="11"/>
      <c r="I19" s="11"/>
      <c r="J19" s="11"/>
    </row>
    <row r="20" spans="1:10" x14ac:dyDescent="0.3">
      <c r="A20" s="18" t="s">
        <v>7</v>
      </c>
      <c r="B20" s="6" t="s">
        <v>334</v>
      </c>
      <c r="C20" s="11"/>
      <c r="D20" s="11"/>
      <c r="E20" s="11"/>
      <c r="F20" s="18" t="s">
        <v>90</v>
      </c>
      <c r="G20" s="18" t="s">
        <v>335</v>
      </c>
    </row>
    <row r="21" spans="1:10" x14ac:dyDescent="0.3">
      <c r="A21" s="17">
        <v>1</v>
      </c>
      <c r="B21" s="4" t="s">
        <v>350</v>
      </c>
      <c r="C21" s="11"/>
      <c r="D21" s="11"/>
      <c r="E21" s="11"/>
      <c r="F21" s="17">
        <v>2</v>
      </c>
      <c r="G21" s="20">
        <v>1</v>
      </c>
    </row>
    <row r="23" spans="1:10" ht="16.05" customHeight="1" x14ac:dyDescent="0.3">
      <c r="A23" s="8" t="s">
        <v>373</v>
      </c>
      <c r="B23" s="11"/>
      <c r="C23" s="11"/>
      <c r="D23" s="11"/>
      <c r="E23" s="11"/>
      <c r="F23" s="11"/>
      <c r="G23" s="11"/>
      <c r="H23" s="11"/>
      <c r="I23" s="11"/>
      <c r="J23" s="11"/>
    </row>
    <row r="24" spans="1:10" x14ac:dyDescent="0.3">
      <c r="A24" s="18" t="s">
        <v>7</v>
      </c>
      <c r="B24" s="6" t="s">
        <v>334</v>
      </c>
      <c r="C24" s="11"/>
      <c r="D24" s="11"/>
      <c r="E24" s="11"/>
      <c r="F24" s="18" t="s">
        <v>90</v>
      </c>
      <c r="G24" s="18" t="s">
        <v>335</v>
      </c>
    </row>
    <row r="25" spans="1:10" x14ac:dyDescent="0.3">
      <c r="A25" s="17">
        <v>1</v>
      </c>
      <c r="B25" s="4" t="s">
        <v>351</v>
      </c>
      <c r="C25" s="11"/>
      <c r="D25" s="11"/>
      <c r="E25" s="11"/>
      <c r="F25" s="17">
        <v>6</v>
      </c>
      <c r="G25" s="20">
        <v>0.46150000000000002</v>
      </c>
    </row>
    <row r="26" spans="1:10" x14ac:dyDescent="0.3">
      <c r="A26" s="17">
        <v>2</v>
      </c>
      <c r="B26" s="4" t="s">
        <v>337</v>
      </c>
      <c r="C26" s="11"/>
      <c r="D26" s="11"/>
      <c r="E26" s="11"/>
      <c r="F26" s="17">
        <v>3</v>
      </c>
      <c r="G26" s="20">
        <v>0.23080000000000001</v>
      </c>
    </row>
    <row r="27" spans="1:10" x14ac:dyDescent="0.3">
      <c r="A27" s="17">
        <v>3</v>
      </c>
      <c r="B27" s="4" t="s">
        <v>361</v>
      </c>
      <c r="C27" s="11"/>
      <c r="D27" s="11"/>
      <c r="E27" s="11"/>
      <c r="F27" s="17">
        <v>3</v>
      </c>
      <c r="G27" s="20">
        <v>0.23080000000000001</v>
      </c>
    </row>
    <row r="28" spans="1:10" x14ac:dyDescent="0.3">
      <c r="A28" s="17">
        <v>4</v>
      </c>
      <c r="B28" s="4" t="s">
        <v>362</v>
      </c>
      <c r="C28" s="11"/>
      <c r="D28" s="11"/>
      <c r="E28" s="11"/>
      <c r="F28" s="17">
        <v>1</v>
      </c>
      <c r="G28" s="20">
        <v>7.6899999999999996E-2</v>
      </c>
    </row>
    <row r="30" spans="1:10" ht="16.05" customHeight="1" x14ac:dyDescent="0.3">
      <c r="A30" s="8" t="s">
        <v>374</v>
      </c>
      <c r="B30" s="11"/>
      <c r="C30" s="11"/>
      <c r="D30" s="11"/>
      <c r="E30" s="11"/>
      <c r="F30" s="11"/>
      <c r="G30" s="11"/>
      <c r="H30" s="11"/>
      <c r="I30" s="11"/>
      <c r="J30" s="11"/>
    </row>
    <row r="31" spans="1:10" ht="16.05" customHeight="1" x14ac:dyDescent="0.3">
      <c r="A31" s="8" t="s">
        <v>375</v>
      </c>
      <c r="B31" s="11"/>
      <c r="C31" s="11"/>
      <c r="D31" s="11"/>
      <c r="E31" s="11"/>
      <c r="F31" s="11"/>
      <c r="G31" s="11"/>
      <c r="H31" s="11"/>
      <c r="I31" s="11"/>
      <c r="J31" s="11"/>
    </row>
    <row r="32" spans="1:10" x14ac:dyDescent="0.3">
      <c r="A32" s="18" t="s">
        <v>7</v>
      </c>
      <c r="B32" s="6" t="s">
        <v>334</v>
      </c>
      <c r="C32" s="11"/>
      <c r="D32" s="11"/>
      <c r="E32" s="11"/>
      <c r="F32" s="18" t="s">
        <v>90</v>
      </c>
      <c r="G32" s="18" t="s">
        <v>335</v>
      </c>
    </row>
    <row r="33" spans="1:10" x14ac:dyDescent="0.3">
      <c r="A33" s="17">
        <v>1</v>
      </c>
      <c r="B33" s="4" t="s">
        <v>376</v>
      </c>
      <c r="C33" s="11"/>
      <c r="D33" s="11"/>
      <c r="E33" s="11"/>
      <c r="F33" s="17">
        <v>11</v>
      </c>
      <c r="G33" s="20">
        <v>0.84619999999999995</v>
      </c>
    </row>
    <row r="34" spans="1:10" x14ac:dyDescent="0.3">
      <c r="A34" s="17">
        <v>2</v>
      </c>
      <c r="B34" s="4" t="s">
        <v>377</v>
      </c>
      <c r="C34" s="11"/>
      <c r="D34" s="11"/>
      <c r="E34" s="11"/>
      <c r="F34" s="17">
        <v>2</v>
      </c>
      <c r="G34" s="20">
        <v>0.15379999999999999</v>
      </c>
    </row>
    <row r="36" spans="1:10" ht="18" customHeight="1" x14ac:dyDescent="0.3">
      <c r="A36" s="9" t="s">
        <v>340</v>
      </c>
      <c r="B36" s="11"/>
      <c r="C36" s="11"/>
      <c r="D36" s="11"/>
      <c r="E36" s="11"/>
      <c r="F36" s="11"/>
      <c r="G36" s="11"/>
      <c r="H36" s="11"/>
      <c r="I36" s="11"/>
      <c r="J36" s="11"/>
    </row>
    <row r="37" spans="1:10" ht="28.8" x14ac:dyDescent="0.3">
      <c r="A37" s="18" t="s">
        <v>34</v>
      </c>
      <c r="B37" s="18" t="s">
        <v>8</v>
      </c>
      <c r="C37" s="18" t="s">
        <v>341</v>
      </c>
      <c r="D37" s="18" t="s">
        <v>159</v>
      </c>
      <c r="E37" s="18" t="s">
        <v>35</v>
      </c>
      <c r="F37" s="18" t="s">
        <v>36</v>
      </c>
      <c r="G37" s="18" t="s">
        <v>37</v>
      </c>
      <c r="H37" s="18" t="s">
        <v>38</v>
      </c>
      <c r="I37" s="18" t="s">
        <v>342</v>
      </c>
      <c r="J37" s="18" t="s">
        <v>188</v>
      </c>
    </row>
    <row r="38" spans="1:10" ht="13.5" customHeight="1" x14ac:dyDescent="0.3">
      <c r="A38" s="16" t="s">
        <v>209</v>
      </c>
      <c r="B38" s="16" t="s">
        <v>11</v>
      </c>
      <c r="C38" s="16" t="s">
        <v>156</v>
      </c>
      <c r="D38" s="16" t="s">
        <v>17</v>
      </c>
      <c r="E38" s="16" t="s">
        <v>206</v>
      </c>
      <c r="F38" s="17">
        <v>10</v>
      </c>
      <c r="G38" s="17">
        <v>9</v>
      </c>
      <c r="H38" s="17">
        <v>1</v>
      </c>
      <c r="I38" s="20">
        <v>0.9</v>
      </c>
      <c r="J38" s="21" t="s">
        <v>210</v>
      </c>
    </row>
    <row r="39" spans="1:10" ht="13.5" customHeight="1" x14ac:dyDescent="0.3">
      <c r="A39" s="16" t="s">
        <v>209</v>
      </c>
      <c r="B39" s="16" t="s">
        <v>11</v>
      </c>
      <c r="C39" s="16" t="s">
        <v>156</v>
      </c>
      <c r="D39" s="16" t="s">
        <v>16</v>
      </c>
      <c r="E39" s="16" t="s">
        <v>208</v>
      </c>
      <c r="F39" s="17">
        <v>12</v>
      </c>
      <c r="G39" s="17">
        <v>11</v>
      </c>
      <c r="H39" s="17">
        <v>1</v>
      </c>
      <c r="I39" s="20">
        <v>0.91669999999999996</v>
      </c>
      <c r="J39" s="21" t="s">
        <v>50</v>
      </c>
    </row>
    <row r="40" spans="1:10" ht="13.5" customHeight="1" x14ac:dyDescent="0.3">
      <c r="A40" s="16" t="s">
        <v>211</v>
      </c>
      <c r="B40" s="16" t="s">
        <v>11</v>
      </c>
      <c r="C40" s="16" t="s">
        <v>156</v>
      </c>
      <c r="D40" s="16" t="s">
        <v>17</v>
      </c>
      <c r="E40" s="16" t="s">
        <v>212</v>
      </c>
      <c r="F40" s="17">
        <v>14</v>
      </c>
      <c r="G40" s="17">
        <v>14</v>
      </c>
      <c r="H40" s="17">
        <v>0</v>
      </c>
      <c r="I40" s="20">
        <v>1</v>
      </c>
      <c r="J40" s="21" t="s">
        <v>189</v>
      </c>
    </row>
    <row r="41" spans="1:10" ht="27" customHeight="1" x14ac:dyDescent="0.3">
      <c r="A41" s="16" t="s">
        <v>211</v>
      </c>
      <c r="B41" s="16" t="s">
        <v>88</v>
      </c>
      <c r="C41" s="16" t="s">
        <v>156</v>
      </c>
      <c r="D41" s="16" t="s">
        <v>30</v>
      </c>
      <c r="E41" s="16" t="s">
        <v>29</v>
      </c>
      <c r="F41" s="17">
        <v>34</v>
      </c>
      <c r="G41" s="17">
        <v>29</v>
      </c>
      <c r="H41" s="17">
        <v>5</v>
      </c>
      <c r="I41" s="20">
        <v>0.85289999999999999</v>
      </c>
      <c r="J41" s="21" t="s">
        <v>213</v>
      </c>
    </row>
    <row r="42" spans="1:10" ht="13.5" customHeight="1" x14ac:dyDescent="0.3">
      <c r="A42" s="16" t="s">
        <v>211</v>
      </c>
      <c r="B42" s="16" t="s">
        <v>11</v>
      </c>
      <c r="C42" s="16" t="s">
        <v>156</v>
      </c>
      <c r="D42" s="16" t="s">
        <v>16</v>
      </c>
      <c r="E42" s="16" t="s">
        <v>214</v>
      </c>
      <c r="F42" s="17">
        <v>38</v>
      </c>
      <c r="G42" s="17">
        <v>36</v>
      </c>
      <c r="H42" s="17">
        <v>2</v>
      </c>
      <c r="I42" s="20">
        <v>0.94740000000000002</v>
      </c>
      <c r="J42" s="21" t="s">
        <v>215</v>
      </c>
    </row>
    <row r="43" spans="1:10" ht="27" customHeight="1" x14ac:dyDescent="0.3">
      <c r="A43" s="16" t="s">
        <v>216</v>
      </c>
      <c r="B43" s="16" t="s">
        <v>88</v>
      </c>
      <c r="C43" s="16" t="s">
        <v>156</v>
      </c>
      <c r="D43" s="16" t="s">
        <v>30</v>
      </c>
      <c r="E43" s="16" t="s">
        <v>29</v>
      </c>
      <c r="F43" s="17">
        <v>24</v>
      </c>
      <c r="G43" s="17">
        <v>20</v>
      </c>
      <c r="H43" s="17">
        <v>4</v>
      </c>
      <c r="I43" s="20">
        <v>0.83330000000000004</v>
      </c>
      <c r="J43" s="21" t="s">
        <v>217</v>
      </c>
    </row>
    <row r="44" spans="1:10" ht="13.5" customHeight="1" x14ac:dyDescent="0.3">
      <c r="A44" s="16" t="s">
        <v>218</v>
      </c>
      <c r="B44" s="16" t="s">
        <v>11</v>
      </c>
      <c r="C44" s="16" t="s">
        <v>156</v>
      </c>
      <c r="D44" s="16" t="s">
        <v>17</v>
      </c>
      <c r="E44" s="16" t="s">
        <v>212</v>
      </c>
      <c r="F44" s="17">
        <v>30</v>
      </c>
      <c r="G44" s="17">
        <v>29</v>
      </c>
      <c r="H44" s="17">
        <v>1</v>
      </c>
      <c r="I44" s="20">
        <v>0.9667</v>
      </c>
      <c r="J44" s="21" t="s">
        <v>219</v>
      </c>
    </row>
    <row r="45" spans="1:10" ht="40.049999999999997" customHeight="1" x14ac:dyDescent="0.3">
      <c r="A45" s="16" t="s">
        <v>218</v>
      </c>
      <c r="B45" s="16" t="s">
        <v>11</v>
      </c>
      <c r="C45" s="16" t="s">
        <v>156</v>
      </c>
      <c r="D45" s="16" t="s">
        <v>16</v>
      </c>
      <c r="E45" s="16" t="s">
        <v>214</v>
      </c>
      <c r="F45" s="17">
        <v>65</v>
      </c>
      <c r="G45" s="17">
        <v>63</v>
      </c>
      <c r="H45" s="17">
        <v>2</v>
      </c>
      <c r="I45" s="20">
        <v>0.96919999999999995</v>
      </c>
      <c r="J45" s="21" t="s">
        <v>220</v>
      </c>
    </row>
    <row r="46" spans="1:10" ht="13.5" customHeight="1" x14ac:dyDescent="0.3">
      <c r="A46" s="16" t="s">
        <v>221</v>
      </c>
      <c r="B46" s="16" t="s">
        <v>11</v>
      </c>
      <c r="C46" s="16" t="s">
        <v>156</v>
      </c>
      <c r="D46" s="16" t="s">
        <v>17</v>
      </c>
      <c r="E46" s="16" t="s">
        <v>222</v>
      </c>
      <c r="F46" s="17">
        <v>25</v>
      </c>
      <c r="G46" s="17">
        <v>25</v>
      </c>
      <c r="H46" s="17">
        <v>0</v>
      </c>
      <c r="I46" s="20">
        <v>1</v>
      </c>
      <c r="J46" s="21" t="s">
        <v>189</v>
      </c>
    </row>
    <row r="47" spans="1:10" ht="27" customHeight="1" x14ac:dyDescent="0.3">
      <c r="A47" s="16" t="s">
        <v>221</v>
      </c>
      <c r="B47" s="16" t="s">
        <v>88</v>
      </c>
      <c r="C47" s="16" t="s">
        <v>156</v>
      </c>
      <c r="D47" s="16" t="s">
        <v>30</v>
      </c>
      <c r="E47" s="16" t="s">
        <v>29</v>
      </c>
      <c r="F47" s="17">
        <v>45</v>
      </c>
      <c r="G47" s="17">
        <v>42</v>
      </c>
      <c r="H47" s="17">
        <v>3</v>
      </c>
      <c r="I47" s="20">
        <v>0.93330000000000002</v>
      </c>
      <c r="J47" s="21" t="s">
        <v>223</v>
      </c>
    </row>
    <row r="48" spans="1:10" ht="13.5" customHeight="1" x14ac:dyDescent="0.3">
      <c r="A48" s="16" t="s">
        <v>221</v>
      </c>
      <c r="B48" s="16" t="s">
        <v>11</v>
      </c>
      <c r="C48" s="16" t="s">
        <v>156</v>
      </c>
      <c r="D48" s="16" t="s">
        <v>16</v>
      </c>
      <c r="E48" s="16" t="s">
        <v>224</v>
      </c>
      <c r="F48" s="17">
        <v>46</v>
      </c>
      <c r="G48" s="17">
        <v>45</v>
      </c>
      <c r="H48" s="17">
        <v>1</v>
      </c>
      <c r="I48" s="20">
        <v>0.97829999999999995</v>
      </c>
      <c r="J48" s="21" t="s">
        <v>225</v>
      </c>
    </row>
    <row r="49" spans="1:10" ht="40.049999999999997" customHeight="1" x14ac:dyDescent="0.3">
      <c r="A49" s="16" t="s">
        <v>226</v>
      </c>
      <c r="B49" s="16" t="s">
        <v>169</v>
      </c>
      <c r="C49" s="16" t="s">
        <v>157</v>
      </c>
      <c r="D49" s="16" t="s">
        <v>167</v>
      </c>
      <c r="E49" s="16" t="s">
        <v>230</v>
      </c>
      <c r="F49" s="17">
        <v>19</v>
      </c>
      <c r="G49" s="17">
        <v>6</v>
      </c>
      <c r="H49" s="17">
        <v>13</v>
      </c>
      <c r="I49" s="20">
        <v>0.31580000000000003</v>
      </c>
      <c r="J49" s="21" t="s">
        <v>231</v>
      </c>
    </row>
    <row r="50" spans="1:10" ht="13.5" customHeight="1" x14ac:dyDescent="0.3">
      <c r="A50" s="16" t="s">
        <v>226</v>
      </c>
      <c r="B50" s="16" t="s">
        <v>169</v>
      </c>
      <c r="C50" s="16" t="s">
        <v>156</v>
      </c>
      <c r="D50" s="16" t="s">
        <v>16</v>
      </c>
      <c r="E50" s="16" t="s">
        <v>230</v>
      </c>
      <c r="F50" s="17">
        <v>1</v>
      </c>
      <c r="G50" s="17">
        <v>1</v>
      </c>
      <c r="H50" s="17">
        <v>0</v>
      </c>
      <c r="I50" s="20">
        <v>1</v>
      </c>
      <c r="J50" s="21" t="s">
        <v>189</v>
      </c>
    </row>
    <row r="51" spans="1:10" ht="27" customHeight="1" x14ac:dyDescent="0.3">
      <c r="A51" s="16" t="s">
        <v>232</v>
      </c>
      <c r="B51" s="16" t="s">
        <v>88</v>
      </c>
      <c r="C51" s="16" t="s">
        <v>156</v>
      </c>
      <c r="D51" s="16" t="s">
        <v>30</v>
      </c>
      <c r="E51" s="16" t="s">
        <v>29</v>
      </c>
      <c r="F51" s="17">
        <v>10</v>
      </c>
      <c r="G51" s="17">
        <v>9</v>
      </c>
      <c r="H51" s="17">
        <v>1</v>
      </c>
      <c r="I51" s="20">
        <v>0.9</v>
      </c>
      <c r="J51" s="21" t="s">
        <v>233</v>
      </c>
    </row>
    <row r="53" ht="16.5" customHeight="1">
      <c r="A53" s="45" t="inlineStr">
        <is>
          <t>Key Takeaways</t>
        </is>
      </c>
      <c r="B53" s="45"/>
      <c r="C53" s="45"/>
      <c r="D53" s="45"/>
      <c r="E53" s="45"/>
      <c r="F53" s="45"/>
      <c r="G53" s="45"/>
      <c r="H53" s="45"/>
      <c r="I53" s="45"/>
      <c r="J53" s="45"/>
    </row>
    <row r="54" ht="27.0" customHeight="1">
      <c r="A54" s="46" t="inlineStr">
        <is>
          <t xml:space="preserve">➢ 666541 (Pelvic @ Martins): 96.3% FPY on 161 — recovered after June; scattered membrane/urethra singles (one 7/20 reject undocumented).</t>
        </is>
      </c>
      <c r="B54" s="46"/>
      <c r="C54" s="46"/>
      <c r="D54" s="46"/>
      <c r="E54" s="46"/>
      <c r="F54" s="46"/>
      <c r="G54" s="46"/>
      <c r="H54" s="46"/>
      <c r="I54" s="46"/>
      <c r="J54" s="46"/>
    </row>
    <row r="55" ht="15.0" customHeight="1">
      <c r="A55" s="46" t="inlineStr">
        <is>
          <t xml:space="preserve">➢ 666506 (Pelvic @ Martins): 97.5% FPY on 79 — two membrane fails; no concerns.</t>
        </is>
      </c>
      <c r="B55" s="46"/>
      <c r="C55" s="46"/>
      <c r="D55" s="46"/>
      <c r="E55" s="46"/>
      <c r="F55" s="46"/>
      <c r="G55" s="46"/>
      <c r="H55" s="46"/>
      <c r="I55" s="46"/>
      <c r="J55" s="46"/>
    </row>
    <row r="56" ht="27.0" customHeight="1">
      <c r="A56" s="46" t="inlineStr">
        <is>
          <t xml:space="preserve">➢ 666518 (Pelvic @ Parks): 88.5% FPY on 113 — improving: urethra/bladder cuts eliminated after the June push; short blocks (6, small-pig days) now the top issue.</t>
        </is>
      </c>
      <c r="B56" s="46"/>
      <c r="C56" s="46"/>
      <c r="D56" s="46"/>
      <c r="E56" s="46"/>
      <c r="F56" s="46"/>
      <c r="G56" s="46"/>
      <c r="H56" s="46"/>
      <c r="I56" s="46"/>
      <c r="J56" s="46"/>
    </row>
    <row r="57" ht="27.0" customHeight="1">
      <c r="A57" s="46" t="inlineStr">
        <is>
          <t xml:space="preserve">➢ 666521 (Thoracic @ Nahunta): first thoracic visit (7/29) at 31.6% FPY — 11 right-lung lacerations + 2 heart; damage attributed to the harvesting side.</t>
        </is>
      </c>
      <c r="B57" s="46"/>
      <c r="C57" s="46"/>
      <c r="D57" s="46"/>
      <c r="E57" s="46"/>
      <c r="F57" s="46"/>
      <c r="G57" s="46"/>
      <c r="H57" s="46"/>
      <c r="I57" s="46"/>
      <c r="J57" s="46"/>
    </row>
    <row r="58" ht="15.0" customHeight="1">
      <c r="A58" s="47" t="inlineStr">
        <is>
          <t xml:space="preserve">➢ 666541 (Pelvic @ Nahunta): single trial block passed (1/1).</t>
        </is>
      </c>
      <c r="B58" s="47"/>
      <c r="C58" s="47"/>
      <c r="D58" s="47"/>
      <c r="E58" s="47"/>
      <c r="F58" s="47"/>
      <c r="G58" s="47"/>
      <c r="H58" s="47"/>
      <c r="I58" s="47"/>
      <c r="J58" s="47"/>
    </row>
  </sheetData>
  <mergeCells count="36">
    <mergeCell ref="A31:J31"/>
    <mergeCell ref="B32:E32"/>
    <mergeCell ref="B33:E33"/>
    <mergeCell ref="B34:E34"/>
    <mergeCell ref="A36:J36"/>
    <mergeCell ref="B25:E25"/>
    <mergeCell ref="B26:E26"/>
    <mergeCell ref="B27:E27"/>
    <mergeCell ref="B28:E28"/>
    <mergeCell ref="A30:J30"/>
    <mergeCell ref="A19:J19"/>
    <mergeCell ref="B20:E20"/>
    <mergeCell ref="B21:E21"/>
    <mergeCell ref="A23:J23"/>
    <mergeCell ref="B24:E24"/>
    <mergeCell ref="A13:J13"/>
    <mergeCell ref="B14:E14"/>
    <mergeCell ref="B15:E15"/>
    <mergeCell ref="B16:E16"/>
    <mergeCell ref="B17:E17"/>
    <mergeCell ref="G7:J7"/>
    <mergeCell ref="G8:J8"/>
    <mergeCell ref="G9:J9"/>
    <mergeCell ref="G10:J10"/>
    <mergeCell ref="A12:J12"/>
    <mergeCell ref="A1:J1"/>
    <mergeCell ref="A2:J2"/>
    <mergeCell ref="A4:J4"/>
    <mergeCell ref="G5:J5"/>
    <mergeCell ref="G6:J6"/>
    <mergeCell ref="A53:J53"/>
    <mergeCell ref="A54:J54"/>
    <mergeCell ref="A55:J55"/>
    <mergeCell ref="A56:J56"/>
    <mergeCell ref="A57:J57"/>
    <mergeCell ref="A58:J58"/>
  </mergeCells>
  <conditionalFormatting sqref="F6:F10">
    <cfRule type="colorScale" priority="1">
      <colorScale>
        <cfvo type="num" val="0.3"/>
        <cfvo type="num" val="0.8"/>
        <cfvo type="num" val="1"/>
        <color rgb="FFF8696B"/>
        <color rgb="FFFFEB84"/>
        <color rgb="FF63BE7B"/>
      </colorScale>
    </cfRule>
  </conditionalFormatting>
  <conditionalFormatting sqref="F15:F17">
    <cfRule type="dataBar" priority="2">
      <dataBar>
        <cfvo type="min"/>
        <cfvo type="max"/>
        <color rgb="FF638EC6"/>
      </dataBar>
    </cfRule>
  </conditionalFormatting>
  <conditionalFormatting sqref="F21">
    <cfRule type="dataBar" priority="3">
      <dataBar>
        <cfvo type="min"/>
        <cfvo type="max"/>
        <color rgb="FF638EC6"/>
      </dataBar>
    </cfRule>
  </conditionalFormatting>
  <conditionalFormatting sqref="F25:F28">
    <cfRule type="dataBar" priority="4">
      <dataBar>
        <cfvo type="min"/>
        <cfvo type="max"/>
        <color rgb="FF638EC6"/>
      </dataBar>
    </cfRule>
  </conditionalFormatting>
  <conditionalFormatting sqref="F33:F34">
    <cfRule type="dataBar" priority="5">
      <dataBar>
        <cfvo type="min"/>
        <cfvo type="max"/>
        <color rgb="FF638EC6"/>
      </dataBar>
    </cfRule>
  </conditionalFormatting>
  <pageMargins left="0.5" right="0.5" top="0.6" bottom="0.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3"/>
  <sheetViews>
    <sheetView topLeftCell="A2" workbookViewId="0">
      <selection sqref="A1:J1"/>
    </sheetView>
  </sheetViews>
  <sheetFormatPr defaultRowHeight="14.4" x14ac:dyDescent="0.3"/>
  <cols>
    <col min="1" max="1" width="17" customWidth="1"/>
    <col min="2" max="2" width="15" customWidth="1"/>
    <col min="3" max="3" width="10" customWidth="1"/>
    <col min="4" max="4" width="9" customWidth="1"/>
    <col min="5" max="5" width="14" customWidth="1"/>
    <col min="6" max="8" width="10" customWidth="1"/>
    <col min="9" max="9" width="9" customWidth="1"/>
    <col min="10" max="10" width="52" customWidth="1"/>
  </cols>
  <sheetData>
    <row r="1" spans="1:10" ht="22.05" customHeight="1" x14ac:dyDescent="0.4">
      <c r="A1" s="12" t="s">
        <v>378</v>
      </c>
      <c r="B1" s="11"/>
      <c r="C1" s="11"/>
      <c r="D1" s="11"/>
      <c r="E1" s="11"/>
      <c r="F1" s="11"/>
      <c r="G1" s="11"/>
      <c r="H1" s="11"/>
      <c r="I1" s="11"/>
      <c r="J1" s="11"/>
    </row>
    <row r="2" spans="1:10" ht="43.95" customHeight="1" x14ac:dyDescent="0.3">
      <c r="A2" s="10" t="s">
        <v>379</v>
      </c>
      <c r="B2" s="11"/>
      <c r="C2" s="11"/>
      <c r="D2" s="11"/>
      <c r="E2" s="11"/>
      <c r="F2" s="11"/>
      <c r="G2" s="11"/>
      <c r="H2" s="11"/>
      <c r="I2" s="11"/>
      <c r="J2" s="11"/>
    </row>
    <row r="4" spans="1:10" ht="18" customHeight="1" x14ac:dyDescent="0.3">
      <c r="A4" s="9" t="s">
        <v>326</v>
      </c>
      <c r="B4" s="11"/>
      <c r="C4" s="11"/>
      <c r="D4" s="11"/>
      <c r="E4" s="11"/>
      <c r="F4" s="11"/>
      <c r="G4" s="11"/>
      <c r="H4" s="11"/>
      <c r="I4" s="11"/>
      <c r="J4" s="11"/>
    </row>
    <row r="5" spans="1:10" ht="28.8" x14ac:dyDescent="0.3">
      <c r="A5" s="18" t="s">
        <v>327</v>
      </c>
      <c r="B5" s="18" t="s">
        <v>159</v>
      </c>
      <c r="C5" s="18" t="s">
        <v>36</v>
      </c>
      <c r="D5" s="18" t="s">
        <v>37</v>
      </c>
      <c r="E5" s="18" t="s">
        <v>38</v>
      </c>
      <c r="F5" s="18" t="s">
        <v>154</v>
      </c>
      <c r="G5" s="6" t="s">
        <v>328</v>
      </c>
      <c r="H5" s="11"/>
      <c r="I5" s="11"/>
      <c r="J5" s="11"/>
    </row>
    <row r="6" spans="1:10" x14ac:dyDescent="0.3">
      <c r="A6" s="16" t="s">
        <v>329</v>
      </c>
      <c r="B6" s="16" t="s">
        <v>16</v>
      </c>
      <c r="C6" s="17">
        <v>137</v>
      </c>
      <c r="D6" s="17">
        <v>132</v>
      </c>
      <c r="E6" s="17">
        <v>5</v>
      </c>
      <c r="F6" s="20">
        <v>0.96350000000000002</v>
      </c>
      <c r="G6" s="5" t="s">
        <v>330</v>
      </c>
      <c r="H6" s="11"/>
      <c r="I6" s="11"/>
      <c r="J6" s="11"/>
    </row>
    <row r="7" spans="1:10" x14ac:dyDescent="0.3">
      <c r="A7" s="16" t="s">
        <v>329</v>
      </c>
      <c r="B7" s="16" t="s">
        <v>17</v>
      </c>
      <c r="C7" s="17">
        <v>13</v>
      </c>
      <c r="D7" s="17">
        <v>13</v>
      </c>
      <c r="E7" s="17">
        <v>0</v>
      </c>
      <c r="F7" s="20">
        <v>1</v>
      </c>
      <c r="G7" s="5" t="s">
        <v>25</v>
      </c>
      <c r="H7" s="11"/>
      <c r="I7" s="11"/>
      <c r="J7" s="11"/>
    </row>
    <row r="8" spans="1:10" x14ac:dyDescent="0.3">
      <c r="A8" s="16" t="s">
        <v>347</v>
      </c>
      <c r="B8" s="16" t="s">
        <v>16</v>
      </c>
      <c r="C8" s="17">
        <v>33</v>
      </c>
      <c r="D8" s="17">
        <v>32</v>
      </c>
      <c r="E8" s="17">
        <v>1</v>
      </c>
      <c r="F8" s="20">
        <v>0.96970000000000001</v>
      </c>
      <c r="G8" s="5" t="s">
        <v>380</v>
      </c>
      <c r="H8" s="11"/>
      <c r="I8" s="11"/>
      <c r="J8" s="11"/>
    </row>
    <row r="9" spans="1:10" x14ac:dyDescent="0.3">
      <c r="A9" s="16" t="s">
        <v>368</v>
      </c>
      <c r="B9" s="16" t="s">
        <v>16</v>
      </c>
      <c r="C9" s="17">
        <v>13</v>
      </c>
      <c r="D9" s="17">
        <v>1</v>
      </c>
      <c r="E9" s="17">
        <v>12</v>
      </c>
      <c r="F9" s="20">
        <v>7.6899999999999996E-2</v>
      </c>
      <c r="G9" s="5" t="s">
        <v>381</v>
      </c>
      <c r="H9" s="11"/>
      <c r="I9" s="11"/>
      <c r="J9" s="11"/>
    </row>
    <row r="10" spans="1:10" x14ac:dyDescent="0.3">
      <c r="A10" s="16" t="s">
        <v>369</v>
      </c>
      <c r="B10" s="16" t="s">
        <v>167</v>
      </c>
      <c r="C10" s="17">
        <v>57</v>
      </c>
      <c r="D10" s="17">
        <v>8</v>
      </c>
      <c r="E10" s="17">
        <v>49</v>
      </c>
      <c r="F10" s="20">
        <v>0.1404</v>
      </c>
      <c r="G10" s="5" t="s">
        <v>382</v>
      </c>
      <c r="H10" s="11"/>
      <c r="I10" s="11"/>
      <c r="J10" s="11"/>
    </row>
    <row r="12" spans="1:10" ht="18" customHeight="1" x14ac:dyDescent="0.3">
      <c r="A12" s="9" t="s">
        <v>332</v>
      </c>
      <c r="B12" s="11"/>
      <c r="C12" s="11"/>
      <c r="D12" s="11"/>
      <c r="E12" s="11"/>
      <c r="F12" s="11"/>
      <c r="G12" s="11"/>
      <c r="H12" s="11"/>
      <c r="I12" s="11"/>
      <c r="J12" s="11"/>
    </row>
    <row r="13" spans="1:10" ht="16.05" customHeight="1" x14ac:dyDescent="0.3">
      <c r="A13" s="8" t="s">
        <v>383</v>
      </c>
      <c r="B13" s="11"/>
      <c r="C13" s="11"/>
      <c r="D13" s="11"/>
      <c r="E13" s="11"/>
      <c r="F13" s="11"/>
      <c r="G13" s="11"/>
      <c r="H13" s="11"/>
      <c r="I13" s="11"/>
      <c r="J13" s="11"/>
    </row>
    <row r="14" spans="1:10" x14ac:dyDescent="0.3">
      <c r="A14" s="18" t="s">
        <v>7</v>
      </c>
      <c r="B14" s="6" t="s">
        <v>334</v>
      </c>
      <c r="C14" s="11"/>
      <c r="D14" s="11"/>
      <c r="E14" s="11"/>
      <c r="F14" s="18" t="s">
        <v>90</v>
      </c>
      <c r="G14" s="18" t="s">
        <v>335</v>
      </c>
    </row>
    <row r="15" spans="1:10" x14ac:dyDescent="0.3">
      <c r="A15" s="17">
        <v>1</v>
      </c>
      <c r="B15" s="4" t="s">
        <v>336</v>
      </c>
      <c r="C15" s="11"/>
      <c r="D15" s="11"/>
      <c r="E15" s="11"/>
      <c r="F15" s="17">
        <v>2</v>
      </c>
      <c r="G15" s="20">
        <v>0.4</v>
      </c>
    </row>
    <row r="16" spans="1:10" x14ac:dyDescent="0.3">
      <c r="A16" s="17">
        <v>2</v>
      </c>
      <c r="B16" s="4" t="s">
        <v>337</v>
      </c>
      <c r="C16" s="11"/>
      <c r="D16" s="11"/>
      <c r="E16" s="11"/>
      <c r="F16" s="17">
        <v>2</v>
      </c>
      <c r="G16" s="20">
        <v>0.4</v>
      </c>
    </row>
    <row r="17" spans="1:10" x14ac:dyDescent="0.3">
      <c r="A17" s="17">
        <v>3</v>
      </c>
      <c r="B17" s="4" t="s">
        <v>350</v>
      </c>
      <c r="C17" s="11"/>
      <c r="D17" s="11"/>
      <c r="E17" s="11"/>
      <c r="F17" s="17">
        <v>1</v>
      </c>
      <c r="G17" s="20">
        <v>0.2</v>
      </c>
    </row>
    <row r="19" spans="1:10" ht="16.05" customHeight="1" x14ac:dyDescent="0.3">
      <c r="A19" s="8" t="s">
        <v>384</v>
      </c>
      <c r="B19" s="11"/>
      <c r="C19" s="11"/>
      <c r="D19" s="11"/>
      <c r="E19" s="11"/>
      <c r="F19" s="11"/>
      <c r="G19" s="11"/>
      <c r="H19" s="11"/>
      <c r="I19" s="11"/>
      <c r="J19" s="11"/>
    </row>
    <row r="20" spans="1:10" ht="16.05" customHeight="1" x14ac:dyDescent="0.3">
      <c r="A20" s="8" t="s">
        <v>385</v>
      </c>
      <c r="B20" s="11"/>
      <c r="C20" s="11"/>
      <c r="D20" s="11"/>
      <c r="E20" s="11"/>
      <c r="F20" s="11"/>
      <c r="G20" s="11"/>
      <c r="H20" s="11"/>
      <c r="I20" s="11"/>
      <c r="J20" s="11"/>
    </row>
    <row r="21" spans="1:10" x14ac:dyDescent="0.3">
      <c r="A21" s="18" t="s">
        <v>7</v>
      </c>
      <c r="B21" s="6" t="s">
        <v>334</v>
      </c>
      <c r="C21" s="11"/>
      <c r="D21" s="11"/>
      <c r="E21" s="11"/>
      <c r="F21" s="18" t="s">
        <v>90</v>
      </c>
      <c r="G21" s="18" t="s">
        <v>335</v>
      </c>
    </row>
    <row r="22" spans="1:10" x14ac:dyDescent="0.3">
      <c r="A22" s="17">
        <v>1</v>
      </c>
      <c r="B22" s="4" t="s">
        <v>337</v>
      </c>
      <c r="C22" s="11"/>
      <c r="D22" s="11"/>
      <c r="E22" s="11"/>
      <c r="F22" s="17">
        <v>1</v>
      </c>
      <c r="G22" s="20">
        <v>1</v>
      </c>
    </row>
    <row r="24" spans="1:10" ht="16.05" customHeight="1" x14ac:dyDescent="0.3">
      <c r="A24" s="8" t="s">
        <v>386</v>
      </c>
      <c r="B24" s="11"/>
      <c r="C24" s="11"/>
      <c r="D24" s="11"/>
      <c r="E24" s="11"/>
      <c r="F24" s="11"/>
      <c r="G24" s="11"/>
      <c r="H24" s="11"/>
      <c r="I24" s="11"/>
      <c r="J24" s="11"/>
    </row>
    <row r="25" spans="1:10" x14ac:dyDescent="0.3">
      <c r="A25" s="18" t="s">
        <v>7</v>
      </c>
      <c r="B25" s="6" t="s">
        <v>334</v>
      </c>
      <c r="C25" s="11"/>
      <c r="D25" s="11"/>
      <c r="E25" s="11"/>
      <c r="F25" s="18" t="s">
        <v>90</v>
      </c>
      <c r="G25" s="18" t="s">
        <v>335</v>
      </c>
    </row>
    <row r="26" spans="1:10" x14ac:dyDescent="0.3">
      <c r="A26" s="17">
        <v>1</v>
      </c>
      <c r="B26" s="4" t="s">
        <v>387</v>
      </c>
      <c r="C26" s="11"/>
      <c r="D26" s="11"/>
      <c r="E26" s="11"/>
      <c r="F26" s="17">
        <v>12</v>
      </c>
      <c r="G26" s="20">
        <v>1</v>
      </c>
    </row>
    <row r="28" spans="1:10" ht="16.05" customHeight="1" x14ac:dyDescent="0.3">
      <c r="A28" s="8" t="s">
        <v>388</v>
      </c>
      <c r="B28" s="11"/>
      <c r="C28" s="11"/>
      <c r="D28" s="11"/>
      <c r="E28" s="11"/>
      <c r="F28" s="11"/>
      <c r="G28" s="11"/>
      <c r="H28" s="11"/>
      <c r="I28" s="11"/>
      <c r="J28" s="11"/>
    </row>
    <row r="29" spans="1:10" x14ac:dyDescent="0.3">
      <c r="A29" s="18" t="s">
        <v>7</v>
      </c>
      <c r="B29" s="6" t="s">
        <v>334</v>
      </c>
      <c r="C29" s="11"/>
      <c r="D29" s="11"/>
      <c r="E29" s="11"/>
      <c r="F29" s="18" t="s">
        <v>90</v>
      </c>
      <c r="G29" s="18" t="s">
        <v>335</v>
      </c>
    </row>
    <row r="30" spans="1:10" x14ac:dyDescent="0.3">
      <c r="A30" s="17">
        <v>1</v>
      </c>
      <c r="B30" s="4" t="s">
        <v>376</v>
      </c>
      <c r="C30" s="11"/>
      <c r="D30" s="11"/>
      <c r="E30" s="11"/>
      <c r="F30" s="17">
        <v>31</v>
      </c>
      <c r="G30" s="20">
        <v>0.63270000000000004</v>
      </c>
    </row>
    <row r="31" spans="1:10" x14ac:dyDescent="0.3">
      <c r="A31" s="17">
        <v>2</v>
      </c>
      <c r="B31" s="4" t="s">
        <v>377</v>
      </c>
      <c r="C31" s="11"/>
      <c r="D31" s="11"/>
      <c r="E31" s="11"/>
      <c r="F31" s="17">
        <v>19</v>
      </c>
      <c r="G31" s="20">
        <v>0.38779999999999998</v>
      </c>
    </row>
    <row r="33" spans="1:10" ht="18" customHeight="1" x14ac:dyDescent="0.3">
      <c r="A33" s="9" t="s">
        <v>340</v>
      </c>
      <c r="B33" s="11"/>
      <c r="C33" s="11"/>
      <c r="D33" s="11"/>
      <c r="E33" s="11"/>
      <c r="F33" s="11"/>
      <c r="G33" s="11"/>
      <c r="H33" s="11"/>
      <c r="I33" s="11"/>
      <c r="J33" s="11"/>
    </row>
    <row r="34" spans="1:10" ht="28.8" x14ac:dyDescent="0.3">
      <c r="A34" s="18" t="s">
        <v>34</v>
      </c>
      <c r="B34" s="18" t="s">
        <v>8</v>
      </c>
      <c r="C34" s="18" t="s">
        <v>341</v>
      </c>
      <c r="D34" s="18" t="s">
        <v>159</v>
      </c>
      <c r="E34" s="18" t="s">
        <v>35</v>
      </c>
      <c r="F34" s="18" t="s">
        <v>36</v>
      </c>
      <c r="G34" s="18" t="s">
        <v>37</v>
      </c>
      <c r="H34" s="18" t="s">
        <v>38</v>
      </c>
      <c r="I34" s="18" t="s">
        <v>342</v>
      </c>
      <c r="J34" s="18" t="s">
        <v>188</v>
      </c>
    </row>
    <row r="35" spans="1:10" ht="13.5" customHeight="1" x14ac:dyDescent="0.3">
      <c r="A35" s="16" t="s">
        <v>234</v>
      </c>
      <c r="B35" s="16" t="s">
        <v>11</v>
      </c>
      <c r="C35" s="16" t="s">
        <v>156</v>
      </c>
      <c r="D35" s="16" t="s">
        <v>16</v>
      </c>
      <c r="E35" s="16" t="s">
        <v>224</v>
      </c>
      <c r="F35" s="17">
        <v>44</v>
      </c>
      <c r="G35" s="17">
        <v>44</v>
      </c>
      <c r="H35" s="17">
        <v>0</v>
      </c>
      <c r="I35" s="20">
        <v>1</v>
      </c>
      <c r="J35" s="21" t="s">
        <v>189</v>
      </c>
    </row>
    <row r="36" spans="1:10" ht="40.049999999999997" customHeight="1" x14ac:dyDescent="0.3">
      <c r="A36" s="16" t="s">
        <v>235</v>
      </c>
      <c r="B36" s="16" t="s">
        <v>169</v>
      </c>
      <c r="C36" s="16" t="s">
        <v>157</v>
      </c>
      <c r="D36" s="16" t="s">
        <v>167</v>
      </c>
      <c r="E36" s="16" t="s">
        <v>230</v>
      </c>
      <c r="F36" s="17">
        <v>15</v>
      </c>
      <c r="G36" s="17">
        <v>0</v>
      </c>
      <c r="H36" s="17">
        <v>15</v>
      </c>
      <c r="I36" s="20">
        <v>0</v>
      </c>
      <c r="J36" s="21" t="s">
        <v>236</v>
      </c>
    </row>
    <row r="37" spans="1:10" ht="13.5" customHeight="1" x14ac:dyDescent="0.3">
      <c r="A37" s="16" t="s">
        <v>235</v>
      </c>
      <c r="B37" s="16" t="s">
        <v>11</v>
      </c>
      <c r="C37" s="16" t="s">
        <v>156</v>
      </c>
      <c r="D37" s="16" t="s">
        <v>16</v>
      </c>
      <c r="E37" s="16" t="s">
        <v>224</v>
      </c>
      <c r="F37" s="17">
        <v>35</v>
      </c>
      <c r="G37" s="17">
        <v>33</v>
      </c>
      <c r="H37" s="17">
        <v>2</v>
      </c>
      <c r="I37" s="20">
        <v>0.94289999999999996</v>
      </c>
      <c r="J37" s="21" t="s">
        <v>237</v>
      </c>
    </row>
    <row r="38" spans="1:10" ht="13.5" customHeight="1" x14ac:dyDescent="0.3">
      <c r="A38" s="16" t="s">
        <v>238</v>
      </c>
      <c r="B38" s="16" t="s">
        <v>11</v>
      </c>
      <c r="C38" s="16" t="s">
        <v>156</v>
      </c>
      <c r="D38" s="16" t="s">
        <v>17</v>
      </c>
      <c r="E38" s="16" t="s">
        <v>239</v>
      </c>
      <c r="F38" s="17">
        <v>8</v>
      </c>
      <c r="G38" s="17">
        <v>8</v>
      </c>
      <c r="H38" s="17">
        <v>0</v>
      </c>
      <c r="I38" s="20">
        <v>1</v>
      </c>
      <c r="J38" s="21" t="s">
        <v>189</v>
      </c>
    </row>
    <row r="39" spans="1:10" ht="13.5" customHeight="1" x14ac:dyDescent="0.3">
      <c r="A39" s="16" t="s">
        <v>238</v>
      </c>
      <c r="B39" s="16" t="s">
        <v>11</v>
      </c>
      <c r="C39" s="16" t="s">
        <v>156</v>
      </c>
      <c r="D39" s="16" t="s">
        <v>16</v>
      </c>
      <c r="E39" s="16" t="s">
        <v>240</v>
      </c>
      <c r="F39" s="17">
        <v>43</v>
      </c>
      <c r="G39" s="17">
        <v>41</v>
      </c>
      <c r="H39" s="17">
        <v>2</v>
      </c>
      <c r="I39" s="20">
        <v>0.95350000000000001</v>
      </c>
      <c r="J39" s="21" t="s">
        <v>241</v>
      </c>
    </row>
    <row r="40" spans="1:10" ht="13.5" customHeight="1" x14ac:dyDescent="0.3">
      <c r="A40" s="16" t="s">
        <v>238</v>
      </c>
      <c r="B40" s="16" t="s">
        <v>88</v>
      </c>
      <c r="C40" s="16" t="s">
        <v>156</v>
      </c>
      <c r="D40" s="16" t="s">
        <v>16</v>
      </c>
      <c r="E40" s="16" t="s">
        <v>29</v>
      </c>
      <c r="F40" s="17">
        <v>10</v>
      </c>
      <c r="G40" s="17">
        <v>10</v>
      </c>
      <c r="H40" s="17">
        <v>0</v>
      </c>
      <c r="I40" s="20">
        <v>1</v>
      </c>
      <c r="J40" s="21" t="s">
        <v>242</v>
      </c>
    </row>
    <row r="41" spans="1:10" ht="40.049999999999997" customHeight="1" x14ac:dyDescent="0.3">
      <c r="A41" s="16" t="s">
        <v>243</v>
      </c>
      <c r="B41" s="16" t="s">
        <v>169</v>
      </c>
      <c r="C41" s="16" t="s">
        <v>157</v>
      </c>
      <c r="D41" s="16" t="s">
        <v>167</v>
      </c>
      <c r="E41" s="16" t="s">
        <v>244</v>
      </c>
      <c r="F41" s="17">
        <v>13</v>
      </c>
      <c r="G41" s="17">
        <v>2</v>
      </c>
      <c r="H41" s="17">
        <v>11</v>
      </c>
      <c r="I41" s="20">
        <v>0.15379999999999999</v>
      </c>
      <c r="J41" s="21" t="s">
        <v>245</v>
      </c>
    </row>
    <row r="42" spans="1:10" ht="27" customHeight="1" x14ac:dyDescent="0.3">
      <c r="A42" s="16" t="s">
        <v>243</v>
      </c>
      <c r="B42" s="16" t="s">
        <v>169</v>
      </c>
      <c r="C42" s="16" t="s">
        <v>156</v>
      </c>
      <c r="D42" s="16" t="s">
        <v>16</v>
      </c>
      <c r="E42" s="16" t="s">
        <v>244</v>
      </c>
      <c r="F42" s="17">
        <v>13</v>
      </c>
      <c r="G42" s="17">
        <v>1</v>
      </c>
      <c r="H42" s="17">
        <v>12</v>
      </c>
      <c r="I42" s="20">
        <v>7.6899999999999996E-2</v>
      </c>
      <c r="J42" s="21" t="s">
        <v>246</v>
      </c>
    </row>
    <row r="43" spans="1:10" ht="13.5" customHeight="1" x14ac:dyDescent="0.3">
      <c r="A43" s="16" t="s">
        <v>247</v>
      </c>
      <c r="B43" s="16" t="s">
        <v>88</v>
      </c>
      <c r="C43" s="16" t="s">
        <v>156</v>
      </c>
      <c r="D43" s="16" t="s">
        <v>16</v>
      </c>
      <c r="E43" s="16" t="s">
        <v>29</v>
      </c>
      <c r="F43" s="17">
        <v>23</v>
      </c>
      <c r="G43" s="17">
        <v>22</v>
      </c>
      <c r="H43" s="17">
        <v>1</v>
      </c>
      <c r="I43" s="20">
        <v>0.95650000000000002</v>
      </c>
      <c r="J43" s="21" t="s">
        <v>248</v>
      </c>
    </row>
    <row r="44" spans="1:10" ht="13.5" customHeight="1" x14ac:dyDescent="0.3">
      <c r="A44" s="16" t="s">
        <v>249</v>
      </c>
      <c r="B44" s="16" t="s">
        <v>11</v>
      </c>
      <c r="C44" s="16" t="s">
        <v>156</v>
      </c>
      <c r="D44" s="16" t="s">
        <v>17</v>
      </c>
      <c r="E44" s="16" t="s">
        <v>239</v>
      </c>
      <c r="F44" s="17">
        <v>5</v>
      </c>
      <c r="G44" s="17">
        <v>5</v>
      </c>
      <c r="H44" s="17">
        <v>0</v>
      </c>
      <c r="I44" s="20">
        <v>1</v>
      </c>
      <c r="J44" s="21" t="s">
        <v>189</v>
      </c>
    </row>
    <row r="45" spans="1:10" ht="13.5" customHeight="1" x14ac:dyDescent="0.3">
      <c r="A45" s="16" t="s">
        <v>249</v>
      </c>
      <c r="B45" s="16" t="s">
        <v>11</v>
      </c>
      <c r="C45" s="16" t="s">
        <v>156</v>
      </c>
      <c r="D45" s="16" t="s">
        <v>16</v>
      </c>
      <c r="E45" s="16" t="s">
        <v>240</v>
      </c>
      <c r="F45" s="17">
        <v>15</v>
      </c>
      <c r="G45" s="17">
        <v>14</v>
      </c>
      <c r="H45" s="17">
        <v>1</v>
      </c>
      <c r="I45" s="20">
        <v>0.93330000000000002</v>
      </c>
      <c r="J45" s="21" t="s">
        <v>250</v>
      </c>
    </row>
    <row r="46" spans="1:10" ht="40.049999999999997" customHeight="1" x14ac:dyDescent="0.3">
      <c r="A46" s="16" t="s">
        <v>251</v>
      </c>
      <c r="B46" s="16" t="s">
        <v>169</v>
      </c>
      <c r="C46" s="16" t="s">
        <v>157</v>
      </c>
      <c r="D46" s="16" t="s">
        <v>167</v>
      </c>
      <c r="E46" s="16" t="s">
        <v>244</v>
      </c>
      <c r="F46" s="17">
        <v>29</v>
      </c>
      <c r="G46" s="17">
        <v>6</v>
      </c>
      <c r="H46" s="17">
        <v>23</v>
      </c>
      <c r="I46" s="20">
        <v>0.2069</v>
      </c>
      <c r="J46" s="21" t="s">
        <v>252</v>
      </c>
    </row>
    <row r="48" ht="16.5" customHeight="1">
      <c r="A48" s="45" t="inlineStr">
        <is>
          <t>Key Takeaways</t>
        </is>
      </c>
      <c r="B48" s="45"/>
      <c r="C48" s="45"/>
      <c r="D48" s="45"/>
      <c r="E48" s="45"/>
      <c r="F48" s="45"/>
      <c r="G48" s="45"/>
      <c r="H48" s="45"/>
      <c r="I48" s="45"/>
      <c r="J48" s="45"/>
    </row>
    <row r="49" ht="15.0" customHeight="1">
      <c r="A49" s="46" t="inlineStr">
        <is>
          <t xml:space="preserve">➢ 666541 (Pelvic @ Martins): 96.4% FPY on 137 — clean month; scattered singles only (bowel, urethra, membrane).</t>
        </is>
      </c>
      <c r="B49" s="46"/>
      <c r="C49" s="46"/>
      <c r="D49" s="46"/>
      <c r="E49" s="46"/>
      <c r="F49" s="46"/>
      <c r="G49" s="46"/>
      <c r="H49" s="46"/>
      <c r="I49" s="46"/>
      <c r="J49" s="46"/>
    </row>
    <row r="50" ht="15.0" customHeight="1">
      <c r="A50" s="46" t="inlineStr">
        <is>
          <t xml:space="preserve">➢ 666506 (Pelvic @ Martins): 100% FPY on 13 — no failures.</t>
        </is>
      </c>
      <c r="B50" s="46"/>
      <c r="C50" s="46"/>
      <c r="D50" s="46"/>
      <c r="E50" s="46"/>
      <c r="F50" s="46"/>
      <c r="G50" s="46"/>
      <c r="H50" s="46"/>
      <c r="I50" s="46"/>
      <c r="J50" s="46"/>
    </row>
    <row r="51" ht="15.0" customHeight="1">
      <c r="A51" s="46" t="inlineStr">
        <is>
          <t xml:space="preserve">➢ 666541 (Pelvic @ Parks): 97.0% FPY on 33 — strong start on the new spec after the 518 → 541 transition (8/10).</t>
        </is>
      </c>
      <c r="B51" s="46"/>
      <c r="C51" s="46"/>
      <c r="D51" s="46"/>
      <c r="E51" s="46"/>
      <c r="F51" s="46"/>
      <c r="G51" s="46"/>
      <c r="H51" s="46"/>
      <c r="I51" s="46"/>
      <c r="J51" s="46"/>
    </row>
    <row r="52" ht="27.0" customHeight="1">
      <c r="A52" s="46" t="inlineStr">
        <is>
          <t xml:space="preserve">➢ 666521 (Thoracic @ Nahunta): 14.0% FPY on 57 across 3 visits — worsening: 31 lung lacerations and heart damage surging 2 → 19; escalated with Ricardo.</t>
        </is>
      </c>
      <c r="B52" s="46"/>
      <c r="C52" s="46"/>
      <c r="D52" s="46"/>
      <c r="E52" s="46"/>
      <c r="F52" s="46"/>
      <c r="G52" s="46"/>
      <c r="H52" s="46"/>
      <c r="I52" s="46"/>
      <c r="J52" s="46"/>
    </row>
    <row r="53" ht="27.0" customHeight="1">
      <c r="A53" s="47" t="inlineStr">
        <is>
          <t xml:space="preserve">➢ 666541 (Pelvic @ Nahunta): 8/12 line (13/1/12) is provisional — no defect breakdown recorded (pelvics deprioritized on the line); confirm.</t>
        </is>
      </c>
      <c r="B53" s="47"/>
      <c r="C53" s="47"/>
      <c r="D53" s="47"/>
      <c r="E53" s="47"/>
      <c r="F53" s="47"/>
      <c r="G53" s="47"/>
      <c r="H53" s="47"/>
      <c r="I53" s="47"/>
      <c r="J53" s="47"/>
    </row>
  </sheetData>
  <mergeCells count="33">
    <mergeCell ref="B31:E31"/>
    <mergeCell ref="A33:J33"/>
    <mergeCell ref="B25:E25"/>
    <mergeCell ref="B26:E26"/>
    <mergeCell ref="A28:J28"/>
    <mergeCell ref="B29:E29"/>
    <mergeCell ref="B30:E30"/>
    <mergeCell ref="A19:J19"/>
    <mergeCell ref="A20:J20"/>
    <mergeCell ref="B21:E21"/>
    <mergeCell ref="B22:E22"/>
    <mergeCell ref="A24:J24"/>
    <mergeCell ref="A13:J13"/>
    <mergeCell ref="B14:E14"/>
    <mergeCell ref="B15:E15"/>
    <mergeCell ref="B16:E16"/>
    <mergeCell ref="B17:E17"/>
    <mergeCell ref="G7:J7"/>
    <mergeCell ref="G8:J8"/>
    <mergeCell ref="G9:J9"/>
    <mergeCell ref="G10:J10"/>
    <mergeCell ref="A12:J12"/>
    <mergeCell ref="A1:J1"/>
    <mergeCell ref="A2:J2"/>
    <mergeCell ref="A4:J4"/>
    <mergeCell ref="G5:J5"/>
    <mergeCell ref="G6:J6"/>
    <mergeCell ref="A48:J48"/>
    <mergeCell ref="A49:J49"/>
    <mergeCell ref="A50:J50"/>
    <mergeCell ref="A51:J51"/>
    <mergeCell ref="A52:J52"/>
    <mergeCell ref="A53:J53"/>
  </mergeCells>
  <conditionalFormatting sqref="F6:F10">
    <cfRule type="colorScale" priority="1">
      <colorScale>
        <cfvo type="num" val="0.3"/>
        <cfvo type="num" val="0.8"/>
        <cfvo type="num" val="1"/>
        <color rgb="FFF8696B"/>
        <color rgb="FFFFEB84"/>
        <color rgb="FF63BE7B"/>
      </colorScale>
    </cfRule>
  </conditionalFormatting>
  <conditionalFormatting sqref="F15:F17">
    <cfRule type="dataBar" priority="2">
      <dataBar>
        <cfvo type="min"/>
        <cfvo type="max"/>
        <color rgb="FF638EC6"/>
      </dataBar>
    </cfRule>
  </conditionalFormatting>
  <conditionalFormatting sqref="F22">
    <cfRule type="dataBar" priority="3">
      <dataBar>
        <cfvo type="min"/>
        <cfvo type="max"/>
        <color rgb="FF638EC6"/>
      </dataBar>
    </cfRule>
  </conditionalFormatting>
  <conditionalFormatting sqref="F26">
    <cfRule type="dataBar" priority="4">
      <dataBar>
        <cfvo type="min"/>
        <cfvo type="max"/>
        <color rgb="FF638EC6"/>
      </dataBar>
    </cfRule>
  </conditionalFormatting>
  <conditionalFormatting sqref="F30:F31">
    <cfRule type="dataBar" priority="5">
      <dataBar>
        <cfvo type="min"/>
        <cfvo type="max"/>
        <color rgb="FF638EC6"/>
      </dataBar>
    </cfRule>
  </conditionalFormatting>
  <pageMargins left="0.5" right="0.5" top="0.6" bottom="0.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37"/>
  <sheetViews>
    <sheetView workbookViewId="0"/>
  </sheetViews>
  <sheetFormatPr defaultRowHeight="14.4" x14ac:dyDescent="0.3"/>
  <cols>
    <col min="1" max="1" width="98" customWidth="1"/>
  </cols>
  <sheetData>
    <row r="1" spans="1:1" ht="21" x14ac:dyDescent="0.4">
      <c r="A1" s="13" t="s">
        <v>389</v>
      </c>
    </row>
    <row r="2" spans="1:1" ht="24" x14ac:dyDescent="0.3">
      <c r="A2" s="14" t="s">
        <v>390</v>
      </c>
    </row>
    <row r="4" spans="1:1" ht="15.6" x14ac:dyDescent="0.3">
      <c r="A4" s="15" t="s">
        <v>391</v>
      </c>
    </row>
    <row r="5" spans="1:1" ht="69" x14ac:dyDescent="0.3">
      <c r="A5" s="24" t="s">
        <v>392</v>
      </c>
    </row>
    <row r="7" spans="1:1" ht="15.6" x14ac:dyDescent="0.3">
      <c r="A7" s="15" t="s">
        <v>393</v>
      </c>
    </row>
    <row r="8" spans="1:1" x14ac:dyDescent="0.3">
      <c r="A8" s="23" t="s">
        <v>394</v>
      </c>
    </row>
    <row r="9" spans="1:1" ht="69" x14ac:dyDescent="0.3">
      <c r="A9" s="24" t="s">
        <v>395</v>
      </c>
    </row>
    <row r="10" spans="1:1" x14ac:dyDescent="0.3">
      <c r="A10" s="23" t="s">
        <v>396</v>
      </c>
    </row>
    <row r="11" spans="1:1" ht="82.8" x14ac:dyDescent="0.3">
      <c r="A11" s="24" t="s">
        <v>397</v>
      </c>
    </row>
    <row r="13" spans="1:1" ht="15.6" x14ac:dyDescent="0.3">
      <c r="A13" s="15" t="s">
        <v>398</v>
      </c>
    </row>
    <row r="14" spans="1:1" ht="41.4" x14ac:dyDescent="0.3">
      <c r="A14" s="24" t="s">
        <v>399</v>
      </c>
    </row>
    <row r="15" spans="1:1" ht="41.4" x14ac:dyDescent="0.3">
      <c r="A15" s="24" t="s">
        <v>400</v>
      </c>
    </row>
    <row r="16" spans="1:1" ht="55.2" x14ac:dyDescent="0.3">
      <c r="A16" s="24" t="s">
        <v>401</v>
      </c>
    </row>
    <row r="18" spans="1:1" ht="15.6" x14ac:dyDescent="0.3">
      <c r="A18" s="15" t="s">
        <v>402</v>
      </c>
    </row>
    <row r="19" spans="1:1" ht="82.8" x14ac:dyDescent="0.3">
      <c r="A19" s="24" t="s">
        <v>403</v>
      </c>
    </row>
    <row r="20" spans="1:1" x14ac:dyDescent="0.3">
      <c r="A20" s="23" t="s">
        <v>404</v>
      </c>
    </row>
    <row r="21" spans="1:1" ht="27.6" x14ac:dyDescent="0.3">
      <c r="A21" s="24" t="s">
        <v>405</v>
      </c>
    </row>
    <row r="23" spans="1:1" ht="15.6" x14ac:dyDescent="0.3">
      <c r="A23" s="15" t="s">
        <v>406</v>
      </c>
    </row>
    <row r="24" spans="1:1" ht="55.2" x14ac:dyDescent="0.3">
      <c r="A24" s="24" t="s">
        <v>407</v>
      </c>
    </row>
    <row r="25" spans="1:1" x14ac:dyDescent="0.3">
      <c r="A25" s="23" t="s">
        <v>408</v>
      </c>
    </row>
    <row r="26" spans="1:1" ht="41.4" x14ac:dyDescent="0.3">
      <c r="A26" s="24" t="s">
        <v>409</v>
      </c>
    </row>
    <row r="28" spans="1:1" ht="15.6" x14ac:dyDescent="0.3">
      <c r="A28" s="15" t="s">
        <v>410</v>
      </c>
    </row>
    <row r="29" spans="1:1" ht="27.6" x14ac:dyDescent="0.3">
      <c r="A29" s="24" t="s">
        <v>411</v>
      </c>
    </row>
    <row r="30" spans="1:1" x14ac:dyDescent="0.3">
      <c r="A30" s="23" t="s">
        <v>412</v>
      </c>
    </row>
    <row r="31" spans="1:1" ht="69" x14ac:dyDescent="0.3">
      <c r="A31" s="24" t="s">
        <v>413</v>
      </c>
    </row>
    <row r="33" spans="1:1" ht="15.6" x14ac:dyDescent="0.3">
      <c r="A33" s="15" t="s">
        <v>414</v>
      </c>
    </row>
    <row r="34" spans="1:1" ht="82.8" x14ac:dyDescent="0.3">
      <c r="A34" s="24" t="s">
        <v>415</v>
      </c>
    </row>
    <row r="36" spans="1:1" ht="15.6" x14ac:dyDescent="0.3">
      <c r="A36" s="15" t="s">
        <v>416</v>
      </c>
    </row>
    <row r="37" spans="1:1" ht="151.80000000000001" x14ac:dyDescent="0.3">
      <c r="A37" s="24" t="s">
        <v>417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33"/>
  <sheetViews>
    <sheetView zoomScaleNormal="100" workbookViewId="0">
      <selection activeCell="A19" sqref="A19"/>
    </sheetView>
  </sheetViews>
  <sheetFormatPr defaultColWidth="8.6640625" defaultRowHeight="14.4" x14ac:dyDescent="0.3"/>
  <cols>
    <col min="1" max="1" width="38" style="25" customWidth="1"/>
    <col min="2" max="2" width="4" style="25" customWidth="1"/>
    <col min="3" max="3" width="60" style="25" customWidth="1"/>
    <col min="4" max="4" width="4" style="25" customWidth="1"/>
    <col min="5" max="5" width="50" style="25" customWidth="1"/>
    <col min="6" max="16384" width="8.6640625" style="25"/>
  </cols>
  <sheetData>
    <row r="1" spans="1:6" ht="19.5" customHeight="1" x14ac:dyDescent="0.4">
      <c r="A1" s="12" t="s">
        <v>92</v>
      </c>
      <c r="B1" s="12"/>
      <c r="C1" s="12"/>
      <c r="D1" s="12"/>
      <c r="E1" s="12"/>
      <c r="F1" s="12"/>
    </row>
    <row r="2" spans="1:6" ht="34.5" customHeight="1" x14ac:dyDescent="0.3">
      <c r="A2" s="3" t="s">
        <v>93</v>
      </c>
      <c r="B2" s="3"/>
      <c r="C2" s="3"/>
      <c r="D2" s="3"/>
      <c r="E2" s="3"/>
      <c r="F2" s="3"/>
    </row>
    <row r="4" spans="1:6" ht="24" customHeight="1" x14ac:dyDescent="0.3">
      <c r="A4" s="9" t="s">
        <v>94</v>
      </c>
      <c r="B4" s="9"/>
      <c r="C4" s="9"/>
      <c r="D4" s="9"/>
      <c r="E4" s="9"/>
    </row>
    <row r="5" spans="1:6" ht="15" customHeight="1" x14ac:dyDescent="0.3">
      <c r="A5" s="22" t="s">
        <v>95</v>
      </c>
      <c r="C5" s="22" t="s">
        <v>96</v>
      </c>
      <c r="E5" s="22" t="s">
        <v>97</v>
      </c>
    </row>
    <row r="6" spans="1:6" ht="18" customHeight="1" x14ac:dyDescent="0.3">
      <c r="C6" s="2" t="s">
        <v>6</v>
      </c>
      <c r="E6" s="1" t="s">
        <v>98</v>
      </c>
    </row>
    <row r="7" spans="1:6" ht="18" customHeight="1" x14ac:dyDescent="0.3">
      <c r="C7" s="2"/>
      <c r="E7" s="1"/>
    </row>
    <row r="8" spans="1:6" ht="18" customHeight="1" x14ac:dyDescent="0.3">
      <c r="C8" s="2"/>
      <c r="E8" s="1"/>
    </row>
    <row r="9" spans="1:6" ht="18" customHeight="1" x14ac:dyDescent="0.3">
      <c r="C9" s="2"/>
      <c r="E9" s="1"/>
    </row>
    <row r="10" spans="1:6" ht="18" customHeight="1" x14ac:dyDescent="0.3">
      <c r="C10" s="2"/>
      <c r="E10" s="1"/>
    </row>
    <row r="11" spans="1:6" ht="18" customHeight="1" x14ac:dyDescent="0.3">
      <c r="C11" s="2"/>
      <c r="E11" s="1"/>
    </row>
    <row r="12" spans="1:6" ht="18" customHeight="1" x14ac:dyDescent="0.3">
      <c r="C12" s="2"/>
      <c r="E12" s="1"/>
    </row>
    <row r="13" spans="1:6" ht="18" customHeight="1" x14ac:dyDescent="0.3">
      <c r="C13" s="2"/>
      <c r="E13" s="1"/>
    </row>
    <row r="14" spans="1:6" ht="18" customHeight="1" x14ac:dyDescent="0.3">
      <c r="C14" s="2"/>
      <c r="E14" s="1"/>
    </row>
    <row r="15" spans="1:6" ht="18" customHeight="1" x14ac:dyDescent="0.3">
      <c r="C15" s="2"/>
      <c r="E15" s="1"/>
    </row>
    <row r="16" spans="1:6" ht="18" customHeight="1" x14ac:dyDescent="0.3">
      <c r="C16" s="2"/>
      <c r="E16" s="1"/>
    </row>
    <row r="17" spans="1:5" ht="18" customHeight="1" x14ac:dyDescent="0.3">
      <c r="C17" s="2"/>
      <c r="E17" s="1"/>
    </row>
    <row r="18" spans="1:5" ht="18" customHeight="1" x14ac:dyDescent="0.3">
      <c r="C18" s="2"/>
      <c r="E18" s="1"/>
    </row>
    <row r="19" spans="1:5" ht="18" customHeight="1" x14ac:dyDescent="0.3">
      <c r="C19" s="2"/>
      <c r="E19" s="1"/>
    </row>
    <row r="20" spans="1:5" ht="18" customHeight="1" x14ac:dyDescent="0.3">
      <c r="C20" s="2"/>
      <c r="E20" s="1"/>
    </row>
    <row r="21" spans="1:5" ht="18" customHeight="1" x14ac:dyDescent="0.3">
      <c r="C21" s="2"/>
      <c r="E21" s="1"/>
    </row>
    <row r="22" spans="1:5" ht="18" customHeight="1" x14ac:dyDescent="0.3">
      <c r="C22" s="2"/>
      <c r="E22" s="1"/>
    </row>
    <row r="23" spans="1:5" ht="18" customHeight="1" x14ac:dyDescent="0.3">
      <c r="C23" s="2"/>
      <c r="E23" s="1"/>
    </row>
    <row r="26" spans="1:5" ht="24" customHeight="1" x14ac:dyDescent="0.3">
      <c r="A26" s="9" t="s">
        <v>99</v>
      </c>
      <c r="B26" s="9"/>
      <c r="C26" s="9"/>
      <c r="D26" s="9"/>
      <c r="E26" s="9"/>
    </row>
    <row r="27" spans="1:5" ht="15" customHeight="1" x14ac:dyDescent="0.3">
      <c r="A27" s="22" t="s">
        <v>95</v>
      </c>
      <c r="C27" s="22" t="s">
        <v>96</v>
      </c>
      <c r="E27" s="22" t="s">
        <v>97</v>
      </c>
    </row>
    <row r="28" spans="1:5" ht="18" customHeight="1" x14ac:dyDescent="0.3">
      <c r="C28" s="2" t="s">
        <v>100</v>
      </c>
      <c r="E28" s="1" t="s">
        <v>101</v>
      </c>
    </row>
    <row r="29" spans="1:5" ht="18" customHeight="1" x14ac:dyDescent="0.3">
      <c r="C29" s="2"/>
      <c r="E29" s="1"/>
    </row>
    <row r="30" spans="1:5" ht="18" customHeight="1" x14ac:dyDescent="0.3">
      <c r="C30" s="2"/>
      <c r="E30" s="1"/>
    </row>
    <row r="31" spans="1:5" ht="18" customHeight="1" x14ac:dyDescent="0.3">
      <c r="C31" s="2"/>
      <c r="E31" s="1"/>
    </row>
    <row r="32" spans="1:5" ht="18" customHeight="1" x14ac:dyDescent="0.3">
      <c r="C32" s="2"/>
      <c r="E32" s="1"/>
    </row>
    <row r="33" spans="1:5" ht="18" customHeight="1" x14ac:dyDescent="0.3">
      <c r="C33" s="2"/>
      <c r="E33" s="1"/>
    </row>
    <row r="34" spans="1:5" ht="18" customHeight="1" x14ac:dyDescent="0.3">
      <c r="C34" s="2"/>
      <c r="E34" s="1"/>
    </row>
    <row r="35" spans="1:5" ht="18" customHeight="1" x14ac:dyDescent="0.3">
      <c r="C35" s="2"/>
      <c r="E35" s="1"/>
    </row>
    <row r="36" spans="1:5" ht="18" customHeight="1" x14ac:dyDescent="0.3">
      <c r="C36" s="2"/>
      <c r="E36" s="1"/>
    </row>
    <row r="37" spans="1:5" ht="18" customHeight="1" x14ac:dyDescent="0.3">
      <c r="C37" s="2"/>
      <c r="E37" s="1"/>
    </row>
    <row r="38" spans="1:5" ht="18" customHeight="1" x14ac:dyDescent="0.3">
      <c r="C38" s="2"/>
      <c r="E38" s="1"/>
    </row>
    <row r="39" spans="1:5" ht="18" customHeight="1" x14ac:dyDescent="0.3">
      <c r="C39" s="2"/>
      <c r="E39" s="1"/>
    </row>
    <row r="40" spans="1:5" ht="18" customHeight="1" x14ac:dyDescent="0.3">
      <c r="C40" s="2"/>
      <c r="E40" s="1"/>
    </row>
    <row r="41" spans="1:5" ht="18" customHeight="1" x14ac:dyDescent="0.3">
      <c r="C41" s="2"/>
      <c r="E41" s="1"/>
    </row>
    <row r="42" spans="1:5" ht="18" customHeight="1" x14ac:dyDescent="0.3">
      <c r="C42" s="2"/>
      <c r="E42" s="1"/>
    </row>
    <row r="43" spans="1:5" ht="18" customHeight="1" x14ac:dyDescent="0.3">
      <c r="C43" s="2"/>
      <c r="E43" s="1"/>
    </row>
    <row r="44" spans="1:5" ht="18" customHeight="1" x14ac:dyDescent="0.3">
      <c r="C44" s="2"/>
      <c r="E44" s="1"/>
    </row>
    <row r="45" spans="1:5" ht="18" customHeight="1" x14ac:dyDescent="0.3">
      <c r="C45" s="2"/>
      <c r="E45" s="1"/>
    </row>
    <row r="48" spans="1:5" ht="24" customHeight="1" x14ac:dyDescent="0.3">
      <c r="A48" s="9" t="s">
        <v>102</v>
      </c>
      <c r="B48" s="9"/>
      <c r="C48" s="9"/>
      <c r="D48" s="9"/>
      <c r="E48" s="9"/>
    </row>
    <row r="49" spans="1:5" ht="15" customHeight="1" x14ac:dyDescent="0.3">
      <c r="A49" s="22" t="s">
        <v>95</v>
      </c>
      <c r="C49" s="22" t="s">
        <v>96</v>
      </c>
      <c r="E49" s="22" t="s">
        <v>97</v>
      </c>
    </row>
    <row r="50" spans="1:5" ht="18" customHeight="1" x14ac:dyDescent="0.3">
      <c r="C50" s="2" t="s">
        <v>103</v>
      </c>
      <c r="E50" s="1" t="s">
        <v>104</v>
      </c>
    </row>
    <row r="51" spans="1:5" ht="18" customHeight="1" x14ac:dyDescent="0.3">
      <c r="C51" s="2"/>
      <c r="E51" s="1"/>
    </row>
    <row r="52" spans="1:5" ht="18" customHeight="1" x14ac:dyDescent="0.3">
      <c r="C52" s="2"/>
      <c r="E52" s="1"/>
    </row>
    <row r="53" spans="1:5" ht="18" customHeight="1" x14ac:dyDescent="0.3">
      <c r="C53" s="2"/>
      <c r="E53" s="1"/>
    </row>
    <row r="54" spans="1:5" ht="18" customHeight="1" x14ac:dyDescent="0.3">
      <c r="C54" s="2"/>
      <c r="E54" s="1"/>
    </row>
    <row r="55" spans="1:5" ht="18" customHeight="1" x14ac:dyDescent="0.3">
      <c r="C55" s="2"/>
      <c r="E55" s="1"/>
    </row>
    <row r="56" spans="1:5" ht="18" customHeight="1" x14ac:dyDescent="0.3">
      <c r="C56" s="2"/>
      <c r="E56" s="1"/>
    </row>
    <row r="57" spans="1:5" ht="18" customHeight="1" x14ac:dyDescent="0.3">
      <c r="C57" s="2"/>
      <c r="E57" s="1"/>
    </row>
    <row r="58" spans="1:5" ht="18" customHeight="1" x14ac:dyDescent="0.3">
      <c r="C58" s="2"/>
      <c r="E58" s="1"/>
    </row>
    <row r="59" spans="1:5" ht="18" customHeight="1" x14ac:dyDescent="0.3">
      <c r="C59" s="2"/>
      <c r="E59" s="1"/>
    </row>
    <row r="60" spans="1:5" ht="18" customHeight="1" x14ac:dyDescent="0.3">
      <c r="C60" s="2"/>
      <c r="E60" s="1"/>
    </row>
    <row r="61" spans="1:5" ht="18" customHeight="1" x14ac:dyDescent="0.3">
      <c r="C61" s="2"/>
      <c r="E61" s="1"/>
    </row>
    <row r="62" spans="1:5" ht="18" customHeight="1" x14ac:dyDescent="0.3">
      <c r="C62" s="2"/>
      <c r="E62" s="1"/>
    </row>
    <row r="63" spans="1:5" ht="18" customHeight="1" x14ac:dyDescent="0.3">
      <c r="C63" s="2"/>
      <c r="E63" s="1"/>
    </row>
    <row r="64" spans="1:5" ht="18" customHeight="1" x14ac:dyDescent="0.3">
      <c r="C64" s="2"/>
      <c r="E64" s="1"/>
    </row>
    <row r="65" spans="1:5" ht="18" customHeight="1" x14ac:dyDescent="0.3">
      <c r="C65" s="2"/>
      <c r="E65" s="1"/>
    </row>
    <row r="66" spans="1:5" ht="18" customHeight="1" x14ac:dyDescent="0.3">
      <c r="C66" s="2"/>
      <c r="E66" s="1"/>
    </row>
    <row r="67" spans="1:5" ht="18" customHeight="1" x14ac:dyDescent="0.3">
      <c r="C67" s="2"/>
      <c r="E67" s="1"/>
    </row>
    <row r="70" spans="1:5" ht="24" customHeight="1" x14ac:dyDescent="0.3">
      <c r="A70" s="9" t="s">
        <v>105</v>
      </c>
      <c r="B70" s="9"/>
      <c r="C70" s="9"/>
      <c r="D70" s="9"/>
      <c r="E70" s="9"/>
    </row>
    <row r="71" spans="1:5" ht="15" customHeight="1" x14ac:dyDescent="0.3">
      <c r="A71" s="22" t="s">
        <v>95</v>
      </c>
      <c r="C71" s="22" t="s">
        <v>96</v>
      </c>
      <c r="E71" s="22" t="s">
        <v>97</v>
      </c>
    </row>
    <row r="72" spans="1:5" ht="18" customHeight="1" x14ac:dyDescent="0.3">
      <c r="C72" s="2" t="s">
        <v>5</v>
      </c>
      <c r="E72" s="1" t="s">
        <v>106</v>
      </c>
    </row>
    <row r="73" spans="1:5" ht="18" customHeight="1" x14ac:dyDescent="0.3">
      <c r="C73" s="2"/>
      <c r="E73" s="1"/>
    </row>
    <row r="74" spans="1:5" ht="18" customHeight="1" x14ac:dyDescent="0.3">
      <c r="C74" s="2"/>
      <c r="E74" s="1"/>
    </row>
    <row r="75" spans="1:5" ht="18" customHeight="1" x14ac:dyDescent="0.3">
      <c r="C75" s="2"/>
      <c r="E75" s="1"/>
    </row>
    <row r="76" spans="1:5" ht="18" customHeight="1" x14ac:dyDescent="0.3">
      <c r="C76" s="2"/>
      <c r="E76" s="1"/>
    </row>
    <row r="77" spans="1:5" ht="18" customHeight="1" x14ac:dyDescent="0.3">
      <c r="C77" s="2"/>
      <c r="E77" s="1"/>
    </row>
    <row r="78" spans="1:5" ht="18" customHeight="1" x14ac:dyDescent="0.3">
      <c r="C78" s="2"/>
      <c r="E78" s="1"/>
    </row>
    <row r="79" spans="1:5" ht="18" customHeight="1" x14ac:dyDescent="0.3">
      <c r="C79" s="2"/>
      <c r="E79" s="1"/>
    </row>
    <row r="80" spans="1:5" ht="18" customHeight="1" x14ac:dyDescent="0.3">
      <c r="C80" s="2"/>
      <c r="E80" s="1"/>
    </row>
    <row r="81" spans="1:5" ht="18" customHeight="1" x14ac:dyDescent="0.3">
      <c r="C81" s="2"/>
      <c r="E81" s="1"/>
    </row>
    <row r="82" spans="1:5" ht="18" customHeight="1" x14ac:dyDescent="0.3">
      <c r="C82" s="2"/>
      <c r="E82" s="1"/>
    </row>
    <row r="83" spans="1:5" ht="18" customHeight="1" x14ac:dyDescent="0.3">
      <c r="C83" s="2"/>
      <c r="E83" s="1"/>
    </row>
    <row r="84" spans="1:5" ht="18" customHeight="1" x14ac:dyDescent="0.3">
      <c r="C84" s="2"/>
      <c r="E84" s="1"/>
    </row>
    <row r="85" spans="1:5" ht="18" customHeight="1" x14ac:dyDescent="0.3">
      <c r="C85" s="2"/>
      <c r="E85" s="1"/>
    </row>
    <row r="86" spans="1:5" ht="18" customHeight="1" x14ac:dyDescent="0.3">
      <c r="C86" s="2"/>
      <c r="E86" s="1"/>
    </row>
    <row r="87" spans="1:5" ht="18" customHeight="1" x14ac:dyDescent="0.3">
      <c r="C87" s="2"/>
      <c r="E87" s="1"/>
    </row>
    <row r="88" spans="1:5" ht="18" customHeight="1" x14ac:dyDescent="0.3">
      <c r="C88" s="2"/>
      <c r="E88" s="1"/>
    </row>
    <row r="89" spans="1:5" ht="18" customHeight="1" x14ac:dyDescent="0.3">
      <c r="C89" s="2"/>
      <c r="E89" s="1"/>
    </row>
    <row r="92" spans="1:5" ht="24" customHeight="1" x14ac:dyDescent="0.3">
      <c r="A92" s="9" t="s">
        <v>107</v>
      </c>
      <c r="B92" s="9"/>
      <c r="C92" s="9"/>
      <c r="D92" s="9"/>
      <c r="E92" s="9"/>
    </row>
    <row r="93" spans="1:5" ht="15" customHeight="1" x14ac:dyDescent="0.3">
      <c r="A93" s="22" t="s">
        <v>95</v>
      </c>
      <c r="C93" s="22" t="s">
        <v>96</v>
      </c>
      <c r="E93" s="22" t="s">
        <v>97</v>
      </c>
    </row>
    <row r="94" spans="1:5" ht="18" customHeight="1" x14ac:dyDescent="0.3">
      <c r="C94" s="2" t="s">
        <v>5</v>
      </c>
      <c r="E94" s="1" t="s">
        <v>108</v>
      </c>
    </row>
    <row r="95" spans="1:5" ht="18" customHeight="1" x14ac:dyDescent="0.3">
      <c r="C95" s="2"/>
      <c r="E95" s="1"/>
    </row>
    <row r="96" spans="1:5" ht="18" customHeight="1" x14ac:dyDescent="0.3">
      <c r="C96" s="2"/>
      <c r="E96" s="1"/>
    </row>
    <row r="97" spans="3:5" ht="18" customHeight="1" x14ac:dyDescent="0.3">
      <c r="C97" s="2"/>
      <c r="E97" s="1"/>
    </row>
    <row r="98" spans="3:5" ht="18" customHeight="1" x14ac:dyDescent="0.3">
      <c r="C98" s="2"/>
      <c r="E98" s="1"/>
    </row>
    <row r="99" spans="3:5" ht="18" customHeight="1" x14ac:dyDescent="0.3">
      <c r="C99" s="2"/>
      <c r="E99" s="1"/>
    </row>
    <row r="100" spans="3:5" ht="18" customHeight="1" x14ac:dyDescent="0.3">
      <c r="C100" s="2"/>
      <c r="E100" s="1"/>
    </row>
    <row r="101" spans="3:5" ht="18" customHeight="1" x14ac:dyDescent="0.3">
      <c r="C101" s="2"/>
      <c r="E101" s="1"/>
    </row>
    <row r="102" spans="3:5" ht="18" customHeight="1" x14ac:dyDescent="0.3">
      <c r="C102" s="2"/>
      <c r="E102" s="1"/>
    </row>
    <row r="103" spans="3:5" ht="18" customHeight="1" x14ac:dyDescent="0.3">
      <c r="C103" s="2"/>
      <c r="E103" s="1"/>
    </row>
    <row r="104" spans="3:5" ht="18" customHeight="1" x14ac:dyDescent="0.3">
      <c r="C104" s="2"/>
      <c r="E104" s="1"/>
    </row>
    <row r="105" spans="3:5" ht="18" customHeight="1" x14ac:dyDescent="0.3">
      <c r="C105" s="2"/>
      <c r="E105" s="1"/>
    </row>
    <row r="106" spans="3:5" ht="18" customHeight="1" x14ac:dyDescent="0.3">
      <c r="C106" s="2"/>
      <c r="E106" s="1"/>
    </row>
    <row r="107" spans="3:5" ht="18" customHeight="1" x14ac:dyDescent="0.3">
      <c r="C107" s="2"/>
      <c r="E107" s="1"/>
    </row>
    <row r="108" spans="3:5" ht="18" customHeight="1" x14ac:dyDescent="0.3">
      <c r="C108" s="2"/>
      <c r="E108" s="1"/>
    </row>
    <row r="109" spans="3:5" ht="18" customHeight="1" x14ac:dyDescent="0.3">
      <c r="C109" s="2"/>
      <c r="E109" s="1"/>
    </row>
    <row r="110" spans="3:5" ht="18" customHeight="1" x14ac:dyDescent="0.3">
      <c r="C110" s="2"/>
      <c r="E110" s="1"/>
    </row>
    <row r="111" spans="3:5" ht="18" customHeight="1" x14ac:dyDescent="0.3">
      <c r="C111" s="2"/>
      <c r="E111" s="1"/>
    </row>
    <row r="114" spans="1:5" ht="24" customHeight="1" x14ac:dyDescent="0.3">
      <c r="A114" s="9" t="s">
        <v>109</v>
      </c>
      <c r="B114" s="9"/>
      <c r="C114" s="9"/>
      <c r="D114" s="9"/>
      <c r="E114" s="9"/>
    </row>
    <row r="115" spans="1:5" ht="15" customHeight="1" x14ac:dyDescent="0.3">
      <c r="A115" s="22" t="s">
        <v>95</v>
      </c>
      <c r="C115" s="22" t="s">
        <v>96</v>
      </c>
      <c r="E115" s="22" t="s">
        <v>97</v>
      </c>
    </row>
    <row r="116" spans="1:5" ht="18" customHeight="1" x14ac:dyDescent="0.3">
      <c r="C116" s="2" t="s">
        <v>5</v>
      </c>
      <c r="E116" s="1" t="s">
        <v>110</v>
      </c>
    </row>
    <row r="117" spans="1:5" ht="18" customHeight="1" x14ac:dyDescent="0.3">
      <c r="C117" s="2"/>
      <c r="E117" s="1"/>
    </row>
    <row r="118" spans="1:5" ht="18" customHeight="1" x14ac:dyDescent="0.3">
      <c r="C118" s="2"/>
      <c r="E118" s="1"/>
    </row>
    <row r="119" spans="1:5" ht="18" customHeight="1" x14ac:dyDescent="0.3">
      <c r="C119" s="2"/>
      <c r="E119" s="1"/>
    </row>
    <row r="120" spans="1:5" ht="18" customHeight="1" x14ac:dyDescent="0.3">
      <c r="C120" s="2"/>
      <c r="E120" s="1"/>
    </row>
    <row r="121" spans="1:5" ht="18" customHeight="1" x14ac:dyDescent="0.3">
      <c r="C121" s="2"/>
      <c r="E121" s="1"/>
    </row>
    <row r="122" spans="1:5" ht="18" customHeight="1" x14ac:dyDescent="0.3">
      <c r="C122" s="2"/>
      <c r="E122" s="1"/>
    </row>
    <row r="123" spans="1:5" ht="18" customHeight="1" x14ac:dyDescent="0.3">
      <c r="C123" s="2"/>
      <c r="E123" s="1"/>
    </row>
    <row r="124" spans="1:5" ht="18" customHeight="1" x14ac:dyDescent="0.3">
      <c r="C124" s="2"/>
      <c r="E124" s="1"/>
    </row>
    <row r="125" spans="1:5" ht="18" customHeight="1" x14ac:dyDescent="0.3">
      <c r="C125" s="2"/>
      <c r="E125" s="1"/>
    </row>
    <row r="126" spans="1:5" ht="18" customHeight="1" x14ac:dyDescent="0.3">
      <c r="C126" s="2"/>
      <c r="E126" s="1"/>
    </row>
    <row r="127" spans="1:5" ht="18" customHeight="1" x14ac:dyDescent="0.3">
      <c r="C127" s="2"/>
      <c r="E127" s="1"/>
    </row>
    <row r="128" spans="1:5" ht="18" customHeight="1" x14ac:dyDescent="0.3">
      <c r="C128" s="2"/>
      <c r="E128" s="1"/>
    </row>
    <row r="129" spans="3:5" ht="18" customHeight="1" x14ac:dyDescent="0.3">
      <c r="C129" s="2"/>
      <c r="E129" s="1"/>
    </row>
    <row r="130" spans="3:5" ht="18" customHeight="1" x14ac:dyDescent="0.3">
      <c r="C130" s="2"/>
      <c r="E130" s="1"/>
    </row>
    <row r="131" spans="3:5" ht="18" customHeight="1" x14ac:dyDescent="0.3">
      <c r="C131" s="2"/>
      <c r="E131" s="1"/>
    </row>
    <row r="132" spans="3:5" ht="18" customHeight="1" x14ac:dyDescent="0.3">
      <c r="C132" s="2"/>
      <c r="E132" s="1"/>
    </row>
    <row r="133" spans="3:5" ht="18" customHeight="1" x14ac:dyDescent="0.3">
      <c r="C133" s="2"/>
      <c r="E133" s="1"/>
    </row>
  </sheetData>
  <mergeCells count="20">
    <mergeCell ref="A114:E114"/>
    <mergeCell ref="C116:C133"/>
    <mergeCell ref="E116:E133"/>
    <mergeCell ref="A70:E70"/>
    <mergeCell ref="C72:C89"/>
    <mergeCell ref="E72:E89"/>
    <mergeCell ref="A92:E92"/>
    <mergeCell ref="C94:C111"/>
    <mergeCell ref="E94:E111"/>
    <mergeCell ref="A26:E26"/>
    <mergeCell ref="C28:C45"/>
    <mergeCell ref="E28:E45"/>
    <mergeCell ref="A48:E48"/>
    <mergeCell ref="C50:C67"/>
    <mergeCell ref="E50:E67"/>
    <mergeCell ref="A1:F1"/>
    <mergeCell ref="A2:F2"/>
    <mergeCell ref="A4:E4"/>
    <mergeCell ref="C6:C23"/>
    <mergeCell ref="E6:E23"/>
  </mergeCells>
  <pageMargins left="0.75" right="0.75" top="1" bottom="1" header="0.511811023622047" footer="0.511811023622047"/>
  <pageSetup paperSize="9"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5"/>
  <sheetViews>
    <sheetView topLeftCell="A12" zoomScaleNormal="100" workbookViewId="0">
      <selection activeCell="A19" sqref="A19"/>
    </sheetView>
  </sheetViews>
  <sheetFormatPr defaultColWidth="8.6640625" defaultRowHeight="14.4" x14ac:dyDescent="0.3"/>
  <cols>
    <col min="1" max="1" width="22" style="25" customWidth="1"/>
    <col min="2" max="2" width="95" style="25" customWidth="1"/>
    <col min="3" max="16384" width="8.6640625" style="25"/>
  </cols>
  <sheetData>
    <row r="1" spans="1:6" ht="19.5" customHeight="1" x14ac:dyDescent="0.4">
      <c r="A1" s="12" t="s">
        <v>111</v>
      </c>
      <c r="B1" s="12"/>
      <c r="C1" s="12"/>
      <c r="D1" s="12"/>
      <c r="E1" s="12"/>
      <c r="F1" s="12"/>
    </row>
    <row r="2" spans="1:6" ht="30" customHeight="1" x14ac:dyDescent="0.3">
      <c r="A2" s="26"/>
      <c r="B2" s="26"/>
    </row>
    <row r="3" spans="1:6" ht="30" customHeight="1" x14ac:dyDescent="0.3">
      <c r="A3" s="26" t="s">
        <v>112</v>
      </c>
      <c r="B3" s="26" t="s">
        <v>113</v>
      </c>
    </row>
    <row r="4" spans="1:6" ht="30" customHeight="1" x14ac:dyDescent="0.3">
      <c r="A4" s="26" t="s">
        <v>114</v>
      </c>
      <c r="B4" s="26" t="s">
        <v>115</v>
      </c>
    </row>
    <row r="5" spans="1:6" ht="30" customHeight="1" x14ac:dyDescent="0.3">
      <c r="A5" s="26"/>
      <c r="B5" s="26" t="s">
        <v>116</v>
      </c>
    </row>
    <row r="6" spans="1:6" ht="30" customHeight="1" x14ac:dyDescent="0.3">
      <c r="A6" s="26"/>
      <c r="B6" s="26" t="s">
        <v>117</v>
      </c>
    </row>
    <row r="7" spans="1:6" ht="30" customHeight="1" x14ac:dyDescent="0.3">
      <c r="A7" s="26" t="s">
        <v>118</v>
      </c>
      <c r="B7" s="26" t="s">
        <v>119</v>
      </c>
    </row>
    <row r="8" spans="1:6" ht="30" customHeight="1" x14ac:dyDescent="0.3">
      <c r="A8" s="26" t="s">
        <v>120</v>
      </c>
      <c r="B8" s="26" t="s">
        <v>121</v>
      </c>
    </row>
    <row r="9" spans="1:6" ht="30" customHeight="1" x14ac:dyDescent="0.3">
      <c r="A9" s="27"/>
      <c r="B9" s="27"/>
    </row>
    <row r="10" spans="1:6" ht="30" customHeight="1" x14ac:dyDescent="0.3">
      <c r="A10" s="27" t="s">
        <v>122</v>
      </c>
      <c r="B10" s="27"/>
    </row>
    <row r="11" spans="1:6" ht="30" customHeight="1" x14ac:dyDescent="0.3">
      <c r="A11" s="26" t="s">
        <v>123</v>
      </c>
      <c r="B11" s="26" t="s">
        <v>124</v>
      </c>
    </row>
    <row r="12" spans="1:6" ht="30" customHeight="1" x14ac:dyDescent="0.3">
      <c r="A12" s="26" t="s">
        <v>125</v>
      </c>
      <c r="B12" s="26" t="s">
        <v>126</v>
      </c>
    </row>
    <row r="13" spans="1:6" ht="30" customHeight="1" x14ac:dyDescent="0.3">
      <c r="A13" s="26" t="s">
        <v>127</v>
      </c>
      <c r="B13" s="26" t="s">
        <v>128</v>
      </c>
    </row>
    <row r="14" spans="1:6" ht="30" customHeight="1" x14ac:dyDescent="0.3">
      <c r="A14" s="26" t="s">
        <v>129</v>
      </c>
      <c r="B14" s="26" t="s">
        <v>130</v>
      </c>
    </row>
    <row r="15" spans="1:6" ht="30" customHeight="1" x14ac:dyDescent="0.3">
      <c r="A15" s="26" t="s">
        <v>131</v>
      </c>
      <c r="B15" s="26" t="s">
        <v>132</v>
      </c>
    </row>
    <row r="16" spans="1:6" ht="30" customHeight="1" x14ac:dyDescent="0.3">
      <c r="A16" s="26" t="s">
        <v>133</v>
      </c>
      <c r="B16" s="26" t="s">
        <v>134</v>
      </c>
    </row>
    <row r="17" spans="1:2" ht="30" customHeight="1" x14ac:dyDescent="0.3">
      <c r="A17" s="26" t="s">
        <v>135</v>
      </c>
      <c r="B17" s="26" t="s">
        <v>136</v>
      </c>
    </row>
    <row r="18" spans="1:2" ht="30" customHeight="1" x14ac:dyDescent="0.3">
      <c r="A18" s="26" t="s">
        <v>137</v>
      </c>
      <c r="B18" s="26" t="s">
        <v>138</v>
      </c>
    </row>
    <row r="19" spans="1:2" ht="30" customHeight="1" x14ac:dyDescent="0.3">
      <c r="A19" s="26"/>
      <c r="B19" s="26"/>
    </row>
    <row r="20" spans="1:2" ht="30" customHeight="1" x14ac:dyDescent="0.3">
      <c r="A20" s="27" t="s">
        <v>139</v>
      </c>
      <c r="B20" s="27"/>
    </row>
    <row r="21" spans="1:2" ht="30" customHeight="1" x14ac:dyDescent="0.3">
      <c r="A21" s="26" t="s">
        <v>140</v>
      </c>
      <c r="B21" s="26" t="s">
        <v>141</v>
      </c>
    </row>
    <row r="22" spans="1:2" ht="30" customHeight="1" x14ac:dyDescent="0.3">
      <c r="A22" s="26" t="s">
        <v>142</v>
      </c>
      <c r="B22" s="26" t="s">
        <v>143</v>
      </c>
    </row>
    <row r="23" spans="1:2" ht="30" customHeight="1" x14ac:dyDescent="0.3">
      <c r="A23" s="26" t="s">
        <v>144</v>
      </c>
      <c r="B23" s="26" t="s">
        <v>145</v>
      </c>
    </row>
    <row r="24" spans="1:2" ht="30" customHeight="1" x14ac:dyDescent="0.3">
      <c r="A24" s="26" t="s">
        <v>146</v>
      </c>
      <c r="B24" s="26" t="s">
        <v>147</v>
      </c>
    </row>
    <row r="25" spans="1:2" ht="30" customHeight="1" x14ac:dyDescent="0.3">
      <c r="A25" s="26" t="s">
        <v>148</v>
      </c>
      <c r="B25" s="26" t="s">
        <v>149</v>
      </c>
    </row>
  </sheetData>
  <mergeCells count="1">
    <mergeCell ref="A1:F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dimension ref="A1:P56"/>
  <sheetViews>
    <sheetView workbookViewId="0">
      <selection activeCell="A1" sqref="A1"/>
    </sheetView>
  </sheetViews>
  <sheetFormatPr defaultRowHeight="15"/>
  <cols>
    <col min="1" max="1" width="13" customWidth="1"/>
    <col min="2" max="2" width="8" customWidth="1"/>
    <col min="3" max="3" width="9" customWidth="1"/>
    <col min="4" max="4" width="9" customWidth="1"/>
    <col min="5" max="5" width="20" customWidth="1"/>
    <col min="6" max="8" width="8" customWidth="1"/>
    <col min="9" max="9" width="9" customWidth="1"/>
    <col min="10" max="10" width="30" customWidth="1"/>
    <col min="11" max="11" width="12" customWidth="1"/>
    <col min="12" max="13" width="9" customWidth="1"/>
    <col min="14" max="14" width="9" customWidth="1"/>
    <col min="15" max="15" width="21" customWidth="1"/>
    <col min="16" max="16" width="11" customWidth="1"/>
  </cols>
  <sheetData>
    <row r="1" ht="22" customHeight="1">
      <c r="A1" s="1" t="inlineStr">
        <is>
          <t xml:space="preserve">SH vs ATM — Batch-to-Batch Comparison</t>
        </is>
      </c>
    </row>
    <row r="2" ht="58" customHeight="1">
      <c r="A2" s="2" t="inlineStr">
        <is>
          <t xml:space="preserve">Batches inspected on the slaughterhouse floor that also appear in the ATM (SAP) receipt data, matched on batch/lot number. 12 matched batches: 10 Martins pelvic 666541 + 2 Nahunta thoracic 666521. SH figures are floor samples; ATM figures are the full received quantity. 'ATM review' = scrap postings (movement 551); the lag column shows how long after the SH inspection the batch was revised at ATM.</t>
        </is>
      </c>
    </row>
    <row r="3"/>
    <row r="4" ht="18" customHeight="1">
      <c r="A4" s="3" t="inlineStr">
        <is>
          <t xml:space="preserve">BATCH-TO-BATCH: SH FLOOR vs ATM RECEIPT REVIEW</t>
        </is>
      </c>
    </row>
    <row r="5" ht="27" customHeight="1">
      <c r="A5" s="11" t="inlineStr">
        <is>
          <t xml:space="preserve">Batch / Lot</t>
        </is>
      </c>
      <c r="B5" s="11" t="inlineStr">
        <is>
          <t xml:space="preserve">Part</t>
        </is>
      </c>
      <c r="C5" s="11" t="inlineStr">
        <is>
          <t xml:space="preserve">Tissue</t>
        </is>
      </c>
      <c r="D5" s="11" t="inlineStr">
        <is>
          <t xml:space="preserve">SH site</t>
        </is>
      </c>
      <c r="E5" s="11" t="inlineStr">
        <is>
          <t xml:space="preserve">SH inspection dates</t>
        </is>
      </c>
      <c r="F5" s="11" t="inlineStr">
        <is>
          <t xml:space="preserve">SH # Insp</t>
        </is>
      </c>
      <c r="G5" s="11" t="inlineStr">
        <is>
          <t xml:space="preserve">SH # Pass</t>
        </is>
      </c>
      <c r="H5" s="11" t="inlineStr">
        <is>
          <t xml:space="preserve">SH # Fail</t>
        </is>
      </c>
      <c r="I5" s="11" t="inlineStr">
        <is>
          <t xml:space="preserve">SH FPY</t>
        </is>
      </c>
      <c r="J5" s="11" t="inlineStr">
        <is>
          <t xml:space="preserve">SH top defects</t>
        </is>
      </c>
      <c r="K5" s="11" t="inlineStr">
        <is>
          <t xml:space="preserve">ATM first receipt</t>
        </is>
      </c>
      <c r="L5" s="11" t="inlineStr">
        <is>
          <t xml:space="preserve">ATM # Recv</t>
        </is>
      </c>
      <c r="M5" s="11" t="inlineStr">
        <is>
          <t xml:space="preserve">ATM # Scrap</t>
        </is>
      </c>
      <c r="N5" s="11" t="inlineStr">
        <is>
          <t xml:space="preserve">ATM Scrap %</t>
        </is>
      </c>
      <c r="O5" s="11" t="inlineStr">
        <is>
          <t xml:space="preserve">ATM review window</t>
        </is>
      </c>
      <c r="P5" s="11" t="inlineStr">
        <is>
          <t xml:space="preserve">Days SH → ATM review</t>
        </is>
      </c>
    </row>
    <row r="6" ht="27" customHeight="1">
      <c r="A6" s="5" t="inlineStr">
        <is>
          <t xml:space="preserve">5502378434</t>
        </is>
      </c>
      <c r="B6" s="5" t="inlineStr">
        <is>
          <t xml:space="preserve">666541</t>
        </is>
      </c>
      <c r="C6" s="5" t="inlineStr">
        <is>
          <t xml:space="preserve">Pelvic</t>
        </is>
      </c>
      <c r="D6" s="5" t="inlineStr">
        <is>
          <t xml:space="preserve">Martins</t>
        </is>
      </c>
      <c r="E6" s="5" t="inlineStr">
        <is>
          <t xml:space="preserve">04-13, 04-15</t>
        </is>
      </c>
      <c r="F6" s="6" t="n">
        <v>65</v>
      </c>
      <c r="G6" s="6" t="n">
        <v>60</v>
      </c>
      <c r="H6" s="6" t="n">
        <v>5</v>
      </c>
      <c r="I6" s="15" t="n">
        <v>0.9231</v>
      </c>
      <c r="J6" s="16" t="inlineStr">
        <is>
          <t xml:space="preserve">Urethra (2), Other (2), Bowel damage (1)</t>
        </is>
      </c>
      <c r="K6" s="5" t="inlineStr">
        <is>
          <t xml:space="preserve">2026-04-02</t>
        </is>
      </c>
      <c r="L6" s="6" t="n">
        <v>542</v>
      </c>
      <c r="M6" s="6" t="n">
        <v>24</v>
      </c>
      <c r="N6" s="15" t="n">
        <v>0.0443</v>
      </c>
      <c r="O6" s="5" t="inlineStr">
        <is>
          <t xml:space="preserve">2026-05-01 → 2026-05-13</t>
        </is>
      </c>
      <c r="P6" s="6" t="n">
        <v>18</v>
      </c>
    </row>
    <row r="7" ht="27" customHeight="1">
      <c r="A7" s="5" t="inlineStr">
        <is>
          <t xml:space="preserve">5502391862</t>
        </is>
      </c>
      <c r="B7" s="5" t="inlineStr">
        <is>
          <t xml:space="preserve">666541</t>
        </is>
      </c>
      <c r="C7" s="5" t="inlineStr">
        <is>
          <t xml:space="preserve">Pelvic</t>
        </is>
      </c>
      <c r="D7" s="5" t="inlineStr">
        <is>
          <t xml:space="preserve">Martins</t>
        </is>
      </c>
      <c r="E7" s="5" t="inlineStr">
        <is>
          <t xml:space="preserve">04-20, 04-22</t>
        </is>
      </c>
      <c r="F7" s="6" t="n">
        <v>57</v>
      </c>
      <c r="G7" s="6" t="n">
        <v>56</v>
      </c>
      <c r="H7" s="6" t="n">
        <v>1</v>
      </c>
      <c r="I7" s="15" t="n">
        <v>0.9825</v>
      </c>
      <c r="J7" s="16" t="inlineStr">
        <is>
          <t xml:space="preserve">Bowel damage (1)</t>
        </is>
      </c>
      <c r="K7" s="5" t="inlineStr">
        <is>
          <t xml:space="preserve">2026-04-16</t>
        </is>
      </c>
      <c r="L7" s="6" t="n">
        <v>423</v>
      </c>
      <c r="M7" s="6" t="n">
        <v>7</v>
      </c>
      <c r="N7" s="15" t="n">
        <v>0.0165</v>
      </c>
      <c r="O7" s="5" t="inlineStr">
        <is>
          <t xml:space="preserve">2026-05-21 → 2026-05-21</t>
        </is>
      </c>
      <c r="P7" s="6" t="n">
        <v>31</v>
      </c>
    </row>
    <row r="8" ht="27" customHeight="1">
      <c r="A8" s="5" t="inlineStr">
        <is>
          <t xml:space="preserve">5502404928</t>
        </is>
      </c>
      <c r="B8" s="5" t="inlineStr">
        <is>
          <t xml:space="preserve">666541</t>
        </is>
      </c>
      <c r="C8" s="5" t="inlineStr">
        <is>
          <t xml:space="preserve">Pelvic</t>
        </is>
      </c>
      <c r="D8" s="5" t="inlineStr">
        <is>
          <t xml:space="preserve">Martins</t>
        </is>
      </c>
      <c r="E8" s="5" t="inlineStr">
        <is>
          <t xml:space="preserve">05-04, 05-06</t>
        </is>
      </c>
      <c r="F8" s="6" t="n">
        <v>62</v>
      </c>
      <c r="G8" s="6" t="n">
        <v>58</v>
      </c>
      <c r="H8" s="6" t="n">
        <v>4</v>
      </c>
      <c r="I8" s="15" t="n">
        <v>0.9355</v>
      </c>
      <c r="J8" s="16" t="inlineStr">
        <is>
          <t xml:space="preserve">Urethra (4)</t>
        </is>
      </c>
      <c r="K8" s="5" t="inlineStr">
        <is>
          <t xml:space="preserve">2026-04-29</t>
        </is>
      </c>
      <c r="L8" s="6" t="n">
        <v>347</v>
      </c>
      <c r="M8" s="6" t="n">
        <v>22</v>
      </c>
      <c r="N8" s="15" t="n">
        <v>0.0634</v>
      </c>
      <c r="O8" s="5" t="inlineStr">
        <is>
          <t xml:space="preserve">2026-05-29 → 2026-07-30</t>
        </is>
      </c>
      <c r="P8" s="6" t="n">
        <v>25</v>
      </c>
    </row>
    <row r="9" ht="27" customHeight="1">
      <c r="A9" s="5" t="inlineStr">
        <is>
          <t xml:space="preserve">5502421192</t>
        </is>
      </c>
      <c r="B9" s="5" t="inlineStr">
        <is>
          <t xml:space="preserve">666541</t>
        </is>
      </c>
      <c r="C9" s="5" t="inlineStr">
        <is>
          <t xml:space="preserve">Pelvic</t>
        </is>
      </c>
      <c r="D9" s="5" t="inlineStr">
        <is>
          <t xml:space="preserve">Martins</t>
        </is>
      </c>
      <c r="E9" s="5" t="inlineStr">
        <is>
          <t xml:space="preserve">05-18, 05-21, 05-27</t>
        </is>
      </c>
      <c r="F9" s="6" t="n">
        <v>132</v>
      </c>
      <c r="G9" s="6" t="n">
        <v>123</v>
      </c>
      <c r="H9" s="6" t="n">
        <v>9</v>
      </c>
      <c r="I9" s="15" t="n">
        <v>0.9318</v>
      </c>
      <c r="J9" s="16" t="inlineStr">
        <is>
          <t xml:space="preserve">Urethra (5), Membrane damage (2), Short block (1)</t>
        </is>
      </c>
      <c r="K9" s="5" t="inlineStr">
        <is>
          <t xml:space="preserve">2026-05-13</t>
        </is>
      </c>
      <c r="L9" s="6" t="n">
        <v>367</v>
      </c>
      <c r="M9" s="6" t="n">
        <v>24</v>
      </c>
      <c r="N9" s="15" t="n">
        <v>0.0654</v>
      </c>
      <c r="O9" s="5" t="inlineStr">
        <is>
          <t xml:space="preserve">2026-06-03 → 2026-06-18</t>
        </is>
      </c>
      <c r="P9" s="6" t="n">
        <v>16</v>
      </c>
    </row>
    <row r="10" ht="27" customHeight="1">
      <c r="A10" s="5" t="inlineStr">
        <is>
          <t xml:space="preserve">5502428786</t>
        </is>
      </c>
      <c r="B10" s="5" t="inlineStr">
        <is>
          <t xml:space="preserve">666541</t>
        </is>
      </c>
      <c r="C10" s="5" t="inlineStr">
        <is>
          <t xml:space="preserve">Pelvic</t>
        </is>
      </c>
      <c r="D10" s="5" t="inlineStr">
        <is>
          <t xml:space="preserve">Martins</t>
        </is>
      </c>
      <c r="E10" s="5" t="inlineStr">
        <is>
          <t xml:space="preserve">06-01, 06-03, 06-08</t>
        </is>
      </c>
      <c r="F10" s="6" t="n">
        <v>71</v>
      </c>
      <c r="G10" s="6" t="n">
        <v>68</v>
      </c>
      <c r="H10" s="6" t="n">
        <v>3</v>
      </c>
      <c r="I10" s="15" t="n">
        <v>0.9577</v>
      </c>
      <c r="J10" s="16" t="inlineStr">
        <is>
          <t xml:space="preserve">Urethra (3)</t>
        </is>
      </c>
      <c r="K10" s="5" t="inlineStr">
        <is>
          <t xml:space="preserve">2026-05-20</t>
        </is>
      </c>
      <c r="L10" s="6" t="n">
        <v>246</v>
      </c>
      <c r="M10" s="6" t="n">
        <v>7</v>
      </c>
      <c r="N10" s="15" t="n">
        <v>0.0285</v>
      </c>
      <c r="O10" s="5" t="inlineStr">
        <is>
          <t xml:space="preserve">2026-06-18 → 2026-06-24</t>
        </is>
      </c>
      <c r="P10" s="6" t="n">
        <v>17</v>
      </c>
    </row>
    <row r="11" ht="27" customHeight="1">
      <c r="A11" s="5" t="inlineStr">
        <is>
          <t xml:space="preserve">5502462845</t>
        </is>
      </c>
      <c r="B11" s="5" t="inlineStr">
        <is>
          <t xml:space="preserve">666541</t>
        </is>
      </c>
      <c r="C11" s="5" t="inlineStr">
        <is>
          <t xml:space="preserve">Pelvic</t>
        </is>
      </c>
      <c r="D11" s="5" t="inlineStr">
        <is>
          <t xml:space="preserve">Martins</t>
        </is>
      </c>
      <c r="E11" s="5" t="inlineStr">
        <is>
          <t xml:space="preserve">06-15, 06-24</t>
        </is>
      </c>
      <c r="F11" s="6" t="n">
        <v>65</v>
      </c>
      <c r="G11" s="6" t="n">
        <v>60</v>
      </c>
      <c r="H11" s="6" t="n">
        <v>5</v>
      </c>
      <c r="I11" s="15" t="n">
        <v>0.9231</v>
      </c>
      <c r="J11" s="16" t="inlineStr">
        <is>
          <t xml:space="preserve">Membrane damage (3), Bowel damage (1), Urethra (1)</t>
        </is>
      </c>
      <c r="K11" s="5" t="inlineStr">
        <is>
          <t xml:space="preserve">2026-06-10</t>
        </is>
      </c>
      <c r="L11" s="6" t="n">
        <v>270</v>
      </c>
      <c r="M11" s="6" t="n">
        <v>13</v>
      </c>
      <c r="N11" s="15" t="n">
        <v>0.0481</v>
      </c>
      <c r="O11" s="5" t="inlineStr">
        <is>
          <t xml:space="preserve">2026-06-30 → 2026-07-09</t>
        </is>
      </c>
      <c r="P11" s="6" t="n">
        <v>15</v>
      </c>
    </row>
    <row r="12" ht="27" customHeight="1">
      <c r="A12" s="5" t="inlineStr">
        <is>
          <t xml:space="preserve">5502471460</t>
        </is>
      </c>
      <c r="B12" s="5" t="inlineStr">
        <is>
          <t xml:space="preserve">666541</t>
        </is>
      </c>
      <c r="C12" s="5" t="inlineStr">
        <is>
          <t xml:space="preserve">Pelvic</t>
        </is>
      </c>
      <c r="D12" s="5" t="inlineStr">
        <is>
          <t xml:space="preserve">Martins</t>
        </is>
      </c>
      <c r="E12" s="5" t="inlineStr">
        <is>
          <t xml:space="preserve">06-29, 07-06</t>
        </is>
      </c>
      <c r="F12" s="6" t="n">
        <v>28</v>
      </c>
      <c r="G12" s="6" t="n">
        <v>27</v>
      </c>
      <c r="H12" s="6" t="n">
        <v>1</v>
      </c>
      <c r="I12" s="15" t="n">
        <v>0.9643</v>
      </c>
      <c r="J12" s="16" t="inlineStr">
        <is>
          <t xml:space="preserve">Urethra (1)</t>
        </is>
      </c>
      <c r="K12" s="5" t="inlineStr">
        <is>
          <t xml:space="preserve">2026-06-17</t>
        </is>
      </c>
      <c r="L12" s="6" t="n">
        <v>267</v>
      </c>
      <c r="M12" s="6" t="n">
        <v>30</v>
      </c>
      <c r="N12" s="15" t="n">
        <v>0.1124</v>
      </c>
      <c r="O12" s="5" t="inlineStr">
        <is>
          <t xml:space="preserve">2026-07-09 → 2026-08-06</t>
        </is>
      </c>
      <c r="P12" s="6" t="n">
        <v>10</v>
      </c>
    </row>
    <row r="13" ht="27" customHeight="1">
      <c r="A13" s="5" t="inlineStr">
        <is>
          <t xml:space="preserve">5502495107</t>
        </is>
      </c>
      <c r="B13" s="5" t="inlineStr">
        <is>
          <t xml:space="preserve">666541</t>
        </is>
      </c>
      <c r="C13" s="5" t="inlineStr">
        <is>
          <t xml:space="preserve">Pelvic</t>
        </is>
      </c>
      <c r="D13" s="5" t="inlineStr">
        <is>
          <t xml:space="preserve">Martins</t>
        </is>
      </c>
      <c r="E13" s="5" t="inlineStr">
        <is>
          <t xml:space="preserve">07-13, 07-20</t>
        </is>
      </c>
      <c r="F13" s="6" t="n">
        <v>103</v>
      </c>
      <c r="G13" s="6" t="n">
        <v>99</v>
      </c>
      <c r="H13" s="6" t="n">
        <v>4</v>
      </c>
      <c r="I13" s="15" t="n">
        <v>0.9612</v>
      </c>
      <c r="J13" s="16" t="inlineStr">
        <is>
          <t xml:space="preserve">Urethra (2), Membrane damage (1), Other (1)</t>
        </is>
      </c>
      <c r="K13" s="5" t="inlineStr">
        <is>
          <t xml:space="preserve">2026-07-08</t>
        </is>
      </c>
      <c r="L13" s="6" t="n">
        <v>309</v>
      </c>
      <c r="M13" s="6" t="n">
        <v>9</v>
      </c>
      <c r="N13" s="15" t="n">
        <v>0.0291</v>
      </c>
      <c r="O13" s="5" t="inlineStr">
        <is>
          <t xml:space="preserve">2026-07-30 → 2026-08-12</t>
        </is>
      </c>
      <c r="P13" s="6" t="n">
        <v>17</v>
      </c>
    </row>
    <row r="14" ht="27" customHeight="1">
      <c r="A14" s="5" t="inlineStr">
        <is>
          <t xml:space="preserve">5502512228</t>
        </is>
      </c>
      <c r="B14" s="5" t="inlineStr">
        <is>
          <t xml:space="preserve">666541</t>
        </is>
      </c>
      <c r="C14" s="5" t="inlineStr">
        <is>
          <t xml:space="preserve">Pelvic</t>
        </is>
      </c>
      <c r="D14" s="5" t="inlineStr">
        <is>
          <t xml:space="preserve">Martins</t>
        </is>
      </c>
      <c r="E14" s="5" t="inlineStr">
        <is>
          <t xml:space="preserve">07-27, 08-03, 08-05</t>
        </is>
      </c>
      <c r="F14" s="6" t="n">
        <v>125</v>
      </c>
      <c r="G14" s="6" t="n">
        <v>122</v>
      </c>
      <c r="H14" s="6" t="n">
        <v>3</v>
      </c>
      <c r="I14" s="15" t="n">
        <v>0.976</v>
      </c>
      <c r="J14" s="16" t="inlineStr">
        <is>
          <t xml:space="preserve">Membrane damage (2), Bowel damage (1)</t>
        </is>
      </c>
      <c r="K14" s="5" t="inlineStr">
        <is>
          <t xml:space="preserve">2026-07-27</t>
        </is>
      </c>
      <c r="L14" s="6" t="n">
        <v>431</v>
      </c>
      <c r="M14" s="6" t="n">
        <v>7</v>
      </c>
      <c r="N14" s="15" t="n">
        <v>0.0162</v>
      </c>
      <c r="O14" s="5" t="inlineStr">
        <is>
          <t xml:space="preserve">2026-08-18 → 2026-08-19</t>
        </is>
      </c>
      <c r="P14" s="6" t="n">
        <v>22</v>
      </c>
    </row>
    <row r="15" ht="27" customHeight="1">
      <c r="A15" s="5" t="inlineStr">
        <is>
          <t xml:space="preserve">5502523269</t>
        </is>
      </c>
      <c r="B15" s="5" t="inlineStr">
        <is>
          <t xml:space="preserve">666541</t>
        </is>
      </c>
      <c r="C15" s="5" t="inlineStr">
        <is>
          <t xml:space="preserve">Pelvic</t>
        </is>
      </c>
      <c r="D15" s="5" t="inlineStr">
        <is>
          <t xml:space="preserve">Martins</t>
        </is>
      </c>
      <c r="E15" s="5" t="inlineStr">
        <is>
          <t xml:space="preserve">08-10, 08-17</t>
        </is>
      </c>
      <c r="F15" s="6" t="n">
        <v>58</v>
      </c>
      <c r="G15" s="6" t="n">
        <v>55</v>
      </c>
      <c r="H15" s="6" t="n">
        <v>3</v>
      </c>
      <c r="I15" s="15" t="n">
        <v>0.9483</v>
      </c>
      <c r="J15" s="16" t="inlineStr">
        <is>
          <t xml:space="preserve">Urethra (2), Bowel damage (1)</t>
        </is>
      </c>
      <c r="K15" s="5" t="inlineStr">
        <is>
          <t xml:space="preserve">2026-08-05</t>
        </is>
      </c>
      <c r="L15" s="6" t="n">
        <v>316</v>
      </c>
      <c r="M15" s="6" t="n">
        <v>0</v>
      </c>
      <c r="N15" s="15" t="n">
        <v>0.0</v>
      </c>
      <c r="O15" s="5" t="inlineStr">
        <is>
          <t xml:space="preserve">not yet reviewed</t>
        </is>
      </c>
      <c r="P15" s="5" t="inlineStr">
        <is>
          <t xml:space="preserve">—</t>
        </is>
      </c>
    </row>
    <row r="16" ht="27" customHeight="1">
      <c r="A16" s="5" t="inlineStr">
        <is>
          <t xml:space="preserve">5502512218</t>
        </is>
      </c>
      <c r="B16" s="5" t="inlineStr">
        <is>
          <t xml:space="preserve">666521</t>
        </is>
      </c>
      <c r="C16" s="5" t="inlineStr">
        <is>
          <t xml:space="preserve">Thoracic</t>
        </is>
      </c>
      <c r="D16" s="5" t="inlineStr">
        <is>
          <t xml:space="preserve">Nahunta</t>
        </is>
      </c>
      <c r="E16" s="5" t="inlineStr">
        <is>
          <t xml:space="preserve">07-29, 08-05</t>
        </is>
      </c>
      <c r="F16" s="6" t="n">
        <v>34</v>
      </c>
      <c r="G16" s="6" t="n">
        <v>6</v>
      </c>
      <c r="H16" s="6" t="n">
        <v>28</v>
      </c>
      <c r="I16" s="15" t="n">
        <v>0.1765</v>
      </c>
      <c r="J16" s="16" t="inlineStr">
        <is>
          <t xml:space="preserve">Lung laceration (22), Heart damage (6)</t>
        </is>
      </c>
      <c r="K16" s="5" t="inlineStr">
        <is>
          <t xml:space="preserve">2026-07-23</t>
        </is>
      </c>
      <c r="L16" s="6" t="n">
        <v>24</v>
      </c>
      <c r="M16" s="6" t="n">
        <v>8</v>
      </c>
      <c r="N16" s="15" t="n">
        <v>0.3333</v>
      </c>
      <c r="O16" s="5" t="inlineStr">
        <is>
          <t xml:space="preserve">2026-08-17 → 2026-08-17</t>
        </is>
      </c>
      <c r="P16" s="6" t="n">
        <v>19</v>
      </c>
    </row>
    <row r="17" ht="27" customHeight="1">
      <c r="A17" s="5" t="inlineStr">
        <is>
          <t xml:space="preserve">5502523283</t>
        </is>
      </c>
      <c r="B17" s="5" t="inlineStr">
        <is>
          <t xml:space="preserve">666521</t>
        </is>
      </c>
      <c r="C17" s="5" t="inlineStr">
        <is>
          <t xml:space="preserve">Thoracic</t>
        </is>
      </c>
      <c r="D17" s="5" t="inlineStr">
        <is>
          <t xml:space="preserve">Nahunta</t>
        </is>
      </c>
      <c r="E17" s="5" t="inlineStr">
        <is>
          <t xml:space="preserve">08-12, 08-19</t>
        </is>
      </c>
      <c r="F17" s="6" t="n">
        <v>42</v>
      </c>
      <c r="G17" s="6" t="n">
        <v>8</v>
      </c>
      <c r="H17" s="6" t="n">
        <v>34</v>
      </c>
      <c r="I17" s="15" t="n">
        <v>0.1905</v>
      </c>
      <c r="J17" s="16" t="inlineStr">
        <is>
          <t xml:space="preserve">Lung laceration (20), Heart damage (15)</t>
        </is>
      </c>
      <c r="K17" s="5" t="inlineStr">
        <is>
          <t xml:space="preserve">2026-08-05</t>
        </is>
      </c>
      <c r="L17" s="6" t="n">
        <v>17</v>
      </c>
      <c r="M17" s="6" t="n">
        <v>0</v>
      </c>
      <c r="N17" s="15" t="n">
        <v>0.0</v>
      </c>
      <c r="O17" s="5" t="inlineStr">
        <is>
          <t xml:space="preserve">not yet reviewed</t>
        </is>
      </c>
      <c r="P17" s="5" t="inlineStr">
        <is>
          <t xml:space="preserve">—</t>
        </is>
      </c>
    </row>
    <row r="18"/>
    <row r="19" ht="18" customHeight="1">
      <c r="A19" s="3" t="inlineStr">
        <is>
          <t xml:space="preserve">ATM SCRAP REASONS BY BATCH (units, net of reversals)</t>
        </is>
      </c>
    </row>
    <row r="20" ht="40" customHeight="1">
      <c r="A20" s="11" t="inlineStr">
        <is>
          <t xml:space="preserve">Batch / Lot</t>
        </is>
      </c>
      <c r="B20" s="11" t="inlineStr">
        <is>
          <t xml:space="preserve">9972 Laceration/Cut</t>
        </is>
      </c>
      <c r="C20" s="11" t="inlineStr">
        <is>
          <t xml:space="preserve">9976 Spoilage</t>
        </is>
      </c>
      <c r="D20" s="11" t="inlineStr">
        <is>
          <t xml:space="preserve">9983 Incorrect Dimensions</t>
        </is>
      </c>
      <c r="E20" s="11" t="inlineStr">
        <is>
          <t xml:space="preserve">9986 Bladder Length</t>
        </is>
      </c>
      <c r="F20" s="11" t="inlineStr">
        <is>
          <t xml:space="preserve">9987 Blood Clots</t>
        </is>
      </c>
      <c r="G20" s="11" t="inlineStr">
        <is>
          <t xml:space="preserve">9988 Exposed Urethra</t>
        </is>
      </c>
      <c r="H20" s="11" t="inlineStr">
        <is>
          <t xml:space="preserve">9991 R&amp;D/Testing</t>
        </is>
      </c>
      <c r="I20" s="11" t="inlineStr">
        <is>
          <t xml:space="preserve">1220 Destructive Testing (eng/R&amp;D)</t>
        </is>
      </c>
      <c r="J20" s="11" t="inlineStr">
        <is>
          <t xml:space="preserve">Total</t>
        </is>
      </c>
    </row>
    <row r="21">
      <c r="A21" s="5" t="inlineStr">
        <is>
          <t xml:space="preserve">5502378434</t>
        </is>
      </c>
      <c r="B21" s="6" t="n">
        <v>17</v>
      </c>
      <c r="C21" s="6" t="n">
        <v>1</v>
      </c>
      <c r="E21" s="6" t="n">
        <v>2</v>
      </c>
      <c r="F21" s="6" t="n">
        <v>4</v>
      </c>
      <c r="J21" s="6" t="n">
        <v>24</v>
      </c>
    </row>
    <row r="22">
      <c r="A22" s="5" t="inlineStr">
        <is>
          <t xml:space="preserve">5502391862</t>
        </is>
      </c>
      <c r="B22" s="6" t="n">
        <v>7</v>
      </c>
      <c r="J22" s="6" t="n">
        <v>7</v>
      </c>
    </row>
    <row r="23">
      <c r="A23" s="5" t="inlineStr">
        <is>
          <t xml:space="preserve">5502404928</t>
        </is>
      </c>
      <c r="B23" s="6" t="n">
        <v>12</v>
      </c>
      <c r="H23" s="6" t="n">
        <v>10</v>
      </c>
      <c r="J23" s="6" t="n">
        <v>22</v>
      </c>
    </row>
    <row r="24">
      <c r="A24" s="5" t="inlineStr">
        <is>
          <t xml:space="preserve">5502421192</t>
        </is>
      </c>
      <c r="B24" s="6" t="n">
        <v>21</v>
      </c>
      <c r="G24" s="6" t="n">
        <v>3</v>
      </c>
      <c r="J24" s="6" t="n">
        <v>24</v>
      </c>
    </row>
    <row r="25">
      <c r="A25" s="5" t="inlineStr">
        <is>
          <t xml:space="preserve">5502428786</t>
        </is>
      </c>
      <c r="B25" s="6" t="n">
        <v>2</v>
      </c>
      <c r="G25" s="6" t="n">
        <v>5</v>
      </c>
      <c r="J25" s="6" t="n">
        <v>7</v>
      </c>
    </row>
    <row r="26">
      <c r="A26" s="5" t="inlineStr">
        <is>
          <t xml:space="preserve">5502462845</t>
        </is>
      </c>
      <c r="B26" s="6" t="n">
        <v>10</v>
      </c>
      <c r="D26" s="6" t="n">
        <v>1</v>
      </c>
      <c r="E26" s="6" t="n">
        <v>1</v>
      </c>
      <c r="G26" s="6" t="n">
        <v>1</v>
      </c>
      <c r="J26" s="6" t="n">
        <v>13</v>
      </c>
    </row>
    <row r="27">
      <c r="A27" s="5" t="inlineStr">
        <is>
          <t xml:space="preserve">5502471460</t>
        </is>
      </c>
      <c r="B27" s="6" t="n">
        <v>13</v>
      </c>
      <c r="C27" s="6" t="n">
        <v>1</v>
      </c>
      <c r="E27" s="6" t="n">
        <v>1</v>
      </c>
      <c r="F27" s="6" t="n">
        <v>9</v>
      </c>
      <c r="G27" s="6" t="n">
        <v>1</v>
      </c>
      <c r="I27" s="6" t="n">
        <v>5</v>
      </c>
      <c r="J27" s="6" t="n">
        <v>30</v>
      </c>
    </row>
    <row r="28">
      <c r="A28" s="5" t="inlineStr">
        <is>
          <t xml:space="preserve">5502495107</t>
        </is>
      </c>
      <c r="B28" s="6" t="n">
        <v>3</v>
      </c>
      <c r="G28" s="6" t="n">
        <v>6</v>
      </c>
      <c r="J28" s="6" t="n">
        <v>9</v>
      </c>
    </row>
    <row r="29">
      <c r="A29" s="5" t="inlineStr">
        <is>
          <t xml:space="preserve">5502512228</t>
        </is>
      </c>
      <c r="B29" s="6" t="n">
        <v>4</v>
      </c>
      <c r="E29" s="6" t="n">
        <v>3</v>
      </c>
      <c r="J29" s="6" t="n">
        <v>7</v>
      </c>
    </row>
    <row r="30">
      <c r="A30" s="5" t="inlineStr">
        <is>
          <t xml:space="preserve">5502512218</t>
        </is>
      </c>
      <c r="B30" s="6" t="n">
        <v>8</v>
      </c>
      <c r="J30" s="6" t="n">
        <v>8</v>
      </c>
    </row>
    <row r="31"/>
    <row r="32" ht="18" customHeight="1">
      <c r="A32" s="3" t="inlineStr">
        <is>
          <t xml:space="preserve">ATM REASON-CODE LEGEND</t>
        </is>
      </c>
    </row>
    <row r="33">
      <c r="A33" s="5" t="inlineStr">
        <is>
          <t xml:space="preserve">1220</t>
        </is>
      </c>
      <c r="B33" s="16" t="inlineStr">
        <is>
          <t xml:space="preserve">Destructive Testing (eng/R&amp;D) ●</t>
        </is>
      </c>
      <c r="G33" s="5" t="inlineStr">
        <is>
          <t xml:space="preserve">9986</t>
        </is>
      </c>
      <c r="H33" s="16" t="inlineStr">
        <is>
          <t xml:space="preserve">Bladder Length ●</t>
        </is>
      </c>
    </row>
    <row r="34">
      <c r="A34" s="5" t="inlineStr">
        <is>
          <t xml:space="preserve">9972</t>
        </is>
      </c>
      <c r="B34" s="16" t="inlineStr">
        <is>
          <t xml:space="preserve">Laceration/Cut ●</t>
        </is>
      </c>
      <c r="G34" s="5" t="inlineStr">
        <is>
          <t xml:space="preserve">9987</t>
        </is>
      </c>
      <c r="H34" s="16" t="inlineStr">
        <is>
          <t xml:space="preserve">Blood Clots ●</t>
        </is>
      </c>
    </row>
    <row r="35">
      <c r="A35" s="5" t="inlineStr">
        <is>
          <t xml:space="preserve">9973</t>
        </is>
      </c>
      <c r="B35" s="16" t="inlineStr">
        <is>
          <t xml:space="preserve">Out of Spec</t>
        </is>
      </c>
      <c r="G35" s="5" t="inlineStr">
        <is>
          <t xml:space="preserve">9988</t>
        </is>
      </c>
      <c r="H35" s="16" t="inlineStr">
        <is>
          <t xml:space="preserve">Exposed Urethra ●</t>
        </is>
      </c>
    </row>
    <row r="36">
      <c r="A36" s="5" t="inlineStr">
        <is>
          <t xml:space="preserve">9974</t>
        </is>
      </c>
      <c r="B36" s="16" t="inlineStr">
        <is>
          <t xml:space="preserve">Membrane Too Small</t>
        </is>
      </c>
      <c r="G36" s="5" t="inlineStr">
        <is>
          <t xml:space="preserve">9989</t>
        </is>
      </c>
      <c r="H36" s="16" t="inlineStr">
        <is>
          <t xml:space="preserve">Expired Material</t>
        </is>
      </c>
    </row>
    <row r="37">
      <c r="A37" s="5" t="inlineStr">
        <is>
          <t xml:space="preserve">9975</t>
        </is>
      </c>
      <c r="B37" s="16" t="inlineStr">
        <is>
          <t xml:space="preserve">Reduced Lymph Node</t>
        </is>
      </c>
      <c r="G37" s="5" t="inlineStr">
        <is>
          <t xml:space="preserve">9990</t>
        </is>
      </c>
      <c r="H37" s="16" t="inlineStr">
        <is>
          <t xml:space="preserve">Loss of Traceability</t>
        </is>
      </c>
    </row>
    <row r="38">
      <c r="A38" s="5" t="inlineStr">
        <is>
          <t xml:space="preserve">9976</t>
        </is>
      </c>
      <c r="B38" s="16" t="inlineStr">
        <is>
          <t xml:space="preserve">Spoilage ●</t>
        </is>
      </c>
      <c r="G38" s="5" t="inlineStr">
        <is>
          <t xml:space="preserve">9991</t>
        </is>
      </c>
      <c r="H38" s="16" t="inlineStr">
        <is>
          <t xml:space="preserve">R&amp;D/Testing ●</t>
        </is>
      </c>
    </row>
    <row r="39">
      <c r="A39" s="5" t="inlineStr">
        <is>
          <t xml:space="preserve">9977</t>
        </is>
      </c>
      <c r="B39" s="16" t="inlineStr">
        <is>
          <t xml:space="preserve">Ureter Too Short</t>
        </is>
      </c>
      <c r="G39" s="5" t="inlineStr">
        <is>
          <t xml:space="preserve">9992</t>
        </is>
      </c>
      <c r="H39" s="16" t="inlineStr">
        <is>
          <t xml:space="preserve">Label Issue</t>
        </is>
      </c>
    </row>
    <row r="40">
      <c r="A40" s="5" t="inlineStr">
        <is>
          <t xml:space="preserve">9978</t>
        </is>
      </c>
      <c r="B40" s="16" t="inlineStr">
        <is>
          <t xml:space="preserve">Damage to Suspensory</t>
        </is>
      </c>
      <c r="G40" s="5" t="inlineStr">
        <is>
          <t xml:space="preserve">9993</t>
        </is>
      </c>
      <c r="H40" s="16" t="inlineStr">
        <is>
          <t xml:space="preserve">3X Refreeze</t>
        </is>
      </c>
    </row>
    <row r="41">
      <c r="A41" s="5" t="inlineStr">
        <is>
          <t xml:space="preserve">9979</t>
        </is>
      </c>
      <c r="B41" s="16" t="inlineStr">
        <is>
          <t xml:space="preserve">Damage to Broad Ligament</t>
        </is>
      </c>
      <c r="G41" s="5" t="inlineStr">
        <is>
          <t xml:space="preserve">9994</t>
        </is>
      </c>
      <c r="H41" s="16" t="inlineStr">
        <is>
          <t xml:space="preserve">Line Clearance</t>
        </is>
      </c>
    </row>
    <row r="42">
      <c r="A42" s="5" t="inlineStr">
        <is>
          <t xml:space="preserve">9980</t>
        </is>
      </c>
      <c r="B42" s="16" t="inlineStr">
        <is>
          <t xml:space="preserve">Overfilled Jejunum</t>
        </is>
      </c>
      <c r="G42" s="5" t="inlineStr">
        <is>
          <t xml:space="preserve">9995</t>
        </is>
      </c>
      <c r="H42" s="16" t="inlineStr">
        <is>
          <t xml:space="preserve">Received Damage</t>
        </is>
      </c>
    </row>
    <row r="43">
      <c r="A43" s="5" t="inlineStr">
        <is>
          <t xml:space="preserve">9981</t>
        </is>
      </c>
      <c r="B43" s="16" t="inlineStr">
        <is>
          <t xml:space="preserve">Incorrect Thickness</t>
        </is>
      </c>
      <c r="G43" s="5" t="inlineStr">
        <is>
          <t xml:space="preserve">9996</t>
        </is>
      </c>
      <c r="H43" s="16" t="inlineStr">
        <is>
          <t xml:space="preserve">Missing Anatomy</t>
        </is>
      </c>
    </row>
    <row r="44">
      <c r="A44" s="5" t="inlineStr">
        <is>
          <t xml:space="preserve">9982</t>
        </is>
      </c>
      <c r="B44" s="16" t="inlineStr">
        <is>
          <t xml:space="preserve">Incorrect Color</t>
        </is>
      </c>
      <c r="G44" s="5" t="inlineStr">
        <is>
          <t xml:space="preserve">9997</t>
        </is>
      </c>
      <c r="H44" s="16" t="inlineStr">
        <is>
          <t xml:space="preserve">Mesentery Damage</t>
        </is>
      </c>
    </row>
    <row r="45">
      <c r="A45" s="5" t="inlineStr">
        <is>
          <t xml:space="preserve">9983</t>
        </is>
      </c>
      <c r="B45" s="16" t="inlineStr">
        <is>
          <t xml:space="preserve">Incorrect Dimensions ●</t>
        </is>
      </c>
      <c r="G45" s="5" t="inlineStr">
        <is>
          <t xml:space="preserve">9998</t>
        </is>
      </c>
      <c r="H45" s="16" t="inlineStr">
        <is>
          <t xml:space="preserve">Urethra Damage</t>
        </is>
      </c>
    </row>
    <row r="46">
      <c r="A46" s="5" t="inlineStr">
        <is>
          <t xml:space="preserve">9984</t>
        </is>
      </c>
      <c r="B46" s="16" t="inlineStr">
        <is>
          <t xml:space="preserve">Partial Qty</t>
        </is>
      </c>
      <c r="G46" s="5" t="inlineStr">
        <is>
          <t xml:space="preserve">9999</t>
        </is>
      </c>
      <c r="H46" s="16" t="inlineStr">
        <is>
          <t xml:space="preserve">Bladder Damage</t>
        </is>
      </c>
    </row>
    <row r="47">
      <c r="A47" s="5" t="inlineStr">
        <is>
          <t xml:space="preserve">9985</t>
        </is>
      </c>
      <c r="B47" s="16" t="inlineStr">
        <is>
          <t xml:space="preserve">Tech Damaged</t>
        </is>
      </c>
    </row>
    <row r="48">
      <c r="A48" s="20" t="inlineStr">
        <is>
          <t xml:space="preserve">● = code appears in the matched batches above.</t>
        </is>
      </c>
    </row>
    <row r="49"/>
    <row r="50" ht="18" customHeight="1">
      <c r="A50" s="3" t="inlineStr">
        <is>
          <t xml:space="preserve">READ &amp; NOTES</t>
        </is>
      </c>
    </row>
    <row r="51" ht="44" customHeight="1">
      <c r="A51" s="20" t="inlineStr">
        <is>
          <t xml:space="preserve">• The stories align: ATM's dominant code 9972 Laceration/Cut (97 units across matched batches) mirrors the cut/laceration damage the SH floor flags upstream. Exposed Urethra (9988) and Bladder Length (9986) echo the SH urethra/bladder and short-block findings.</t>
        </is>
      </c>
    </row>
    <row r="52" ht="44" customHeight="1">
      <c r="A52" s="20" t="inlineStr">
        <is>
          <t xml:space="preserve">• Some defects only surface post-freeze: Blood Clots (9987, 13 units) and Spoilage (9976) are ATM-only finds — invisible at the SH floor. Conversely, SH catches and scraps fails before shipment, so ATM sees the survivors.</t>
        </is>
      </c>
    </row>
    <row r="53" ht="44" customHeight="1">
      <c r="A53" s="20" t="inlineStr">
        <is>
          <t xml:space="preserve">• Timing: ATM 'first receipt' can precede the SH visit because a batch number spans multiple harvest weeks and accumulates shipments (SH samples on the floor mid-stream). The meaningful lag is SH inspection → ATM scrap review: 10–31 days (median ≈ 17) on matched batches.</t>
        </is>
      </c>
    </row>
    <row r="54" ht="44" customHeight="1">
      <c r="A54" s="20" t="inlineStr">
        <is>
          <t xml:space="preserve">• Thoracic reality check: batch 5502512218 failed 82% at the SH floor and the survivors still scrapped 33% at ATM (all 9972) — reinforcing that thoracic damage is harvesting-side. Batch 5502523283 (received 8/05) shows no ATM review yet.</t>
        </is>
      </c>
    </row>
    <row r="55" ht="44" customHeight="1">
      <c r="A55" s="20" t="inlineStr">
        <is>
          <t xml:space="preserve">• Not linkable: 666506 (non-intact) is not tracked at ATM. Parks batches exist in the ATM data (supplier-tagged) but Parks SH tally sheets carry no batch numbers — start recording lot numbers on Parks sheets to extend this comparison.</t>
        </is>
      </c>
    </row>
    <row r="56" ht="44" customHeight="1">
      <c r="A56" s="20" t="inlineStr">
        <is>
          <t xml:space="preserve">• Caveats: code 1220 = Destructive Testing (engineering/R&amp;D use) — a planned withdrawal, not a quality defect (5 units, lot 5502471460); same for 9991 R&amp;D/Testing (10 units, lot 5502404928). Lot 5502523283 also carried a small Nahunta pelvic line at SH; the ATM batch is thoracic material only. Lot 5502523269 (received 8/05) has no scrap postings yet.</t>
        </is>
      </c>
    </row>
  </sheetData>
  <mergeCells count="42">
    <mergeCell ref="A1:P1"/>
    <mergeCell ref="A2:P2"/>
    <mergeCell ref="A4:P4"/>
    <mergeCell ref="A19:P19"/>
    <mergeCell ref="A32:P32"/>
    <mergeCell ref="B33:E33"/>
    <mergeCell ref="H33:K33"/>
    <mergeCell ref="B34:E34"/>
    <mergeCell ref="H34:K34"/>
    <mergeCell ref="B35:E35"/>
    <mergeCell ref="H35:K35"/>
    <mergeCell ref="B36:E36"/>
    <mergeCell ref="H36:K36"/>
    <mergeCell ref="B37:E37"/>
    <mergeCell ref="H37:K37"/>
    <mergeCell ref="B38:E38"/>
    <mergeCell ref="H38:K38"/>
    <mergeCell ref="B39:E39"/>
    <mergeCell ref="H39:K39"/>
    <mergeCell ref="B40:E40"/>
    <mergeCell ref="H40:K40"/>
    <mergeCell ref="B41:E41"/>
    <mergeCell ref="H41:K41"/>
    <mergeCell ref="B42:E42"/>
    <mergeCell ref="H42:K42"/>
    <mergeCell ref="B43:E43"/>
    <mergeCell ref="H43:K43"/>
    <mergeCell ref="B44:E44"/>
    <mergeCell ref="H44:K44"/>
    <mergeCell ref="B45:E45"/>
    <mergeCell ref="H45:K45"/>
    <mergeCell ref="B46:E46"/>
    <mergeCell ref="H46:K46"/>
    <mergeCell ref="B47:E47"/>
    <mergeCell ref="A48:P48"/>
    <mergeCell ref="A50:P50"/>
    <mergeCell ref="A51:P51"/>
    <mergeCell ref="A52:P52"/>
    <mergeCell ref="A53:P53"/>
    <mergeCell ref="A54:P54"/>
    <mergeCell ref="A55:P55"/>
    <mergeCell ref="A56:P56"/>
  </mergeCells>
  <conditionalFormatting sqref="I6:I17">
    <cfRule type="colorScale" priority="1">
      <colorScale>
        <cfvo type="num" val="0.3"/>
        <cfvo type="num" val="0.8"/>
        <cfvo type="num" val="1"/>
        <color rgb="FFF8696B"/>
        <color rgb="FFFFEB84"/>
        <color rgb="FF63BE7B"/>
      </colorScale>
    </cfRule>
  </conditionalFormatting>
  <conditionalFormatting sqref="N6:N17">
    <cfRule type="colorScale" priority="2">
      <colorScale>
        <cfvo type="num" val="0"/>
        <cfvo type="num" val="0.1"/>
        <cfvo type="num" val="0.35"/>
        <color rgb="FF63BE7B"/>
        <color rgb="FFFFEB84"/>
        <color rgb="FFF8696B"/>
      </colorScale>
    </cfRule>
  </conditionalFormatting>
  <conditionalFormatting sqref="B21:I30">
    <cfRule type="dataBar" priority="3">
      <dataBar>
        <cfvo type="min"/>
        <cfvo type="max"/>
        <color rgb="FF638EC6"/>
      </dataBar>
    </cfRule>
  </conditionalFormatting>
  <pageMargins left="0.5" right="0.5" top="0.6" bottom="0.6" header="0.3" footer="0.3"/>
</worksheet>
</file>

<file path=xl/worksheets/sheet13.xml><?xml version="1.0" encoding="utf-8"?>
<worksheet xmlns="http://schemas.openxmlformats.org/spreadsheetml/2006/main" xmlns:r="http://schemas.openxmlformats.org/officeDocument/2006/relationships">
  <dimension ref="A1:L40"/>
  <sheetViews>
    <sheetView workbookViewId="0">
      <selection activeCell="A1" sqref="A1"/>
    </sheetView>
  </sheetViews>
  <sheetFormatPr defaultRowHeight="15"/>
  <cols>
    <col min="1" max="3" width="11" customWidth="1"/>
    <col min="4" max="4" width="10" customWidth="1"/>
    <col min="5" max="5" width="9" customWidth="1"/>
    <col min="6" max="6" width="3" customWidth="1"/>
    <col min="7" max="9" width="11" customWidth="1"/>
    <col min="10" max="10" width="10" customWidth="1"/>
    <col min="11" max="11" width="9" customWidth="1"/>
    <col min="12" max="12" width="10" customWidth="1"/>
  </cols>
  <sheetData>
    <row r="1" ht="22" customHeight="1">
      <c r="A1" s="1" t="inlineStr">
        <is>
          <t xml:space="preserve">SH Issues vs ATM Issues — by Tissue (date-filterable)</t>
        </is>
      </c>
    </row>
    <row r="2" ht="72" customHeight="1">
      <c r="A2" s="2" t="inlineStr">
        <is>
          <t xml:space="preserve">What fails at the slaughterhouse floor vs what gets scrapped at ATM, per tissue, for the date window you choose below. SH side: analyst-categorized scrap reasons (pelvic = parts 666541/666506/666518; thoracic = 666521; program began Apr 2026). ATM side: SAP reason codes net of reversals (pelvic 666541 from Jan 2026; thoracic 666521 from Jul 2024). Only codes with a confirmed legend are included — unmapped legacy codes (4/5/1, 191 thoracic units in 2024–25) are excluded per Quality. * = planned/process withdrawal, not a harvest-quality defect.</t>
        </is>
      </c>
    </row>
    <row r="3"/>
    <row r="4" ht="20" customHeight="1">
      <c r="A4" s="3" t="inlineStr">
        <is>
          <t xml:space="preserve">Filter — From:</t>
        </is>
      </c>
      <c r="B4" s="48" t="n">
        <v>45474</v>
      </c>
      <c r="C4" s="3" t="inlineStr">
        <is>
          <t xml:space="preserve">To:</t>
        </is>
      </c>
      <c r="D4" s="48" t="n">
        <v>46387</v>
      </c>
      <c r="F4" s="20" t="inlineStr">
        <is>
          <t xml:space="preserve">← Edit these two dates (yellow cells). Every unit count, %, total and data bar below recalculates to the window.</t>
        </is>
      </c>
    </row>
    <row r="5"/>
    <row r="6" ht="18" customHeight="1">
      <c r="A6" s="3" t="inlineStr">
        <is>
          <t xml:space="preserve">PELVIC  —  SH floor (left)  vs  ATM receipt (right)</t>
        </is>
      </c>
    </row>
    <row r="7">
      <c r="A7" s="11" t="inlineStr">
        <is>
          <t xml:space="preserve">SH issue category</t>
        </is>
      </c>
      <c r="D7" s="11" t="inlineStr">
        <is>
          <t xml:space="preserve">Units</t>
        </is>
      </c>
      <c r="E7" s="11" t="inlineStr">
        <is>
          <t xml:space="preserve">% of SH</t>
        </is>
      </c>
      <c r="G7" s="11" t="inlineStr">
        <is>
          <t xml:space="preserve">ATM code · reason</t>
        </is>
      </c>
      <c r="J7" s="11" t="inlineStr">
        <is>
          <t xml:space="preserve">Units</t>
        </is>
      </c>
      <c r="K7" s="11" t="inlineStr">
        <is>
          <t xml:space="preserve">% of ATM</t>
        </is>
      </c>
    </row>
    <row r="8">
      <c r="A8" s="5" t="inlineStr">
        <is>
          <t xml:space="preserve">Urethra / bladder damage</t>
        </is>
      </c>
      <c r="D8" s="6" t="n">
        <f aca="false">SUMIFS('Issue Data'!$E:$E,'Issue Data'!$A:$A,"SH",'Issue Data'!$C:$C,"Pelvic",'Issue Data'!$B:$B,"&gt;="&amp;$B$4,'Issue Data'!$B:$B,"&lt;="&amp;$D$4,'Issue Data'!$D:$D,$A8)</f>
      </c>
      <c r="E8" s="15" t="n">
        <f aca="false">IFERROR(D8/D$19,"")</f>
      </c>
      <c r="G8" s="5" t="inlineStr">
        <is>
          <t xml:space="preserve">9972 · Laceration/Cut</t>
        </is>
      </c>
      <c r="J8" s="6" t="n">
        <f aca="false">SUMIFS('Issue Data'!$E:$E,'Issue Data'!$A:$A,"ATM",'Issue Data'!$C:$C,"Pelvic",'Issue Data'!$B:$B,"&gt;="&amp;$B$4,'Issue Data'!$B:$B,"&lt;="&amp;$D$4,'Issue Data'!$D:$D,IF(RIGHT($G8,1)="*",LEFT($G8,LEN($G8)-1),$G8))</f>
      </c>
      <c r="K8" s="15" t="n">
        <f aca="false">IFERROR(J8/J$19,"")</f>
      </c>
    </row>
    <row r="9">
      <c r="A9" s="5" t="inlineStr">
        <is>
          <t xml:space="preserve">Other / unspecified</t>
        </is>
      </c>
      <c r="D9" s="6" t="n">
        <f aca="false">SUMIFS('Issue Data'!$E:$E,'Issue Data'!$A:$A,"SH",'Issue Data'!$C:$C,"Pelvic",'Issue Data'!$B:$B,"&gt;="&amp;$B$4,'Issue Data'!$B:$B,"&lt;="&amp;$D$4,'Issue Data'!$D:$D,$A9)</f>
      </c>
      <c r="E9" s="15" t="n">
        <f aca="false">IFERROR(D9/D$19,"")</f>
      </c>
      <c r="G9" s="5" t="inlineStr">
        <is>
          <t xml:space="preserve">9973 · Out of Spec</t>
        </is>
      </c>
      <c r="J9" s="6" t="n">
        <f aca="false">SUMIFS('Issue Data'!$E:$E,'Issue Data'!$A:$A,"ATM",'Issue Data'!$C:$C,"Pelvic",'Issue Data'!$B:$B,"&gt;="&amp;$B$4,'Issue Data'!$B:$B,"&lt;="&amp;$D$4,'Issue Data'!$D:$D,IF(RIGHT($G9,1)="*",LEFT($G9,LEN($G9)-1),$G9))</f>
      </c>
      <c r="K9" s="15" t="n">
        <f aca="false">IFERROR(J9/J$19,"")</f>
      </c>
    </row>
    <row r="10">
      <c r="A10" s="5" t="inlineStr">
        <is>
          <t xml:space="preserve">Short block / mesentery length</t>
        </is>
      </c>
      <c r="D10" s="6" t="n">
        <f aca="false">SUMIFS('Issue Data'!$E:$E,'Issue Data'!$A:$A,"SH",'Issue Data'!$C:$C,"Pelvic",'Issue Data'!$B:$B,"&gt;="&amp;$B$4,'Issue Data'!$B:$B,"&lt;="&amp;$D$4,'Issue Data'!$D:$D,$A10)</f>
      </c>
      <c r="E10" s="15" t="n">
        <f aca="false">IFERROR(D10/D$19,"")</f>
      </c>
      <c r="G10" s="5" t="inlineStr">
        <is>
          <t xml:space="preserve">9987 · Blood Clots</t>
        </is>
      </c>
      <c r="J10" s="6" t="n">
        <f aca="false">SUMIFS('Issue Data'!$E:$E,'Issue Data'!$A:$A,"ATM",'Issue Data'!$C:$C,"Pelvic",'Issue Data'!$B:$B,"&gt;="&amp;$B$4,'Issue Data'!$B:$B,"&lt;="&amp;$D$4,'Issue Data'!$D:$D,IF(RIGHT($G10,1)="*",LEFT($G10,LEN($G10)-1),$G10))</f>
      </c>
      <c r="K10" s="15" t="n">
        <f aca="false">IFERROR(J10/J$19,"")</f>
      </c>
    </row>
    <row r="11">
      <c r="A11" s="5" t="inlineStr">
        <is>
          <t xml:space="preserve">Bowel damage / separation</t>
        </is>
      </c>
      <c r="D11" s="6" t="n">
        <f aca="false">SUMIFS('Issue Data'!$E:$E,'Issue Data'!$A:$A,"SH",'Issue Data'!$C:$C,"Pelvic",'Issue Data'!$B:$B,"&gt;="&amp;$B$4,'Issue Data'!$B:$B,"&lt;="&amp;$D$4,'Issue Data'!$D:$D,$A11)</f>
      </c>
      <c r="E11" s="15" t="n">
        <f aca="false">IFERROR(D11/D$19,"")</f>
      </c>
      <c r="G11" s="5" t="inlineStr">
        <is>
          <t xml:space="preserve">9983 · Incorrect Dimensions</t>
        </is>
      </c>
      <c r="J11" s="6" t="n">
        <f aca="false">SUMIFS('Issue Data'!$E:$E,'Issue Data'!$A:$A,"ATM",'Issue Data'!$C:$C,"Pelvic",'Issue Data'!$B:$B,"&gt;="&amp;$B$4,'Issue Data'!$B:$B,"&lt;="&amp;$D$4,'Issue Data'!$D:$D,IF(RIGHT($G11,1)="*",LEFT($G11,LEN($G11)-1),$G11))</f>
      </c>
      <c r="K11" s="15" t="n">
        <f aca="false">IFERROR(J11/J$19,"")</f>
      </c>
    </row>
    <row r="12">
      <c r="A12" s="5" t="inlineStr">
        <is>
          <t xml:space="preserve">Membrane damage</t>
        </is>
      </c>
      <c r="D12" s="6" t="n">
        <f aca="false">SUMIFS('Issue Data'!$E:$E,'Issue Data'!$A:$A,"SH",'Issue Data'!$C:$C,"Pelvic",'Issue Data'!$B:$B,"&gt;="&amp;$B$4,'Issue Data'!$B:$B,"&lt;="&amp;$D$4,'Issue Data'!$D:$D,$A12)</f>
      </c>
      <c r="E12" s="15" t="n">
        <f aca="false">IFERROR(D12/D$19,"")</f>
      </c>
      <c r="G12" s="5" t="inlineStr">
        <is>
          <t xml:space="preserve">9986 · Bladder Length</t>
        </is>
      </c>
      <c r="J12" s="6" t="n">
        <f aca="false">SUMIFS('Issue Data'!$E:$E,'Issue Data'!$A:$A,"ATM",'Issue Data'!$C:$C,"Pelvic",'Issue Data'!$B:$B,"&gt;="&amp;$B$4,'Issue Data'!$B:$B,"&lt;="&amp;$D$4,'Issue Data'!$D:$D,IF(RIGHT($G12,1)="*",LEFT($G12,LEN($G12)-1),$G12))</f>
      </c>
      <c r="K12" s="15" t="n">
        <f aca="false">IFERROR(J12/J$19,"")</f>
      </c>
    </row>
    <row r="13">
      <c r="A13" s="5" t="inlineStr">
        <is>
          <t xml:space="preserve">Critical-area laceration</t>
        </is>
      </c>
      <c r="D13" s="6" t="n">
        <f aca="false">SUMIFS('Issue Data'!$E:$E,'Issue Data'!$A:$A,"SH",'Issue Data'!$C:$C,"Pelvic",'Issue Data'!$B:$B,"&gt;="&amp;$B$4,'Issue Data'!$B:$B,"&lt;="&amp;$D$4,'Issue Data'!$D:$D,$A13)</f>
      </c>
      <c r="E13" s="15" t="n">
        <f aca="false">IFERROR(D13/D$19,"")</f>
      </c>
      <c r="G13" s="5" t="inlineStr">
        <is>
          <t xml:space="preserve">9995 · Received Damage</t>
        </is>
      </c>
      <c r="J13" s="6" t="n">
        <f aca="false">SUMIFS('Issue Data'!$E:$E,'Issue Data'!$A:$A,"ATM",'Issue Data'!$C:$C,"Pelvic",'Issue Data'!$B:$B,"&gt;="&amp;$B$4,'Issue Data'!$B:$B,"&lt;="&amp;$D$4,'Issue Data'!$D:$D,IF(RIGHT($G13,1)="*",LEFT($G13,LEN($G13)-1),$G13))</f>
      </c>
      <c r="K13" s="15" t="n">
        <f aca="false">IFERROR(J13/J$19,"")</f>
      </c>
    </row>
    <row r="14">
      <c r="A14" s="5" t="inlineStr">
        <is>
          <t xml:space="preserve">Ureter damage</t>
        </is>
      </c>
      <c r="D14" s="6" t="n">
        <f aca="false">SUMIFS('Issue Data'!$E:$E,'Issue Data'!$A:$A,"SH",'Issue Data'!$C:$C,"Pelvic",'Issue Data'!$B:$B,"&gt;="&amp;$B$4,'Issue Data'!$B:$B,"&lt;="&amp;$D$4,'Issue Data'!$D:$D,$A14)</f>
      </c>
      <c r="E14" s="15" t="n">
        <f aca="false">IFERROR(D14/D$19,"")</f>
      </c>
      <c r="G14" s="5" t="inlineStr">
        <is>
          <t xml:space="preserve">9988 · Exposed Urethra</t>
        </is>
      </c>
      <c r="J14" s="6" t="n">
        <f aca="false">SUMIFS('Issue Data'!$E:$E,'Issue Data'!$A:$A,"ATM",'Issue Data'!$C:$C,"Pelvic",'Issue Data'!$B:$B,"&gt;="&amp;$B$4,'Issue Data'!$B:$B,"&lt;="&amp;$D$4,'Issue Data'!$D:$D,IF(RIGHT($G14,1)="*",LEFT($G14,LEN($G14)-1),$G14))</f>
      </c>
      <c r="K14" s="15" t="n">
        <f aca="false">IFERROR(J14/J$19,"")</f>
      </c>
    </row>
    <row r="15">
      <c r="G15" s="5" t="inlineStr">
        <is>
          <t xml:space="preserve">9991 · R&amp;D/Testing*</t>
        </is>
      </c>
      <c r="J15" s="6" t="n">
        <f aca="false">SUMIFS('Issue Data'!$E:$E,'Issue Data'!$A:$A,"ATM",'Issue Data'!$C:$C,"Pelvic",'Issue Data'!$B:$B,"&gt;="&amp;$B$4,'Issue Data'!$B:$B,"&lt;="&amp;$D$4,'Issue Data'!$D:$D,IF(RIGHT($G15,1)="*",LEFT($G15,LEN($G15)-1),$G15))</f>
      </c>
      <c r="K15" s="15" t="n">
        <f aca="false">IFERROR(J15/J$19,"")</f>
      </c>
    </row>
    <row r="16">
      <c r="G16" s="5" t="inlineStr">
        <is>
          <t xml:space="preserve">9976 · Spoilage</t>
        </is>
      </c>
      <c r="J16" s="6" t="n">
        <f aca="false">SUMIFS('Issue Data'!$E:$E,'Issue Data'!$A:$A,"ATM",'Issue Data'!$C:$C,"Pelvic",'Issue Data'!$B:$B,"&gt;="&amp;$B$4,'Issue Data'!$B:$B,"&lt;="&amp;$D$4,'Issue Data'!$D:$D,IF(RIGHT($G16,1)="*",LEFT($G16,LEN($G16)-1),$G16))</f>
      </c>
      <c r="K16" s="15" t="n">
        <f aca="false">IFERROR(J16/J$19,"")</f>
      </c>
    </row>
    <row r="17">
      <c r="G17" s="5" t="inlineStr">
        <is>
          <t xml:space="preserve">1220 · Destructive Testing (eng/R&amp;D)*</t>
        </is>
      </c>
      <c r="J17" s="6" t="n">
        <f aca="false">SUMIFS('Issue Data'!$E:$E,'Issue Data'!$A:$A,"ATM",'Issue Data'!$C:$C,"Pelvic",'Issue Data'!$B:$B,"&gt;="&amp;$B$4,'Issue Data'!$B:$B,"&lt;="&amp;$D$4,'Issue Data'!$D:$D,IF(RIGHT($G17,1)="*",LEFT($G17,LEN($G17)-1),$G17))</f>
      </c>
      <c r="K17" s="15" t="n">
        <f aca="false">IFERROR(J17/J$19,"")</f>
      </c>
    </row>
    <row r="18">
      <c r="G18" s="5" t="inlineStr">
        <is>
          <t xml:space="preserve">9994 · Line Clearance*</t>
        </is>
      </c>
      <c r="J18" s="6" t="n">
        <f aca="false">SUMIFS('Issue Data'!$E:$E,'Issue Data'!$A:$A,"ATM",'Issue Data'!$C:$C,"Pelvic",'Issue Data'!$B:$B,"&gt;="&amp;$B$4,'Issue Data'!$B:$B,"&lt;="&amp;$D$4,'Issue Data'!$D:$D,IF(RIGHT($G18,1)="*",LEFT($G18,LEN($G18)-1),$G18))</f>
      </c>
      <c r="K18" s="15" t="n">
        <f aca="false">IFERROR(J18/J$19,"")</f>
      </c>
    </row>
    <row r="19">
      <c r="A19" s="12" t="inlineStr">
        <is>
          <t xml:space="preserve">Total SH issues</t>
        </is>
      </c>
      <c r="D19" s="6" t="n">
        <f aca="false">SUM(D8:D18)</f>
      </c>
      <c r="G19" s="12" t="inlineStr">
        <is>
          <t xml:space="preserve">Total ATM scrapped</t>
        </is>
      </c>
      <c r="J19" s="6" t="n">
        <f aca="false">SUM(J8:J18)</f>
      </c>
    </row>
    <row r="20">
      <c r="G20" s="12" t="inlineStr">
        <is>
          <t xml:space="preserve">— quality defects only (excl. *)</t>
        </is>
      </c>
      <c r="J20" s="6" t="n">
        <f aca="false">SUMIFS('Issue Data'!$E:$E,'Issue Data'!$A:$A,"ATM",'Issue Data'!$C:$C,"Pelvic",'Issue Data'!$B:$B,"&gt;="&amp;$B$4,'Issue Data'!$B:$B,"&lt;="&amp;$D$4,'Issue Data'!$F:$F,"Quality")</f>
      </c>
    </row>
    <row r="21" ht="44" customHeight="1">
      <c r="A21" s="20" t="inlineStr">
        <is>
          <t xml:space="preserve">Alignment (full-history reference): ATM's #1 code 9972 Laceration/Cut is the downstream face of the SH urethra/bladder + membrane/ureter cut damage. Exposed Urethra (9988) and Bladder Length (9986) map to the same SH themes; Blood Clots (9987) and Received Damage (9995) only surface post-freeze.</t>
        </is>
      </c>
    </row>
    <row r="22"/>
    <row r="23" ht="18" customHeight="1">
      <c r="A23" s="3" t="inlineStr">
        <is>
          <t xml:space="preserve">THORACIC  —  SH floor (left)  vs  ATM receipt (right)</t>
        </is>
      </c>
    </row>
    <row r="24">
      <c r="A24" s="11" t="inlineStr">
        <is>
          <t xml:space="preserve">SH issue category</t>
        </is>
      </c>
      <c r="D24" s="11" t="inlineStr">
        <is>
          <t xml:space="preserve">Units</t>
        </is>
      </c>
      <c r="E24" s="11" t="inlineStr">
        <is>
          <t xml:space="preserve">% of SH</t>
        </is>
      </c>
      <c r="G24" s="11" t="inlineStr">
        <is>
          <t xml:space="preserve">ATM code · reason</t>
        </is>
      </c>
      <c r="J24" s="11" t="inlineStr">
        <is>
          <t xml:space="preserve">Units</t>
        </is>
      </c>
      <c r="K24" s="11" t="inlineStr">
        <is>
          <t xml:space="preserve">% of ATM</t>
        </is>
      </c>
    </row>
    <row r="25">
      <c r="A25" s="5" t="inlineStr">
        <is>
          <t xml:space="preserve">Lung laceration</t>
        </is>
      </c>
      <c r="D25" s="6" t="n">
        <f aca="false">SUMIFS('Issue Data'!$E:$E,'Issue Data'!$A:$A,"SH",'Issue Data'!$C:$C,"Thoracic",'Issue Data'!$B:$B,"&gt;="&amp;$B$4,'Issue Data'!$B:$B,"&lt;="&amp;$D$4,'Issue Data'!$D:$D,$A25)</f>
      </c>
      <c r="E25" s="15" t="n">
        <f aca="false">IFERROR(D25/D$32,"")</f>
      </c>
      <c r="G25" s="5" t="inlineStr">
        <is>
          <t xml:space="preserve">9972 · Laceration/Cut</t>
        </is>
      </c>
      <c r="J25" s="6" t="n">
        <f aca="false">SUMIFS('Issue Data'!$E:$E,'Issue Data'!$A:$A,"ATM",'Issue Data'!$C:$C,"Thoracic",'Issue Data'!$B:$B,"&gt;="&amp;$B$4,'Issue Data'!$B:$B,"&lt;="&amp;$D$4,'Issue Data'!$D:$D,IF(RIGHT($G25,1)="*",LEFT($G25,LEN($G25)-1),$G25))</f>
      </c>
      <c r="K25" s="15" t="n">
        <f aca="false">IFERROR(J25/J$32,"")</f>
      </c>
    </row>
    <row r="26">
      <c r="A26" s="5" t="inlineStr">
        <is>
          <t xml:space="preserve">Heart damage</t>
        </is>
      </c>
      <c r="D26" s="6" t="n">
        <f aca="false">SUMIFS('Issue Data'!$E:$E,'Issue Data'!$A:$A,"SH",'Issue Data'!$C:$C,"Thoracic",'Issue Data'!$B:$B,"&gt;="&amp;$B$4,'Issue Data'!$B:$B,"&lt;="&amp;$D$4,'Issue Data'!$D:$D,$A26)</f>
      </c>
      <c r="E26" s="15" t="n">
        <f aca="false">IFERROR(D26/D$32,"")</f>
      </c>
      <c r="G26" s="5" t="inlineStr">
        <is>
          <t xml:space="preserve">1220 · Destructive Testing (eng/R&amp;D)*</t>
        </is>
      </c>
      <c r="J26" s="6" t="n">
        <f aca="false">SUMIFS('Issue Data'!$E:$E,'Issue Data'!$A:$A,"ATM",'Issue Data'!$C:$C,"Thoracic",'Issue Data'!$B:$B,"&gt;="&amp;$B$4,'Issue Data'!$B:$B,"&lt;="&amp;$D$4,'Issue Data'!$D:$D,IF(RIGHT($G26,1)="*",LEFT($G26,LEN($G26)-1),$G26))</f>
      </c>
      <c r="K26" s="15" t="n">
        <f aca="false">IFERROR(J26/J$32,"")</f>
      </c>
    </row>
    <row r="27">
      <c r="A27" s="5" t="inlineStr">
        <is>
          <t xml:space="preserve">Other / unspecified</t>
        </is>
      </c>
      <c r="D27" s="6" t="n">
        <f aca="false">SUMIFS('Issue Data'!$E:$E,'Issue Data'!$A:$A,"SH",'Issue Data'!$C:$C,"Thoracic",'Issue Data'!$B:$B,"&gt;="&amp;$B$4,'Issue Data'!$B:$B,"&lt;="&amp;$D$4,'Issue Data'!$D:$D,$A27)</f>
      </c>
      <c r="E27" s="15" t="n">
        <f aca="false">IFERROR(D27/D$32,"")</f>
      </c>
      <c r="G27" s="5" t="inlineStr">
        <is>
          <t xml:space="preserve">9985 · Tech Damaged</t>
        </is>
      </c>
      <c r="J27" s="6" t="n">
        <f aca="false">SUMIFS('Issue Data'!$E:$E,'Issue Data'!$A:$A,"ATM",'Issue Data'!$C:$C,"Thoracic",'Issue Data'!$B:$B,"&gt;="&amp;$B$4,'Issue Data'!$B:$B,"&lt;="&amp;$D$4,'Issue Data'!$D:$D,IF(RIGHT($G27,1)="*",LEFT($G27,LEN($G27)-1),$G27))</f>
      </c>
      <c r="K27" s="15" t="n">
        <f aca="false">IFERROR(J27/J$32,"")</f>
      </c>
    </row>
    <row r="28">
      <c r="G28" s="5" t="inlineStr">
        <is>
          <t xml:space="preserve">7 · Others</t>
        </is>
      </c>
      <c r="J28" s="6" t="n">
        <f aca="false">SUMIFS('Issue Data'!$E:$E,'Issue Data'!$A:$A,"ATM",'Issue Data'!$C:$C,"Thoracic",'Issue Data'!$B:$B,"&gt;="&amp;$B$4,'Issue Data'!$B:$B,"&lt;="&amp;$D$4,'Issue Data'!$D:$D,IF(RIGHT($G28,1)="*",LEFT($G28,LEN($G28)-1),$G28))</f>
      </c>
      <c r="K28" s="15" t="n">
        <f aca="false">IFERROR(J28/J$32,"")</f>
      </c>
    </row>
    <row r="29">
      <c r="G29" s="5" t="inlineStr">
        <is>
          <t xml:space="preserve">9973 · Out of Spec</t>
        </is>
      </c>
      <c r="J29" s="6" t="n">
        <f aca="false">SUMIFS('Issue Data'!$E:$E,'Issue Data'!$A:$A,"ATM",'Issue Data'!$C:$C,"Thoracic",'Issue Data'!$B:$B,"&gt;="&amp;$B$4,'Issue Data'!$B:$B,"&lt;="&amp;$D$4,'Issue Data'!$D:$D,IF(RIGHT($G29,1)="*",LEFT($G29,LEN($G29)-1),$G29))</f>
      </c>
      <c r="K29" s="15" t="n">
        <f aca="false">IFERROR(J29/J$32,"")</f>
      </c>
    </row>
    <row r="30">
      <c r="G30" s="5" t="inlineStr">
        <is>
          <t xml:space="preserve">1201 · Tech Performance</t>
        </is>
      </c>
      <c r="J30" s="6" t="n">
        <f aca="false">SUMIFS('Issue Data'!$E:$E,'Issue Data'!$A:$A,"ATM",'Issue Data'!$C:$C,"Thoracic",'Issue Data'!$B:$B,"&gt;="&amp;$B$4,'Issue Data'!$B:$B,"&lt;="&amp;$D$4,'Issue Data'!$D:$D,IF(RIGHT($G30,1)="*",LEFT($G30,LEN($G30)-1),$G30))</f>
      </c>
      <c r="K30" s="15" t="n">
        <f aca="false">IFERROR(J30/J$32,"")</f>
      </c>
    </row>
    <row r="31">
      <c r="G31" s="5" t="inlineStr">
        <is>
          <t xml:space="preserve">9984 · Partial Qty</t>
        </is>
      </c>
      <c r="J31" s="6" t="n">
        <f aca="false">SUMIFS('Issue Data'!$E:$E,'Issue Data'!$A:$A,"ATM",'Issue Data'!$C:$C,"Thoracic",'Issue Data'!$B:$B,"&gt;="&amp;$B$4,'Issue Data'!$B:$B,"&lt;="&amp;$D$4,'Issue Data'!$D:$D,IF(RIGHT($G31,1)="*",LEFT($G31,LEN($G31)-1),$G31))</f>
      </c>
      <c r="K31" s="15" t="n">
        <f aca="false">IFERROR(J31/J$32,"")</f>
      </c>
    </row>
    <row r="32">
      <c r="A32" s="12" t="inlineStr">
        <is>
          <t xml:space="preserve">Total SH issues</t>
        </is>
      </c>
      <c r="D32" s="6" t="n">
        <f aca="false">SUM(D25:D31)</f>
      </c>
      <c r="G32" s="12" t="inlineStr">
        <is>
          <t xml:space="preserve">Total ATM scrapped</t>
        </is>
      </c>
      <c r="J32" s="6" t="n">
        <f aca="false">SUM(J25:J31)</f>
      </c>
    </row>
    <row r="33">
      <c r="G33" s="12" t="inlineStr">
        <is>
          <t xml:space="preserve">— quality defects only (excl. *)</t>
        </is>
      </c>
      <c r="J33" s="6" t="n">
        <f aca="false">SUMIFS('Issue Data'!$E:$E,'Issue Data'!$A:$A,"ATM",'Issue Data'!$C:$C,"Thoracic",'Issue Data'!$B:$B,"&gt;="&amp;$B$4,'Issue Data'!$B:$B,"&lt;="&amp;$D$4,'Issue Data'!$F:$F,"Quality")</f>
      </c>
    </row>
    <row r="34" ht="44" customHeight="1">
      <c r="A34" s="20" t="inlineStr">
        <is>
          <t xml:space="preserve">Alignment (full-history reference): both stages tell one story — lacerations. SH logs lung + heart damage; ATM scrap is dominated by 9972 Laceration/Cut plus Tech Damaged (9985). Excluding destructive testing (1220), 2026 thoracic quality scrap runs ≈50% of received — the harvesting-side crisis, visible at both stages.</t>
        </is>
      </c>
    </row>
    <row r="35"/>
    <row r="36" ht="18" customHeight="1">
      <c r="A36" s="3" t="inlineStr">
        <is>
          <t xml:space="preserve">NOTES</t>
        </is>
      </c>
    </row>
    <row r="37" ht="44" customHeight="1">
      <c r="A37" s="20" t="inlineStr">
        <is>
          <t xml:space="preserve">• The filter reads the hidden 'Issue Data' sheet (one row per SH defect tag / ATM reason posting, dated). Unhide it to audit. When new SH inspections or ATM extracts arrive, append rows there — this tab recalculates.</t>
        </is>
      </c>
    </row>
    <row r="38" ht="44" customHeight="1">
      <c r="A38" s="20" t="inlineStr">
        <is>
          <t xml:space="preserve">• Windows differ by design: SH began Apr 2026 (thoracic Jul 2026); ATM covers Jan 2026+ (pelvic 666541) and Jul 2024+ (thoracic 666521). Set the filter to Apr–Aug 2026 for the like-for-like window.</t>
        </is>
      </c>
    </row>
    <row r="39" ht="44" customHeight="1">
      <c r="A39" s="20" t="inlineStr">
        <is>
          <t xml:space="preserve">• Category systems differ: SH categories are analyst-coded free text; ATM reasons are SAP codes chosen by the reviewing tech. The pairing in the reads is directional, not a formal crosswalk. SH counts are floor samples; ATM counts are full received quantities.</t>
        </is>
      </c>
    </row>
    <row r="40" ht="44" customHeight="1">
      <c r="A40" s="20" t="inlineStr">
        <is>
          <t xml:space="preserve">• Excluded: legacy ATM codes 4 / 5 / 1 (2024–25 thoracic era, 191 units) have no confirmed legend and are omitted per Quality. Planned/process withdrawals stay visible but marked *: 1220 Destructive Testing (eng/R&amp;D), 9991 R&amp;D/Testing, 9994 Line Clearance; 7 = Others, 1201 = Tech Performance.</t>
        </is>
      </c>
    </row>
  </sheetData>
  <mergeCells count="50">
    <mergeCell ref="A1:L1"/>
    <mergeCell ref="A2:L2"/>
    <mergeCell ref="F4:L4"/>
    <mergeCell ref="A6:L6"/>
    <mergeCell ref="A7:C7"/>
    <mergeCell ref="G7:I7"/>
    <mergeCell ref="A8:C8"/>
    <mergeCell ref="G8:I8"/>
    <mergeCell ref="A9:C9"/>
    <mergeCell ref="G9:I9"/>
    <mergeCell ref="A10:C10"/>
    <mergeCell ref="G10:I10"/>
    <mergeCell ref="A11:C11"/>
    <mergeCell ref="G11:I11"/>
    <mergeCell ref="A12:C12"/>
    <mergeCell ref="G12:I12"/>
    <mergeCell ref="A13:C13"/>
    <mergeCell ref="G13:I13"/>
    <mergeCell ref="A14:C14"/>
    <mergeCell ref="G14:I14"/>
    <mergeCell ref="G15:I15"/>
    <mergeCell ref="G16:I16"/>
    <mergeCell ref="G17:I17"/>
    <mergeCell ref="G18:I18"/>
    <mergeCell ref="A19:C19"/>
    <mergeCell ref="G19:I19"/>
    <mergeCell ref="G20:I20"/>
    <mergeCell ref="A21:L21"/>
    <mergeCell ref="A23:L23"/>
    <mergeCell ref="A24:C24"/>
    <mergeCell ref="G24:I24"/>
    <mergeCell ref="A25:C25"/>
    <mergeCell ref="G25:I25"/>
    <mergeCell ref="A26:C26"/>
    <mergeCell ref="G26:I26"/>
    <mergeCell ref="A27:C27"/>
    <mergeCell ref="G27:I27"/>
    <mergeCell ref="G28:I28"/>
    <mergeCell ref="G29:I29"/>
    <mergeCell ref="G30:I30"/>
    <mergeCell ref="G31:I31"/>
    <mergeCell ref="A32:C32"/>
    <mergeCell ref="G32:I32"/>
    <mergeCell ref="G33:I33"/>
    <mergeCell ref="A34:L34"/>
    <mergeCell ref="A36:L36"/>
    <mergeCell ref="A37:L37"/>
    <mergeCell ref="A38:L38"/>
    <mergeCell ref="A39:L39"/>
    <mergeCell ref="A40:L40"/>
  </mergeCells>
  <conditionalFormatting sqref="D8:D18">
    <cfRule type="dataBar" priority="1">
      <dataBar>
        <cfvo type="min"/>
        <cfvo type="max"/>
        <color rgb="FF638EC6"/>
      </dataBar>
    </cfRule>
  </conditionalFormatting>
  <conditionalFormatting sqref="J8:J18">
    <cfRule type="dataBar" priority="2">
      <dataBar>
        <cfvo type="min"/>
        <cfvo type="max"/>
        <color rgb="FFE8A33D"/>
      </dataBar>
    </cfRule>
  </conditionalFormatting>
  <conditionalFormatting sqref="D25:D31">
    <cfRule type="dataBar" priority="3">
      <dataBar>
        <cfvo type="min"/>
        <cfvo type="max"/>
        <color rgb="FF638EC6"/>
      </dataBar>
    </cfRule>
  </conditionalFormatting>
  <conditionalFormatting sqref="J25:J31">
    <cfRule type="dataBar" priority="4">
      <dataBar>
        <cfvo type="min"/>
        <cfvo type="max"/>
        <color rgb="FFE8A33D"/>
      </dataBar>
    </cfRule>
  </conditionalFormatting>
  <pageMargins left="0.5" right="0.5" top="0.6" bottom="0.6" header="0.3" footer="0.3"/>
</worksheet>
</file>

<file path=xl/worksheets/sheet14.xml><?xml version="1.0" encoding="utf-8"?>
<worksheet xmlns="http://schemas.openxmlformats.org/spreadsheetml/2006/main" xmlns:r="http://schemas.openxmlformats.org/officeDocument/2006/relationships">
  <dimension ref="A1:F390"/>
  <sheetViews>
    <sheetView workbookViewId="0">
      <selection activeCell="A1" sqref="A1"/>
    </sheetView>
  </sheetViews>
  <sheetFormatPr defaultRowHeight="15"/>
  <cols>
    <col min="1" max="1" width="8" customWidth="1"/>
    <col min="2" max="2" width="11" customWidth="1"/>
    <col min="3" max="3" width="10" customWidth="1"/>
    <col min="4" max="4" width="34" customWidth="1"/>
    <col min="5" max="5" width="7" customWidth="1"/>
    <col min="6" max="6" width="9" customWidth="1"/>
  </cols>
  <sheetData>
    <row r="1">
      <c r="A1" s="11" t="inlineStr">
        <is>
          <t xml:space="preserve">Source</t>
        </is>
      </c>
      <c r="B1" s="11" t="inlineStr">
        <is>
          <t xml:space="preserve">Date</t>
        </is>
      </c>
      <c r="C1" s="11" t="inlineStr">
        <is>
          <t xml:space="preserve">Tissue</t>
        </is>
      </c>
      <c r="D1" s="11" t="inlineStr">
        <is>
          <t xml:space="preserve">Issue / Code</t>
        </is>
      </c>
      <c r="E1" s="11" t="inlineStr">
        <is>
          <t xml:space="preserve">Units</t>
        </is>
      </c>
      <c r="F1" s="11" t="inlineStr">
        <is>
          <t xml:space="preserve">Type</t>
        </is>
      </c>
    </row>
    <row r="2">
      <c r="A2" s="5" t="inlineStr">
        <is>
          <t xml:space="preserve">SH</t>
        </is>
      </c>
      <c r="B2" s="49" t="n">
        <v>46125</v>
      </c>
      <c r="C2" s="5" t="inlineStr">
        <is>
          <t xml:space="preserve">Pelvic</t>
        </is>
      </c>
      <c r="D2" s="5" t="inlineStr">
        <is>
          <t xml:space="preserve">Bowel damage / separation</t>
        </is>
      </c>
      <c r="E2" s="6" t="n">
        <v>1</v>
      </c>
      <c r="F2" s="5" t="inlineStr">
        <is>
          <t xml:space="preserve">Quality</t>
        </is>
      </c>
    </row>
    <row r="3">
      <c r="A3" s="5" t="inlineStr">
        <is>
          <t xml:space="preserve">SH</t>
        </is>
      </c>
      <c r="B3" s="49" t="n">
        <v>46127</v>
      </c>
      <c r="C3" s="5" t="inlineStr">
        <is>
          <t xml:space="preserve">Pelvic</t>
        </is>
      </c>
      <c r="D3" s="5" t="inlineStr">
        <is>
          <t xml:space="preserve">Urethra / bladder damage</t>
        </is>
      </c>
      <c r="E3" s="6" t="n">
        <v>2</v>
      </c>
      <c r="F3" s="5" t="inlineStr">
        <is>
          <t xml:space="preserve">Quality</t>
        </is>
      </c>
    </row>
    <row r="4">
      <c r="A4" s="5" t="inlineStr">
        <is>
          <t xml:space="preserve">SH</t>
        </is>
      </c>
      <c r="B4" s="49" t="n">
        <v>46127</v>
      </c>
      <c r="C4" s="5" t="inlineStr">
        <is>
          <t xml:space="preserve">Pelvic</t>
        </is>
      </c>
      <c r="D4" s="5" t="inlineStr">
        <is>
          <t xml:space="preserve">Other / unspecified</t>
        </is>
      </c>
      <c r="E4" s="6" t="n">
        <v>2</v>
      </c>
      <c r="F4" s="5" t="inlineStr">
        <is>
          <t xml:space="preserve">Quality</t>
        </is>
      </c>
    </row>
    <row r="5">
      <c r="A5" s="5" t="inlineStr">
        <is>
          <t xml:space="preserve">SH</t>
        </is>
      </c>
      <c r="B5" s="49" t="n">
        <v>46134</v>
      </c>
      <c r="C5" s="5" t="inlineStr">
        <is>
          <t xml:space="preserve">Pelvic</t>
        </is>
      </c>
      <c r="D5" s="5" t="inlineStr">
        <is>
          <t xml:space="preserve">Bowel damage / separation</t>
        </is>
      </c>
      <c r="E5" s="6" t="n">
        <v>1</v>
      </c>
      <c r="F5" s="5" t="inlineStr">
        <is>
          <t xml:space="preserve">Quality</t>
        </is>
      </c>
    </row>
    <row r="6">
      <c r="A6" s="5" t="inlineStr">
        <is>
          <t xml:space="preserve">SH</t>
        </is>
      </c>
      <c r="B6" s="49" t="n">
        <v>46132</v>
      </c>
      <c r="C6" s="5" t="inlineStr">
        <is>
          <t xml:space="preserve">Pelvic</t>
        </is>
      </c>
      <c r="D6" s="5" t="inlineStr">
        <is>
          <t xml:space="preserve">Other / unspecified</t>
        </is>
      </c>
      <c r="E6" s="6" t="n">
        <v>2</v>
      </c>
      <c r="F6" s="5" t="inlineStr">
        <is>
          <t xml:space="preserve">Quality</t>
        </is>
      </c>
    </row>
    <row r="7">
      <c r="A7" s="5" t="inlineStr">
        <is>
          <t xml:space="preserve">SH</t>
        </is>
      </c>
      <c r="B7" s="49" t="n">
        <v>46134</v>
      </c>
      <c r="C7" s="5" t="inlineStr">
        <is>
          <t xml:space="preserve">Pelvic</t>
        </is>
      </c>
      <c r="D7" s="5" t="inlineStr">
        <is>
          <t xml:space="preserve">Bowel damage / separation</t>
        </is>
      </c>
      <c r="E7" s="6" t="n">
        <v>2</v>
      </c>
      <c r="F7" s="5" t="inlineStr">
        <is>
          <t xml:space="preserve">Quality</t>
        </is>
      </c>
    </row>
    <row r="8">
      <c r="A8" s="5" t="inlineStr">
        <is>
          <t xml:space="preserve">SH</t>
        </is>
      </c>
      <c r="B8" s="49" t="n">
        <v>46146</v>
      </c>
      <c r="C8" s="5" t="inlineStr">
        <is>
          <t xml:space="preserve">Pelvic</t>
        </is>
      </c>
      <c r="D8" s="5" t="inlineStr">
        <is>
          <t xml:space="preserve">Urethra / bladder damage</t>
        </is>
      </c>
      <c r="E8" s="6" t="n">
        <v>1</v>
      </c>
      <c r="F8" s="5" t="inlineStr">
        <is>
          <t xml:space="preserve">Quality</t>
        </is>
      </c>
    </row>
    <row r="9">
      <c r="A9" s="5" t="inlineStr">
        <is>
          <t xml:space="preserve">SH</t>
        </is>
      </c>
      <c r="B9" s="49" t="n">
        <v>46148</v>
      </c>
      <c r="C9" s="5" t="inlineStr">
        <is>
          <t xml:space="preserve">Pelvic</t>
        </is>
      </c>
      <c r="D9" s="5" t="inlineStr">
        <is>
          <t xml:space="preserve">Urethra / bladder damage</t>
        </is>
      </c>
      <c r="E9" s="6" t="n">
        <v>3</v>
      </c>
      <c r="F9" s="5" t="inlineStr">
        <is>
          <t xml:space="preserve">Quality</t>
        </is>
      </c>
    </row>
    <row r="10">
      <c r="A10" s="5" t="inlineStr">
        <is>
          <t xml:space="preserve">SH</t>
        </is>
      </c>
      <c r="B10" s="49" t="n">
        <v>46146</v>
      </c>
      <c r="C10" s="5" t="inlineStr">
        <is>
          <t xml:space="preserve">Pelvic</t>
        </is>
      </c>
      <c r="D10" s="5" t="inlineStr">
        <is>
          <t xml:space="preserve">Urethra / bladder damage</t>
        </is>
      </c>
      <c r="E10" s="6" t="n">
        <v>3</v>
      </c>
      <c r="F10" s="5" t="inlineStr">
        <is>
          <t xml:space="preserve">Quality</t>
        </is>
      </c>
    </row>
    <row r="11">
      <c r="A11" s="5" t="inlineStr">
        <is>
          <t xml:space="preserve">SH</t>
        </is>
      </c>
      <c r="B11" s="49" t="n">
        <v>46148</v>
      </c>
      <c r="C11" s="5" t="inlineStr">
        <is>
          <t xml:space="preserve">Pelvic</t>
        </is>
      </c>
      <c r="D11" s="5" t="inlineStr">
        <is>
          <t xml:space="preserve">Urethra / bladder damage</t>
        </is>
      </c>
      <c r="E11" s="6" t="n">
        <v>1</v>
      </c>
      <c r="F11" s="5" t="inlineStr">
        <is>
          <t xml:space="preserve">Quality</t>
        </is>
      </c>
    </row>
    <row r="12">
      <c r="A12" s="5" t="inlineStr">
        <is>
          <t xml:space="preserve">SH</t>
        </is>
      </c>
      <c r="B12" s="49" t="n">
        <v>46160</v>
      </c>
      <c r="C12" s="5" t="inlineStr">
        <is>
          <t xml:space="preserve">Pelvic</t>
        </is>
      </c>
      <c r="D12" s="5" t="inlineStr">
        <is>
          <t xml:space="preserve">Urethra / bladder damage</t>
        </is>
      </c>
      <c r="E12" s="6" t="n">
        <v>3</v>
      </c>
      <c r="F12" s="5" t="inlineStr">
        <is>
          <t xml:space="preserve">Quality</t>
        </is>
      </c>
    </row>
    <row r="13">
      <c r="A13" s="5" t="inlineStr">
        <is>
          <t xml:space="preserve">SH</t>
        </is>
      </c>
      <c r="B13" s="49" t="n">
        <v>46160</v>
      </c>
      <c r="C13" s="5" t="inlineStr">
        <is>
          <t xml:space="preserve">Pelvic</t>
        </is>
      </c>
      <c r="D13" s="5" t="inlineStr">
        <is>
          <t xml:space="preserve">Short block / mesentery length</t>
        </is>
      </c>
      <c r="E13" s="6" t="n">
        <v>1</v>
      </c>
      <c r="F13" s="5" t="inlineStr">
        <is>
          <t xml:space="preserve">Quality</t>
        </is>
      </c>
    </row>
    <row r="14">
      <c r="A14" s="5" t="inlineStr">
        <is>
          <t xml:space="preserve">SH</t>
        </is>
      </c>
      <c r="B14" s="49" t="n">
        <v>46163</v>
      </c>
      <c r="C14" s="5" t="inlineStr">
        <is>
          <t xml:space="preserve">Pelvic</t>
        </is>
      </c>
      <c r="D14" s="5" t="inlineStr">
        <is>
          <t xml:space="preserve">Urethra / bladder damage</t>
        </is>
      </c>
      <c r="E14" s="6" t="n">
        <v>2</v>
      </c>
      <c r="F14" s="5" t="inlineStr">
        <is>
          <t xml:space="preserve">Quality</t>
        </is>
      </c>
    </row>
    <row r="15">
      <c r="A15" s="5" t="inlineStr">
        <is>
          <t xml:space="preserve">SH</t>
        </is>
      </c>
      <c r="B15" s="49" t="n">
        <v>46160</v>
      </c>
      <c r="C15" s="5" t="inlineStr">
        <is>
          <t xml:space="preserve">Pelvic</t>
        </is>
      </c>
      <c r="D15" s="5" t="inlineStr">
        <is>
          <t xml:space="preserve">Other / unspecified</t>
        </is>
      </c>
      <c r="E15" s="6" t="n">
        <v>1</v>
      </c>
      <c r="F15" s="5" t="inlineStr">
        <is>
          <t xml:space="preserve">Quality</t>
        </is>
      </c>
    </row>
    <row r="16">
      <c r="A16" s="5" t="inlineStr">
        <is>
          <t xml:space="preserve">SH</t>
        </is>
      </c>
      <c r="B16" s="49" t="n">
        <v>46163</v>
      </c>
      <c r="C16" s="5" t="inlineStr">
        <is>
          <t xml:space="preserve">Pelvic</t>
        </is>
      </c>
      <c r="D16" s="5" t="inlineStr">
        <is>
          <t xml:space="preserve">Membrane damage</t>
        </is>
      </c>
      <c r="E16" s="6" t="n">
        <v>1</v>
      </c>
      <c r="F16" s="5" t="inlineStr">
        <is>
          <t xml:space="preserve">Quality</t>
        </is>
      </c>
    </row>
    <row r="17">
      <c r="A17" s="5" t="inlineStr">
        <is>
          <t xml:space="preserve">SH</t>
        </is>
      </c>
      <c r="B17" s="49" t="n">
        <v>46169</v>
      </c>
      <c r="C17" s="5" t="inlineStr">
        <is>
          <t xml:space="preserve">Pelvic</t>
        </is>
      </c>
      <c r="D17" s="5" t="inlineStr">
        <is>
          <t xml:space="preserve">Bowel damage / separation</t>
        </is>
      </c>
      <c r="E17" s="6" t="n">
        <v>1</v>
      </c>
      <c r="F17" s="5" t="inlineStr">
        <is>
          <t xml:space="preserve">Quality</t>
        </is>
      </c>
    </row>
    <row r="18">
      <c r="A18" s="5" t="inlineStr">
        <is>
          <t xml:space="preserve">SH</t>
        </is>
      </c>
      <c r="B18" s="49" t="n">
        <v>46169</v>
      </c>
      <c r="C18" s="5" t="inlineStr">
        <is>
          <t xml:space="preserve">Pelvic</t>
        </is>
      </c>
      <c r="D18" s="5" t="inlineStr">
        <is>
          <t xml:space="preserve">Membrane damage</t>
        </is>
      </c>
      <c r="E18" s="6" t="n">
        <v>2</v>
      </c>
      <c r="F18" s="5" t="inlineStr">
        <is>
          <t xml:space="preserve">Quality</t>
        </is>
      </c>
    </row>
    <row r="19">
      <c r="A19" s="5" t="inlineStr">
        <is>
          <t xml:space="preserve">SH</t>
        </is>
      </c>
      <c r="B19" s="49" t="n">
        <v>46170</v>
      </c>
      <c r="C19" s="5" t="inlineStr">
        <is>
          <t xml:space="preserve">Pelvic</t>
        </is>
      </c>
      <c r="D19" s="5" t="inlineStr">
        <is>
          <t xml:space="preserve">Short block / mesentery length</t>
        </is>
      </c>
      <c r="E19" s="6" t="n">
        <v>4</v>
      </c>
      <c r="F19" s="5" t="inlineStr">
        <is>
          <t xml:space="preserve">Quality</t>
        </is>
      </c>
    </row>
    <row r="20">
      <c r="A20" s="5" t="inlineStr">
        <is>
          <t xml:space="preserve">SH</t>
        </is>
      </c>
      <c r="B20" s="49" t="n">
        <v>46170</v>
      </c>
      <c r="C20" s="5" t="inlineStr">
        <is>
          <t xml:space="preserve">Pelvic</t>
        </is>
      </c>
      <c r="D20" s="5" t="inlineStr">
        <is>
          <t xml:space="preserve">Urethra / bladder damage</t>
        </is>
      </c>
      <c r="E20" s="6" t="n">
        <v>1</v>
      </c>
      <c r="F20" s="5" t="inlineStr">
        <is>
          <t xml:space="preserve">Quality</t>
        </is>
      </c>
    </row>
    <row r="21">
      <c r="A21" s="5" t="inlineStr">
        <is>
          <t xml:space="preserve">SH</t>
        </is>
      </c>
      <c r="B21" s="49" t="n">
        <v>46176</v>
      </c>
      <c r="C21" s="5" t="inlineStr">
        <is>
          <t xml:space="preserve">Pelvic</t>
        </is>
      </c>
      <c r="D21" s="5" t="inlineStr">
        <is>
          <t xml:space="preserve">Urethra / bladder damage</t>
        </is>
      </c>
      <c r="E21" s="6" t="n">
        <v>2</v>
      </c>
      <c r="F21" s="5" t="inlineStr">
        <is>
          <t xml:space="preserve">Quality</t>
        </is>
      </c>
    </row>
    <row r="22">
      <c r="A22" s="5" t="inlineStr">
        <is>
          <t xml:space="preserve">SH</t>
        </is>
      </c>
      <c r="B22" s="49" t="n">
        <v>46181</v>
      </c>
      <c r="C22" s="5" t="inlineStr">
        <is>
          <t xml:space="preserve">Pelvic</t>
        </is>
      </c>
      <c r="D22" s="5" t="inlineStr">
        <is>
          <t xml:space="preserve">Urethra / bladder damage</t>
        </is>
      </c>
      <c r="E22" s="6" t="n">
        <v>1</v>
      </c>
      <c r="F22" s="5" t="inlineStr">
        <is>
          <t xml:space="preserve">Quality</t>
        </is>
      </c>
    </row>
    <row r="23">
      <c r="A23" s="5" t="inlineStr">
        <is>
          <t xml:space="preserve">SH</t>
        </is>
      </c>
      <c r="B23" s="49" t="n">
        <v>46181</v>
      </c>
      <c r="C23" s="5" t="inlineStr">
        <is>
          <t xml:space="preserve">Pelvic</t>
        </is>
      </c>
      <c r="D23" s="5" t="inlineStr">
        <is>
          <t xml:space="preserve">Short block / mesentery length</t>
        </is>
      </c>
      <c r="E23" s="6" t="n">
        <v>1</v>
      </c>
      <c r="F23" s="5" t="inlineStr">
        <is>
          <t xml:space="preserve">Quality</t>
        </is>
      </c>
    </row>
    <row r="24">
      <c r="A24" s="5" t="inlineStr">
        <is>
          <t xml:space="preserve">SH</t>
        </is>
      </c>
      <c r="B24" s="49" t="n">
        <v>46188</v>
      </c>
      <c r="C24" s="5" t="inlineStr">
        <is>
          <t xml:space="preserve">Pelvic</t>
        </is>
      </c>
      <c r="D24" s="5" t="inlineStr">
        <is>
          <t xml:space="preserve">Bowel damage / separation</t>
        </is>
      </c>
      <c r="E24" s="6" t="n">
        <v>1</v>
      </c>
      <c r="F24" s="5" t="inlineStr">
        <is>
          <t xml:space="preserve">Quality</t>
        </is>
      </c>
    </row>
    <row r="25">
      <c r="A25" s="5" t="inlineStr">
        <is>
          <t xml:space="preserve">SH</t>
        </is>
      </c>
      <c r="B25" s="49" t="n">
        <v>46189</v>
      </c>
      <c r="C25" s="5" t="inlineStr">
        <is>
          <t xml:space="preserve">Pelvic</t>
        </is>
      </c>
      <c r="D25" s="5" t="inlineStr">
        <is>
          <t xml:space="preserve">Urethra / bladder damage</t>
        </is>
      </c>
      <c r="E25" s="6" t="n">
        <v>1</v>
      </c>
      <c r="F25" s="5" t="inlineStr">
        <is>
          <t xml:space="preserve">Quality</t>
        </is>
      </c>
    </row>
    <row r="26">
      <c r="A26" s="5" t="inlineStr">
        <is>
          <t xml:space="preserve">SH</t>
        </is>
      </c>
      <c r="B26" s="49" t="n">
        <v>46189</v>
      </c>
      <c r="C26" s="5" t="inlineStr">
        <is>
          <t xml:space="preserve">Pelvic</t>
        </is>
      </c>
      <c r="D26" s="5" t="inlineStr">
        <is>
          <t xml:space="preserve">Ureter damage</t>
        </is>
      </c>
      <c r="E26" s="6" t="n">
        <v>1</v>
      </c>
      <c r="F26" s="5" t="inlineStr">
        <is>
          <t xml:space="preserve">Quality</t>
        </is>
      </c>
    </row>
    <row r="27">
      <c r="A27" s="5" t="inlineStr">
        <is>
          <t xml:space="preserve">SH</t>
        </is>
      </c>
      <c r="B27" s="49" t="n">
        <v>46197</v>
      </c>
      <c r="C27" s="5" t="inlineStr">
        <is>
          <t xml:space="preserve">Pelvic</t>
        </is>
      </c>
      <c r="D27" s="5" t="inlineStr">
        <is>
          <t xml:space="preserve">Urethra / bladder damage</t>
        </is>
      </c>
      <c r="E27" s="6" t="n">
        <v>1</v>
      </c>
      <c r="F27" s="5" t="inlineStr">
        <is>
          <t xml:space="preserve">Quality</t>
        </is>
      </c>
    </row>
    <row r="28">
      <c r="A28" s="5" t="inlineStr">
        <is>
          <t xml:space="preserve">SH</t>
        </is>
      </c>
      <c r="B28" s="49" t="n">
        <v>46197</v>
      </c>
      <c r="C28" s="5" t="inlineStr">
        <is>
          <t xml:space="preserve">Pelvic</t>
        </is>
      </c>
      <c r="D28" s="5" t="inlineStr">
        <is>
          <t xml:space="preserve">Membrane damage</t>
        </is>
      </c>
      <c r="E28" s="6" t="n">
        <v>3</v>
      </c>
      <c r="F28" s="5" t="inlineStr">
        <is>
          <t xml:space="preserve">Quality</t>
        </is>
      </c>
    </row>
    <row r="29">
      <c r="A29" s="5" t="inlineStr">
        <is>
          <t xml:space="preserve">SH</t>
        </is>
      </c>
      <c r="B29" s="49" t="n">
        <v>46195</v>
      </c>
      <c r="C29" s="5" t="inlineStr">
        <is>
          <t xml:space="preserve">Pelvic</t>
        </is>
      </c>
      <c r="D29" s="5" t="inlineStr">
        <is>
          <t xml:space="preserve">Urethra / bladder damage</t>
        </is>
      </c>
      <c r="E29" s="6" t="n">
        <v>1</v>
      </c>
      <c r="F29" s="5" t="inlineStr">
        <is>
          <t xml:space="preserve">Quality</t>
        </is>
      </c>
    </row>
    <row r="30">
      <c r="A30" s="5" t="inlineStr">
        <is>
          <t xml:space="preserve">SH</t>
        </is>
      </c>
      <c r="B30" s="49" t="n">
        <v>46195</v>
      </c>
      <c r="C30" s="5" t="inlineStr">
        <is>
          <t xml:space="preserve">Pelvic</t>
        </is>
      </c>
      <c r="D30" s="5" t="inlineStr">
        <is>
          <t xml:space="preserve">Critical-area laceration</t>
        </is>
      </c>
      <c r="E30" s="6" t="n">
        <v>2</v>
      </c>
      <c r="F30" s="5" t="inlineStr">
        <is>
          <t xml:space="preserve">Quality</t>
        </is>
      </c>
    </row>
    <row r="31">
      <c r="A31" s="5" t="inlineStr">
        <is>
          <t xml:space="preserve">SH</t>
        </is>
      </c>
      <c r="B31" s="49" t="n">
        <v>46195</v>
      </c>
      <c r="C31" s="5" t="inlineStr">
        <is>
          <t xml:space="preserve">Pelvic</t>
        </is>
      </c>
      <c r="D31" s="5" t="inlineStr">
        <is>
          <t xml:space="preserve">Short block / mesentery length</t>
        </is>
      </c>
      <c r="E31" s="6" t="n">
        <v>2</v>
      </c>
      <c r="F31" s="5" t="inlineStr">
        <is>
          <t xml:space="preserve">Quality</t>
        </is>
      </c>
    </row>
    <row r="32">
      <c r="A32" s="5" t="inlineStr">
        <is>
          <t xml:space="preserve">SH</t>
        </is>
      </c>
      <c r="B32" s="49" t="n">
        <v>46198</v>
      </c>
      <c r="C32" s="5" t="inlineStr">
        <is>
          <t xml:space="preserve">Pelvic</t>
        </is>
      </c>
      <c r="D32" s="5" t="inlineStr">
        <is>
          <t xml:space="preserve">Urethra / bladder damage</t>
        </is>
      </c>
      <c r="E32" s="6" t="n">
        <v>1</v>
      </c>
      <c r="F32" s="5" t="inlineStr">
        <is>
          <t xml:space="preserve">Quality</t>
        </is>
      </c>
    </row>
    <row r="33">
      <c r="A33" s="5" t="inlineStr">
        <is>
          <t xml:space="preserve">SH</t>
        </is>
      </c>
      <c r="B33" s="49" t="n">
        <v>46198</v>
      </c>
      <c r="C33" s="5" t="inlineStr">
        <is>
          <t xml:space="preserve">Pelvic</t>
        </is>
      </c>
      <c r="D33" s="5" t="inlineStr">
        <is>
          <t xml:space="preserve">Ureter damage</t>
        </is>
      </c>
      <c r="E33" s="6" t="n">
        <v>1</v>
      </c>
      <c r="F33" s="5" t="inlineStr">
        <is>
          <t xml:space="preserve">Quality</t>
        </is>
      </c>
    </row>
    <row r="34">
      <c r="A34" s="5" t="inlineStr">
        <is>
          <t xml:space="preserve">SH</t>
        </is>
      </c>
      <c r="B34" s="49" t="n">
        <v>46198</v>
      </c>
      <c r="C34" s="5" t="inlineStr">
        <is>
          <t xml:space="preserve">Pelvic</t>
        </is>
      </c>
      <c r="D34" s="5" t="inlineStr">
        <is>
          <t xml:space="preserve">Short block / mesentery length</t>
        </is>
      </c>
      <c r="E34" s="6" t="n">
        <v>1</v>
      </c>
      <c r="F34" s="5" t="inlineStr">
        <is>
          <t xml:space="preserve">Quality</t>
        </is>
      </c>
    </row>
    <row r="35">
      <c r="A35" s="5" t="inlineStr">
        <is>
          <t xml:space="preserve">SH</t>
        </is>
      </c>
      <c r="B35" s="49" t="n">
        <v>46202</v>
      </c>
      <c r="C35" s="5" t="inlineStr">
        <is>
          <t xml:space="preserve">Pelvic</t>
        </is>
      </c>
      <c r="D35" s="5" t="inlineStr">
        <is>
          <t xml:space="preserve">Bowel damage / separation</t>
        </is>
      </c>
      <c r="E35" s="6" t="n">
        <v>2</v>
      </c>
      <c r="F35" s="5" t="inlineStr">
        <is>
          <t xml:space="preserve">Quality</t>
        </is>
      </c>
    </row>
    <row r="36">
      <c r="A36" s="5" t="inlineStr">
        <is>
          <t xml:space="preserve">SH</t>
        </is>
      </c>
      <c r="B36" s="49" t="n">
        <v>46202</v>
      </c>
      <c r="C36" s="5" t="inlineStr">
        <is>
          <t xml:space="preserve">Pelvic</t>
        </is>
      </c>
      <c r="D36" s="5" t="inlineStr">
        <is>
          <t xml:space="preserve">Short block / mesentery length</t>
        </is>
      </c>
      <c r="E36" s="6" t="n">
        <v>2</v>
      </c>
      <c r="F36" s="5" t="inlineStr">
        <is>
          <t xml:space="preserve">Quality</t>
        </is>
      </c>
    </row>
    <row r="37">
      <c r="A37" s="5" t="inlineStr">
        <is>
          <t xml:space="preserve">SH</t>
        </is>
      </c>
      <c r="B37" s="49" t="n">
        <v>46202</v>
      </c>
      <c r="C37" s="5" t="inlineStr">
        <is>
          <t xml:space="preserve">Pelvic</t>
        </is>
      </c>
      <c r="D37" s="5" t="inlineStr">
        <is>
          <t xml:space="preserve">Critical-area laceration</t>
        </is>
      </c>
      <c r="E37" s="6" t="n">
        <v>1</v>
      </c>
      <c r="F37" s="5" t="inlineStr">
        <is>
          <t xml:space="preserve">Quality</t>
        </is>
      </c>
    </row>
    <row r="38">
      <c r="A38" s="5" t="inlineStr">
        <is>
          <t xml:space="preserve">SH</t>
        </is>
      </c>
      <c r="B38" s="49" t="n">
        <v>46202</v>
      </c>
      <c r="C38" s="5" t="inlineStr">
        <is>
          <t xml:space="preserve">Pelvic</t>
        </is>
      </c>
      <c r="D38" s="5" t="inlineStr">
        <is>
          <t xml:space="preserve">Urethra / bladder damage</t>
        </is>
      </c>
      <c r="E38" s="6" t="n">
        <v>7</v>
      </c>
      <c r="F38" s="5" t="inlineStr">
        <is>
          <t xml:space="preserve">Quality</t>
        </is>
      </c>
    </row>
    <row r="39">
      <c r="A39" s="5" t="inlineStr">
        <is>
          <t xml:space="preserve">SH</t>
        </is>
      </c>
      <c r="B39" s="49" t="n">
        <v>46209</v>
      </c>
      <c r="C39" s="5" t="inlineStr">
        <is>
          <t xml:space="preserve">Pelvic</t>
        </is>
      </c>
      <c r="D39" s="5" t="inlineStr">
        <is>
          <t xml:space="preserve">Urethra / bladder damage</t>
        </is>
      </c>
      <c r="E39" s="6" t="n">
        <v>1</v>
      </c>
      <c r="F39" s="5" t="inlineStr">
        <is>
          <t xml:space="preserve">Quality</t>
        </is>
      </c>
    </row>
    <row r="40">
      <c r="A40" s="5" t="inlineStr">
        <is>
          <t xml:space="preserve">SH</t>
        </is>
      </c>
      <c r="B40" s="49" t="n">
        <v>46209</v>
      </c>
      <c r="C40" s="5" t="inlineStr">
        <is>
          <t xml:space="preserve">Pelvic</t>
        </is>
      </c>
      <c r="D40" s="5" t="inlineStr">
        <is>
          <t xml:space="preserve">Membrane damage</t>
        </is>
      </c>
      <c r="E40" s="6" t="n">
        <v>1</v>
      </c>
      <c r="F40" s="5" t="inlineStr">
        <is>
          <t xml:space="preserve">Quality</t>
        </is>
      </c>
    </row>
    <row r="41">
      <c r="A41" s="5" t="inlineStr">
        <is>
          <t xml:space="preserve">SH</t>
        </is>
      </c>
      <c r="B41" s="49" t="n">
        <v>46216</v>
      </c>
      <c r="C41" s="5" t="inlineStr">
        <is>
          <t xml:space="preserve">Pelvic</t>
        </is>
      </c>
      <c r="D41" s="5" t="inlineStr">
        <is>
          <t xml:space="preserve">Membrane damage</t>
        </is>
      </c>
      <c r="E41" s="6" t="n">
        <v>1</v>
      </c>
      <c r="F41" s="5" t="inlineStr">
        <is>
          <t xml:space="preserve">Quality</t>
        </is>
      </c>
    </row>
    <row r="42">
      <c r="A42" s="5" t="inlineStr">
        <is>
          <t xml:space="preserve">SH</t>
        </is>
      </c>
      <c r="B42" s="49" t="n">
        <v>46216</v>
      </c>
      <c r="C42" s="5" t="inlineStr">
        <is>
          <t xml:space="preserve">Pelvic</t>
        </is>
      </c>
      <c r="D42" s="5" t="inlineStr">
        <is>
          <t xml:space="preserve">Urethra / bladder damage</t>
        </is>
      </c>
      <c r="E42" s="6" t="n">
        <v>1</v>
      </c>
      <c r="F42" s="5" t="inlineStr">
        <is>
          <t xml:space="preserve">Quality</t>
        </is>
      </c>
    </row>
    <row r="43">
      <c r="A43" s="5" t="inlineStr">
        <is>
          <t xml:space="preserve">SH</t>
        </is>
      </c>
      <c r="B43" s="49" t="n">
        <v>46216</v>
      </c>
      <c r="C43" s="5" t="inlineStr">
        <is>
          <t xml:space="preserve">Pelvic</t>
        </is>
      </c>
      <c r="D43" s="5" t="inlineStr">
        <is>
          <t xml:space="preserve">Bowel damage / separation</t>
        </is>
      </c>
      <c r="E43" s="6" t="n">
        <v>2</v>
      </c>
      <c r="F43" s="5" t="inlineStr">
        <is>
          <t xml:space="preserve">Quality</t>
        </is>
      </c>
    </row>
    <row r="44">
      <c r="A44" s="5" t="inlineStr">
        <is>
          <t xml:space="preserve">SH</t>
        </is>
      </c>
      <c r="B44" s="49" t="n">
        <v>46216</v>
      </c>
      <c r="C44" s="5" t="inlineStr">
        <is>
          <t xml:space="preserve">Pelvic</t>
        </is>
      </c>
      <c r="D44" s="5" t="inlineStr">
        <is>
          <t xml:space="preserve">Short block / mesentery length</t>
        </is>
      </c>
      <c r="E44" s="6" t="n">
        <v>3</v>
      </c>
      <c r="F44" s="5" t="inlineStr">
        <is>
          <t xml:space="preserve">Quality</t>
        </is>
      </c>
    </row>
    <row r="45">
      <c r="A45" s="5" t="inlineStr">
        <is>
          <t xml:space="preserve">SH</t>
        </is>
      </c>
      <c r="B45" s="49" t="n">
        <v>46223</v>
      </c>
      <c r="C45" s="5" t="inlineStr">
        <is>
          <t xml:space="preserve">Pelvic</t>
        </is>
      </c>
      <c r="D45" s="5" t="inlineStr">
        <is>
          <t xml:space="preserve">Urethra / bladder damage</t>
        </is>
      </c>
      <c r="E45" s="6" t="n">
        <v>1</v>
      </c>
      <c r="F45" s="5" t="inlineStr">
        <is>
          <t xml:space="preserve">Quality</t>
        </is>
      </c>
    </row>
    <row r="46">
      <c r="A46" s="5" t="inlineStr">
        <is>
          <t xml:space="preserve">SH</t>
        </is>
      </c>
      <c r="B46" s="49" t="n">
        <v>46223</v>
      </c>
      <c r="C46" s="5" t="inlineStr">
        <is>
          <t xml:space="preserve">Pelvic</t>
        </is>
      </c>
      <c r="D46" s="5" t="inlineStr">
        <is>
          <t xml:space="preserve">Other / unspecified</t>
        </is>
      </c>
      <c r="E46" s="6" t="n">
        <v>1</v>
      </c>
      <c r="F46" s="5" t="inlineStr">
        <is>
          <t xml:space="preserve">Quality</t>
        </is>
      </c>
    </row>
    <row r="47">
      <c r="A47" s="5" t="inlineStr">
        <is>
          <t xml:space="preserve">SH</t>
        </is>
      </c>
      <c r="B47" s="49" t="n">
        <v>46223</v>
      </c>
      <c r="C47" s="5" t="inlineStr">
        <is>
          <t xml:space="preserve">Pelvic</t>
        </is>
      </c>
      <c r="D47" s="5" t="inlineStr">
        <is>
          <t xml:space="preserve">Membrane damage</t>
        </is>
      </c>
      <c r="E47" s="6" t="n">
        <v>1</v>
      </c>
      <c r="F47" s="5" t="inlineStr">
        <is>
          <t xml:space="preserve">Quality</t>
        </is>
      </c>
    </row>
    <row r="48">
      <c r="A48" s="5" t="inlineStr">
        <is>
          <t xml:space="preserve">SH</t>
        </is>
      </c>
      <c r="B48" s="49" t="n">
        <v>46230</v>
      </c>
      <c r="C48" s="5" t="inlineStr">
        <is>
          <t xml:space="preserve">Pelvic</t>
        </is>
      </c>
      <c r="D48" s="5" t="inlineStr">
        <is>
          <t xml:space="preserve">Membrane damage</t>
        </is>
      </c>
      <c r="E48" s="6" t="n">
        <v>1</v>
      </c>
      <c r="F48" s="5" t="inlineStr">
        <is>
          <t xml:space="preserve">Quality</t>
        </is>
      </c>
    </row>
    <row r="49">
      <c r="A49" s="5" t="inlineStr">
        <is>
          <t xml:space="preserve">SH</t>
        </is>
      </c>
      <c r="B49" s="49" t="n">
        <v>46232</v>
      </c>
      <c r="C49" s="5" t="inlineStr">
        <is>
          <t xml:space="preserve">Thoracic</t>
        </is>
      </c>
      <c r="D49" s="5" t="inlineStr">
        <is>
          <t xml:space="preserve">Lung laceration</t>
        </is>
      </c>
      <c r="E49" s="6" t="n">
        <v>11</v>
      </c>
      <c r="F49" s="5" t="inlineStr">
        <is>
          <t xml:space="preserve">Quality</t>
        </is>
      </c>
    </row>
    <row r="50">
      <c r="A50" s="5" t="inlineStr">
        <is>
          <t xml:space="preserve">SH</t>
        </is>
      </c>
      <c r="B50" s="49" t="n">
        <v>46232</v>
      </c>
      <c r="C50" s="5" t="inlineStr">
        <is>
          <t xml:space="preserve">Thoracic</t>
        </is>
      </c>
      <c r="D50" s="5" t="inlineStr">
        <is>
          <t xml:space="preserve">Heart damage</t>
        </is>
      </c>
      <c r="E50" s="6" t="n">
        <v>2</v>
      </c>
      <c r="F50" s="5" t="inlineStr">
        <is>
          <t xml:space="preserve">Quality</t>
        </is>
      </c>
    </row>
    <row r="51">
      <c r="A51" s="5" t="inlineStr">
        <is>
          <t xml:space="preserve">SH</t>
        </is>
      </c>
      <c r="B51" s="49" t="n">
        <v>46233</v>
      </c>
      <c r="C51" s="5" t="inlineStr">
        <is>
          <t xml:space="preserve">Pelvic</t>
        </is>
      </c>
      <c r="D51" s="5" t="inlineStr">
        <is>
          <t xml:space="preserve">Short block / mesentery length</t>
        </is>
      </c>
      <c r="E51" s="6" t="n">
        <v>1</v>
      </c>
      <c r="F51" s="5" t="inlineStr">
        <is>
          <t xml:space="preserve">Quality</t>
        </is>
      </c>
    </row>
    <row r="52">
      <c r="A52" s="5" t="inlineStr">
        <is>
          <t xml:space="preserve">SH</t>
        </is>
      </c>
      <c r="B52" s="49" t="n">
        <v>46239</v>
      </c>
      <c r="C52" s="5" t="inlineStr">
        <is>
          <t xml:space="preserve">Pelvic</t>
        </is>
      </c>
      <c r="D52" s="5" t="inlineStr">
        <is>
          <t xml:space="preserve">Membrane damage</t>
        </is>
      </c>
      <c r="E52" s="6" t="n">
        <v>1</v>
      </c>
      <c r="F52" s="5" t="inlineStr">
        <is>
          <t xml:space="preserve">Quality</t>
        </is>
      </c>
    </row>
    <row r="53">
      <c r="A53" s="5" t="inlineStr">
        <is>
          <t xml:space="preserve">SH</t>
        </is>
      </c>
      <c r="B53" s="49" t="n">
        <v>46239</v>
      </c>
      <c r="C53" s="5" t="inlineStr">
        <is>
          <t xml:space="preserve">Pelvic</t>
        </is>
      </c>
      <c r="D53" s="5" t="inlineStr">
        <is>
          <t xml:space="preserve">Bowel damage / separation</t>
        </is>
      </c>
      <c r="E53" s="6" t="n">
        <v>1</v>
      </c>
      <c r="F53" s="5" t="inlineStr">
        <is>
          <t xml:space="preserve">Quality</t>
        </is>
      </c>
    </row>
    <row r="54">
      <c r="A54" s="5" t="inlineStr">
        <is>
          <t xml:space="preserve">SH</t>
        </is>
      </c>
      <c r="B54" s="49" t="n">
        <v>46244</v>
      </c>
      <c r="C54" s="5" t="inlineStr">
        <is>
          <t xml:space="preserve">Pelvic</t>
        </is>
      </c>
      <c r="D54" s="5" t="inlineStr">
        <is>
          <t xml:space="preserve">Urethra / bladder damage</t>
        </is>
      </c>
      <c r="E54" s="6" t="n">
        <v>2</v>
      </c>
      <c r="F54" s="5" t="inlineStr">
        <is>
          <t xml:space="preserve">Quality</t>
        </is>
      </c>
    </row>
    <row r="55">
      <c r="A55" s="5" t="inlineStr">
        <is>
          <t xml:space="preserve">SH</t>
        </is>
      </c>
      <c r="B55" s="49" t="n">
        <v>46251</v>
      </c>
      <c r="C55" s="5" t="inlineStr">
        <is>
          <t xml:space="preserve">Pelvic</t>
        </is>
      </c>
      <c r="D55" s="5" t="inlineStr">
        <is>
          <t xml:space="preserve">Bowel damage / separation</t>
        </is>
      </c>
      <c r="E55" s="6" t="n">
        <v>1</v>
      </c>
      <c r="F55" s="5" t="inlineStr">
        <is>
          <t xml:space="preserve">Quality</t>
        </is>
      </c>
    </row>
    <row r="56">
      <c r="A56" s="5" t="inlineStr">
        <is>
          <t xml:space="preserve">SH</t>
        </is>
      </c>
      <c r="B56" s="49" t="n">
        <v>46219</v>
      </c>
      <c r="C56" s="5" t="inlineStr">
        <is>
          <t xml:space="preserve">Pelvic</t>
        </is>
      </c>
      <c r="D56" s="5" t="inlineStr">
        <is>
          <t xml:space="preserve">Short block / mesentery length</t>
        </is>
      </c>
      <c r="E56" s="6" t="n">
        <v>2</v>
      </c>
      <c r="F56" s="5" t="inlineStr">
        <is>
          <t xml:space="preserve">Quality</t>
        </is>
      </c>
    </row>
    <row r="57">
      <c r="A57" s="5" t="inlineStr">
        <is>
          <t xml:space="preserve">SH</t>
        </is>
      </c>
      <c r="B57" s="49" t="n">
        <v>46219</v>
      </c>
      <c r="C57" s="5" t="inlineStr">
        <is>
          <t xml:space="preserve">Pelvic</t>
        </is>
      </c>
      <c r="D57" s="5" t="inlineStr">
        <is>
          <t xml:space="preserve">Critical-area laceration</t>
        </is>
      </c>
      <c r="E57" s="6" t="n">
        <v>2</v>
      </c>
      <c r="F57" s="5" t="inlineStr">
        <is>
          <t xml:space="preserve">Quality</t>
        </is>
      </c>
    </row>
    <row r="58">
      <c r="A58" s="5" t="inlineStr">
        <is>
          <t xml:space="preserve">SH</t>
        </is>
      </c>
      <c r="B58" s="49" t="n">
        <v>46230</v>
      </c>
      <c r="C58" s="5" t="inlineStr">
        <is>
          <t xml:space="preserve">Pelvic</t>
        </is>
      </c>
      <c r="D58" s="5" t="inlineStr">
        <is>
          <t xml:space="preserve">Ureter damage</t>
        </is>
      </c>
      <c r="E58" s="6" t="n">
        <v>1</v>
      </c>
      <c r="F58" s="5" t="inlineStr">
        <is>
          <t xml:space="preserve">Quality</t>
        </is>
      </c>
    </row>
    <row r="59">
      <c r="A59" s="5" t="inlineStr">
        <is>
          <t xml:space="preserve">SH</t>
        </is>
      </c>
      <c r="B59" s="49" t="n">
        <v>46230</v>
      </c>
      <c r="C59" s="5" t="inlineStr">
        <is>
          <t xml:space="preserve">Pelvic</t>
        </is>
      </c>
      <c r="D59" s="5" t="inlineStr">
        <is>
          <t xml:space="preserve">Critical-area laceration</t>
        </is>
      </c>
      <c r="E59" s="6" t="n">
        <v>1</v>
      </c>
      <c r="F59" s="5" t="inlineStr">
        <is>
          <t xml:space="preserve">Quality</t>
        </is>
      </c>
    </row>
    <row r="60">
      <c r="A60" s="5" t="inlineStr">
        <is>
          <t xml:space="preserve">SH</t>
        </is>
      </c>
      <c r="B60" s="49" t="n">
        <v>46230</v>
      </c>
      <c r="C60" s="5" t="inlineStr">
        <is>
          <t xml:space="preserve">Pelvic</t>
        </is>
      </c>
      <c r="D60" s="5" t="inlineStr">
        <is>
          <t xml:space="preserve">Bowel damage / separation</t>
        </is>
      </c>
      <c r="E60" s="6" t="n">
        <v>1</v>
      </c>
      <c r="F60" s="5" t="inlineStr">
        <is>
          <t xml:space="preserve">Quality</t>
        </is>
      </c>
    </row>
    <row r="61">
      <c r="A61" s="5" t="inlineStr">
        <is>
          <t xml:space="preserve">SH</t>
        </is>
      </c>
      <c r="B61" s="49" t="n">
        <v>46248</v>
      </c>
      <c r="C61" s="5" t="inlineStr">
        <is>
          <t xml:space="preserve">Pelvic</t>
        </is>
      </c>
      <c r="D61" s="5" t="inlineStr">
        <is>
          <t xml:space="preserve">Bowel damage / separation</t>
        </is>
      </c>
      <c r="E61" s="6" t="n">
        <v>1</v>
      </c>
      <c r="F61" s="5" t="inlineStr">
        <is>
          <t xml:space="preserve">Quality</t>
        </is>
      </c>
    </row>
    <row r="62">
      <c r="A62" s="5" t="inlineStr">
        <is>
          <t xml:space="preserve">SH</t>
        </is>
      </c>
      <c r="B62" s="49" t="n">
        <v>46239</v>
      </c>
      <c r="C62" s="5" t="inlineStr">
        <is>
          <t xml:space="preserve">Thoracic</t>
        </is>
      </c>
      <c r="D62" s="5" t="inlineStr">
        <is>
          <t xml:space="preserve">Lung laceration</t>
        </is>
      </c>
      <c r="E62" s="6" t="n">
        <v>11</v>
      </c>
      <c r="F62" s="5" t="inlineStr">
        <is>
          <t xml:space="preserve">Quality</t>
        </is>
      </c>
    </row>
    <row r="63">
      <c r="A63" s="5" t="inlineStr">
        <is>
          <t xml:space="preserve">SH</t>
        </is>
      </c>
      <c r="B63" s="49" t="n">
        <v>46239</v>
      </c>
      <c r="C63" s="5" t="inlineStr">
        <is>
          <t xml:space="preserve">Thoracic</t>
        </is>
      </c>
      <c r="D63" s="5" t="inlineStr">
        <is>
          <t xml:space="preserve">Heart damage</t>
        </is>
      </c>
      <c r="E63" s="6" t="n">
        <v>4</v>
      </c>
      <c r="F63" s="5" t="inlineStr">
        <is>
          <t xml:space="preserve">Quality</t>
        </is>
      </c>
    </row>
    <row r="64">
      <c r="A64" s="5" t="inlineStr">
        <is>
          <t xml:space="preserve">SH</t>
        </is>
      </c>
      <c r="B64" s="49" t="n">
        <v>46246</v>
      </c>
      <c r="C64" s="5" t="inlineStr">
        <is>
          <t xml:space="preserve">Thoracic</t>
        </is>
      </c>
      <c r="D64" s="5" t="inlineStr">
        <is>
          <t xml:space="preserve">Lung laceration</t>
        </is>
      </c>
      <c r="E64" s="6" t="n">
        <v>9</v>
      </c>
      <c r="F64" s="5" t="inlineStr">
        <is>
          <t xml:space="preserve">Quality</t>
        </is>
      </c>
    </row>
    <row r="65">
      <c r="A65" s="5" t="inlineStr">
        <is>
          <t xml:space="preserve">SH</t>
        </is>
      </c>
      <c r="B65" s="49" t="n">
        <v>46246</v>
      </c>
      <c r="C65" s="5" t="inlineStr">
        <is>
          <t xml:space="preserve">Thoracic</t>
        </is>
      </c>
      <c r="D65" s="5" t="inlineStr">
        <is>
          <t xml:space="preserve">Heart damage</t>
        </is>
      </c>
      <c r="E65" s="6" t="n">
        <v>3</v>
      </c>
      <c r="F65" s="5" t="inlineStr">
        <is>
          <t xml:space="preserve">Quality</t>
        </is>
      </c>
    </row>
    <row r="66">
      <c r="A66" s="5" t="inlineStr">
        <is>
          <t xml:space="preserve">SH</t>
        </is>
      </c>
      <c r="B66" s="49" t="n">
        <v>46246</v>
      </c>
      <c r="C66" s="5" t="inlineStr">
        <is>
          <t xml:space="preserve">Pelvic</t>
        </is>
      </c>
      <c r="D66" s="5" t="inlineStr">
        <is>
          <t xml:space="preserve">Other / unspecified</t>
        </is>
      </c>
      <c r="E66" s="6" t="n">
        <v>12</v>
      </c>
      <c r="F66" s="5" t="inlineStr">
        <is>
          <t xml:space="preserve">Quality</t>
        </is>
      </c>
    </row>
    <row r="67">
      <c r="A67" s="5" t="inlineStr">
        <is>
          <t xml:space="preserve">SH</t>
        </is>
      </c>
      <c r="B67" s="49" t="n">
        <v>46253</v>
      </c>
      <c r="C67" s="5" t="inlineStr">
        <is>
          <t xml:space="preserve">Thoracic</t>
        </is>
      </c>
      <c r="D67" s="5" t="inlineStr">
        <is>
          <t xml:space="preserve">Lung laceration</t>
        </is>
      </c>
      <c r="E67" s="6" t="n">
        <v>11</v>
      </c>
      <c r="F67" s="5" t="inlineStr">
        <is>
          <t xml:space="preserve">Quality</t>
        </is>
      </c>
    </row>
    <row r="68">
      <c r="A68" s="5" t="inlineStr">
        <is>
          <t xml:space="preserve">SH</t>
        </is>
      </c>
      <c r="B68" s="49" t="n">
        <v>46253</v>
      </c>
      <c r="C68" s="5" t="inlineStr">
        <is>
          <t xml:space="preserve">Thoracic</t>
        </is>
      </c>
      <c r="D68" s="5" t="inlineStr">
        <is>
          <t xml:space="preserve">Heart damage</t>
        </is>
      </c>
      <c r="E68" s="6" t="n">
        <v>12</v>
      </c>
      <c r="F68" s="5" t="inlineStr">
        <is>
          <t xml:space="preserve">Quality</t>
        </is>
      </c>
    </row>
    <row r="69">
      <c r="A69" s="5" t="inlineStr">
        <is>
          <t xml:space="preserve">ATM</t>
        </is>
      </c>
      <c r="B69" s="49" t="n">
        <v>45538</v>
      </c>
      <c r="C69" s="5" t="inlineStr">
        <is>
          <t xml:space="preserve">Thoracic</t>
        </is>
      </c>
      <c r="D69" s="5" t="inlineStr">
        <is>
          <t xml:space="preserve">7 · Others</t>
        </is>
      </c>
      <c r="E69" s="6" t="n">
        <v>1</v>
      </c>
      <c r="F69" s="5" t="inlineStr">
        <is>
          <t xml:space="preserve">Quality</t>
        </is>
      </c>
    </row>
    <row r="70">
      <c r="A70" s="5" t="inlineStr">
        <is>
          <t xml:space="preserve">ATM</t>
        </is>
      </c>
      <c r="B70" s="49" t="n">
        <v>45565</v>
      </c>
      <c r="C70" s="5" t="inlineStr">
        <is>
          <t xml:space="preserve">Thoracic</t>
        </is>
      </c>
      <c r="D70" s="5" t="inlineStr">
        <is>
          <t xml:space="preserve">1220 · Destructive Testing (eng/R&amp;D)</t>
        </is>
      </c>
      <c r="E70" s="6" t="n">
        <v>2</v>
      </c>
      <c r="F70" s="5" t="inlineStr">
        <is>
          <t xml:space="preserve">Planned</t>
        </is>
      </c>
    </row>
    <row r="71">
      <c r="A71" s="5" t="inlineStr">
        <is>
          <t xml:space="preserve">ATM</t>
        </is>
      </c>
      <c r="B71" s="49" t="n">
        <v>45567</v>
      </c>
      <c r="C71" s="5" t="inlineStr">
        <is>
          <t xml:space="preserve">Thoracic</t>
        </is>
      </c>
      <c r="D71" s="5" t="inlineStr">
        <is>
          <t xml:space="preserve">1220 · Destructive Testing (eng/R&amp;D)</t>
        </is>
      </c>
      <c r="E71" s="6" t="n">
        <v>2</v>
      </c>
      <c r="F71" s="5" t="inlineStr">
        <is>
          <t xml:space="preserve">Planned</t>
        </is>
      </c>
    </row>
    <row r="72">
      <c r="A72" s="5" t="inlineStr">
        <is>
          <t xml:space="preserve">ATM</t>
        </is>
      </c>
      <c r="B72" s="49" t="n">
        <v>45580</v>
      </c>
      <c r="C72" s="5" t="inlineStr">
        <is>
          <t xml:space="preserve">Thoracic</t>
        </is>
      </c>
      <c r="D72" s="5" t="inlineStr">
        <is>
          <t xml:space="preserve">1220 · Destructive Testing (eng/R&amp;D)</t>
        </is>
      </c>
      <c r="E72" s="6" t="n">
        <v>2</v>
      </c>
      <c r="F72" s="5" t="inlineStr">
        <is>
          <t xml:space="preserve">Planned</t>
        </is>
      </c>
    </row>
    <row r="73">
      <c r="A73" s="5" t="inlineStr">
        <is>
          <t xml:space="preserve">ATM</t>
        </is>
      </c>
      <c r="B73" s="49" t="n">
        <v>45593</v>
      </c>
      <c r="C73" s="5" t="inlineStr">
        <is>
          <t xml:space="preserve">Thoracic</t>
        </is>
      </c>
      <c r="D73" s="5" t="inlineStr">
        <is>
          <t xml:space="preserve">1220 · Destructive Testing (eng/R&amp;D)</t>
        </is>
      </c>
      <c r="E73" s="6" t="n">
        <v>1</v>
      </c>
      <c r="F73" s="5" t="inlineStr">
        <is>
          <t xml:space="preserve">Planned</t>
        </is>
      </c>
    </row>
    <row r="74">
      <c r="A74" s="5" t="inlineStr">
        <is>
          <t xml:space="preserve">ATM</t>
        </is>
      </c>
      <c r="B74" s="49" t="n">
        <v>45615</v>
      </c>
      <c r="C74" s="5" t="inlineStr">
        <is>
          <t xml:space="preserve">Thoracic</t>
        </is>
      </c>
      <c r="D74" s="5" t="inlineStr">
        <is>
          <t xml:space="preserve">1220 · Destructive Testing (eng/R&amp;D)</t>
        </is>
      </c>
      <c r="E74" s="6" t="n">
        <v>2</v>
      </c>
      <c r="F74" s="5" t="inlineStr">
        <is>
          <t xml:space="preserve">Planned</t>
        </is>
      </c>
    </row>
    <row r="75">
      <c r="A75" s="5" t="inlineStr">
        <is>
          <t xml:space="preserve">ATM</t>
        </is>
      </c>
      <c r="B75" s="49" t="n">
        <v>45638</v>
      </c>
      <c r="C75" s="5" t="inlineStr">
        <is>
          <t xml:space="preserve">Thoracic</t>
        </is>
      </c>
      <c r="D75" s="5" t="inlineStr">
        <is>
          <t xml:space="preserve">1220 · Destructive Testing (eng/R&amp;D)</t>
        </is>
      </c>
      <c r="E75" s="6" t="n">
        <v>1</v>
      </c>
      <c r="F75" s="5" t="inlineStr">
        <is>
          <t xml:space="preserve">Planned</t>
        </is>
      </c>
    </row>
    <row r="76">
      <c r="A76" s="5" t="inlineStr">
        <is>
          <t xml:space="preserve">ATM</t>
        </is>
      </c>
      <c r="B76" s="49" t="n">
        <v>45659</v>
      </c>
      <c r="C76" s="5" t="inlineStr">
        <is>
          <t xml:space="preserve">Thoracic</t>
        </is>
      </c>
      <c r="D76" s="5" t="inlineStr">
        <is>
          <t xml:space="preserve">1220 · Destructive Testing (eng/R&amp;D)</t>
        </is>
      </c>
      <c r="E76" s="6" t="n">
        <v>1</v>
      </c>
      <c r="F76" s="5" t="inlineStr">
        <is>
          <t xml:space="preserve">Planned</t>
        </is>
      </c>
    </row>
    <row r="77">
      <c r="A77" s="5" t="inlineStr">
        <is>
          <t xml:space="preserve">ATM</t>
        </is>
      </c>
      <c r="B77" s="49" t="n">
        <v>45663</v>
      </c>
      <c r="C77" s="5" t="inlineStr">
        <is>
          <t xml:space="preserve">Thoracic</t>
        </is>
      </c>
      <c r="D77" s="5" t="inlineStr">
        <is>
          <t xml:space="preserve">7 · Others</t>
        </is>
      </c>
      <c r="E77" s="6" t="n">
        <v>2</v>
      </c>
      <c r="F77" s="5" t="inlineStr">
        <is>
          <t xml:space="preserve">Quality</t>
        </is>
      </c>
    </row>
    <row r="78">
      <c r="A78" s="5" t="inlineStr">
        <is>
          <t xml:space="preserve">ATM</t>
        </is>
      </c>
      <c r="B78" s="49" t="n">
        <v>45664</v>
      </c>
      <c r="C78" s="5" t="inlineStr">
        <is>
          <t xml:space="preserve">Thoracic</t>
        </is>
      </c>
      <c r="D78" s="5" t="inlineStr">
        <is>
          <t xml:space="preserve">1220 · Destructive Testing (eng/R&amp;D)</t>
        </is>
      </c>
      <c r="E78" s="6" t="n">
        <v>1</v>
      </c>
      <c r="F78" s="5" t="inlineStr">
        <is>
          <t xml:space="preserve">Planned</t>
        </is>
      </c>
    </row>
    <row r="79">
      <c r="A79" s="5" t="inlineStr">
        <is>
          <t xml:space="preserve">ATM</t>
        </is>
      </c>
      <c r="B79" s="49" t="n">
        <v>45665</v>
      </c>
      <c r="C79" s="5" t="inlineStr">
        <is>
          <t xml:space="preserve">Thoracic</t>
        </is>
      </c>
      <c r="D79" s="5" t="inlineStr">
        <is>
          <t xml:space="preserve">1220 · Destructive Testing (eng/R&amp;D)</t>
        </is>
      </c>
      <c r="E79" s="6" t="n">
        <v>1</v>
      </c>
      <c r="F79" s="5" t="inlineStr">
        <is>
          <t xml:space="preserve">Planned</t>
        </is>
      </c>
    </row>
    <row r="80">
      <c r="A80" s="5" t="inlineStr">
        <is>
          <t xml:space="preserve">ATM</t>
        </is>
      </c>
      <c r="B80" s="49" t="n">
        <v>45666</v>
      </c>
      <c r="C80" s="5" t="inlineStr">
        <is>
          <t xml:space="preserve">Thoracic</t>
        </is>
      </c>
      <c r="D80" s="5" t="inlineStr">
        <is>
          <t xml:space="preserve">1220 · Destructive Testing (eng/R&amp;D)</t>
        </is>
      </c>
      <c r="E80" s="6" t="n">
        <v>1</v>
      </c>
      <c r="F80" s="5" t="inlineStr">
        <is>
          <t xml:space="preserve">Planned</t>
        </is>
      </c>
    </row>
    <row r="81">
      <c r="A81" s="5" t="inlineStr">
        <is>
          <t xml:space="preserve">ATM</t>
        </is>
      </c>
      <c r="B81" s="49" t="n">
        <v>45670</v>
      </c>
      <c r="C81" s="5" t="inlineStr">
        <is>
          <t xml:space="preserve">Thoracic</t>
        </is>
      </c>
      <c r="D81" s="5" t="inlineStr">
        <is>
          <t xml:space="preserve">1220 · Destructive Testing (eng/R&amp;D)</t>
        </is>
      </c>
      <c r="E81" s="6" t="n">
        <v>1</v>
      </c>
      <c r="F81" s="5" t="inlineStr">
        <is>
          <t xml:space="preserve">Planned</t>
        </is>
      </c>
    </row>
    <row r="82">
      <c r="A82" s="5" t="inlineStr">
        <is>
          <t xml:space="preserve">ATM</t>
        </is>
      </c>
      <c r="B82" s="49" t="n">
        <v>45672</v>
      </c>
      <c r="C82" s="5" t="inlineStr">
        <is>
          <t xml:space="preserve">Thoracic</t>
        </is>
      </c>
      <c r="D82" s="5" t="inlineStr">
        <is>
          <t xml:space="preserve">1220 · Destructive Testing (eng/R&amp;D)</t>
        </is>
      </c>
      <c r="E82" s="6" t="n">
        <v>1</v>
      </c>
      <c r="F82" s="5" t="inlineStr">
        <is>
          <t xml:space="preserve">Planned</t>
        </is>
      </c>
    </row>
    <row r="83">
      <c r="A83" s="5" t="inlineStr">
        <is>
          <t xml:space="preserve">ATM</t>
        </is>
      </c>
      <c r="B83" s="49" t="n">
        <v>45686</v>
      </c>
      <c r="C83" s="5" t="inlineStr">
        <is>
          <t xml:space="preserve">Thoracic</t>
        </is>
      </c>
      <c r="D83" s="5" t="inlineStr">
        <is>
          <t xml:space="preserve">1220 · Destructive Testing (eng/R&amp;D)</t>
        </is>
      </c>
      <c r="E83" s="6" t="n">
        <v>1</v>
      </c>
      <c r="F83" s="5" t="inlineStr">
        <is>
          <t xml:space="preserve">Planned</t>
        </is>
      </c>
    </row>
    <row r="84">
      <c r="A84" s="5" t="inlineStr">
        <is>
          <t xml:space="preserve">ATM</t>
        </is>
      </c>
      <c r="B84" s="49" t="n">
        <v>45693</v>
      </c>
      <c r="C84" s="5" t="inlineStr">
        <is>
          <t xml:space="preserve">Thoracic</t>
        </is>
      </c>
      <c r="D84" s="5" t="inlineStr">
        <is>
          <t xml:space="preserve">1220 · Destructive Testing (eng/R&amp;D)</t>
        </is>
      </c>
      <c r="E84" s="6" t="n">
        <v>2</v>
      </c>
      <c r="F84" s="5" t="inlineStr">
        <is>
          <t xml:space="preserve">Planned</t>
        </is>
      </c>
    </row>
    <row r="85">
      <c r="A85" s="5" t="inlineStr">
        <is>
          <t xml:space="preserve">ATM</t>
        </is>
      </c>
      <c r="B85" s="49" t="n">
        <v>45713</v>
      </c>
      <c r="C85" s="5" t="inlineStr">
        <is>
          <t xml:space="preserve">Thoracic</t>
        </is>
      </c>
      <c r="D85" s="5" t="inlineStr">
        <is>
          <t xml:space="preserve">1220 · Destructive Testing (eng/R&amp;D)</t>
        </is>
      </c>
      <c r="E85" s="6" t="n">
        <v>2</v>
      </c>
      <c r="F85" s="5" t="inlineStr">
        <is>
          <t xml:space="preserve">Planned</t>
        </is>
      </c>
    </row>
    <row r="86">
      <c r="A86" s="5" t="inlineStr">
        <is>
          <t xml:space="preserve">ATM</t>
        </is>
      </c>
      <c r="B86" s="49" t="n">
        <v>45714</v>
      </c>
      <c r="C86" s="5" t="inlineStr">
        <is>
          <t xml:space="preserve">Thoracic</t>
        </is>
      </c>
      <c r="D86" s="5" t="inlineStr">
        <is>
          <t xml:space="preserve">9972 · Laceration/Cut</t>
        </is>
      </c>
      <c r="E86" s="6" t="n">
        <v>7</v>
      </c>
      <c r="F86" s="5" t="inlineStr">
        <is>
          <t xml:space="preserve">Quality</t>
        </is>
      </c>
    </row>
    <row r="87">
      <c r="A87" s="5" t="inlineStr">
        <is>
          <t xml:space="preserve">ATM</t>
        </is>
      </c>
      <c r="B87" s="49" t="n">
        <v>45715</v>
      </c>
      <c r="C87" s="5" t="inlineStr">
        <is>
          <t xml:space="preserve">Thoracic</t>
        </is>
      </c>
      <c r="D87" s="5" t="inlineStr">
        <is>
          <t xml:space="preserve">9972 · Laceration/Cut</t>
        </is>
      </c>
      <c r="E87" s="6" t="n">
        <v>1</v>
      </c>
      <c r="F87" s="5" t="inlineStr">
        <is>
          <t xml:space="preserve">Quality</t>
        </is>
      </c>
    </row>
    <row r="88">
      <c r="A88" s="5" t="inlineStr">
        <is>
          <t xml:space="preserve">ATM</t>
        </is>
      </c>
      <c r="B88" s="49" t="n">
        <v>45716</v>
      </c>
      <c r="C88" s="5" t="inlineStr">
        <is>
          <t xml:space="preserve">Thoracic</t>
        </is>
      </c>
      <c r="D88" s="5" t="inlineStr">
        <is>
          <t xml:space="preserve">1220 · Destructive Testing (eng/R&amp;D)</t>
        </is>
      </c>
      <c r="E88" s="6" t="n">
        <v>4</v>
      </c>
      <c r="F88" s="5" t="inlineStr">
        <is>
          <t xml:space="preserve">Planned</t>
        </is>
      </c>
    </row>
    <row r="89">
      <c r="A89" s="5" t="inlineStr">
        <is>
          <t xml:space="preserve">ATM</t>
        </is>
      </c>
      <c r="B89" s="49" t="n">
        <v>45719</v>
      </c>
      <c r="C89" s="5" t="inlineStr">
        <is>
          <t xml:space="preserve">Thoracic</t>
        </is>
      </c>
      <c r="D89" s="5" t="inlineStr">
        <is>
          <t xml:space="preserve">1201 · Tech Performance</t>
        </is>
      </c>
      <c r="E89" s="6" t="n">
        <v>1</v>
      </c>
      <c r="F89" s="5" t="inlineStr">
        <is>
          <t xml:space="preserve">Quality</t>
        </is>
      </c>
    </row>
    <row r="90">
      <c r="A90" s="5" t="inlineStr">
        <is>
          <t xml:space="preserve">ATM</t>
        </is>
      </c>
      <c r="B90" s="49" t="n">
        <v>45719</v>
      </c>
      <c r="C90" s="5" t="inlineStr">
        <is>
          <t xml:space="preserve">Thoracic</t>
        </is>
      </c>
      <c r="D90" s="5" t="inlineStr">
        <is>
          <t xml:space="preserve">9972 · Laceration/Cut</t>
        </is>
      </c>
      <c r="E90" s="6" t="n">
        <v>2</v>
      </c>
      <c r="F90" s="5" t="inlineStr">
        <is>
          <t xml:space="preserve">Quality</t>
        </is>
      </c>
    </row>
    <row r="91">
      <c r="A91" s="5" t="inlineStr">
        <is>
          <t xml:space="preserve">ATM</t>
        </is>
      </c>
      <c r="B91" s="49" t="n">
        <v>45720</v>
      </c>
      <c r="C91" s="5" t="inlineStr">
        <is>
          <t xml:space="preserve">Thoracic</t>
        </is>
      </c>
      <c r="D91" s="5" t="inlineStr">
        <is>
          <t xml:space="preserve">1201 · Tech Performance</t>
        </is>
      </c>
      <c r="E91" s="6" t="n">
        <v>1</v>
      </c>
      <c r="F91" s="5" t="inlineStr">
        <is>
          <t xml:space="preserve">Quality</t>
        </is>
      </c>
    </row>
    <row r="92">
      <c r="A92" s="5" t="inlineStr">
        <is>
          <t xml:space="preserve">ATM</t>
        </is>
      </c>
      <c r="B92" s="49" t="n">
        <v>45720</v>
      </c>
      <c r="C92" s="5" t="inlineStr">
        <is>
          <t xml:space="preserve">Thoracic</t>
        </is>
      </c>
      <c r="D92" s="5" t="inlineStr">
        <is>
          <t xml:space="preserve">1220 · Destructive Testing (eng/R&amp;D)</t>
        </is>
      </c>
      <c r="E92" s="6" t="n">
        <v>2</v>
      </c>
      <c r="F92" s="5" t="inlineStr">
        <is>
          <t xml:space="preserve">Planned</t>
        </is>
      </c>
    </row>
    <row r="93">
      <c r="A93" s="5" t="inlineStr">
        <is>
          <t xml:space="preserve">ATM</t>
        </is>
      </c>
      <c r="B93" s="49" t="n">
        <v>45720</v>
      </c>
      <c r="C93" s="5" t="inlineStr">
        <is>
          <t xml:space="preserve">Thoracic</t>
        </is>
      </c>
      <c r="D93" s="5" t="inlineStr">
        <is>
          <t xml:space="preserve">9972 · Laceration/Cut</t>
        </is>
      </c>
      <c r="E93" s="6" t="n">
        <v>4</v>
      </c>
      <c r="F93" s="5" t="inlineStr">
        <is>
          <t xml:space="preserve">Quality</t>
        </is>
      </c>
    </row>
    <row r="94">
      <c r="A94" s="5" t="inlineStr">
        <is>
          <t xml:space="preserve">ATM</t>
        </is>
      </c>
      <c r="B94" s="49" t="n">
        <v>45721</v>
      </c>
      <c r="C94" s="5" t="inlineStr">
        <is>
          <t xml:space="preserve">Thoracic</t>
        </is>
      </c>
      <c r="D94" s="5" t="inlineStr">
        <is>
          <t xml:space="preserve">1220 · Destructive Testing (eng/R&amp;D)</t>
        </is>
      </c>
      <c r="E94" s="6" t="n">
        <v>1</v>
      </c>
      <c r="F94" s="5" t="inlineStr">
        <is>
          <t xml:space="preserve">Planned</t>
        </is>
      </c>
    </row>
    <row r="95">
      <c r="A95" s="5" t="inlineStr">
        <is>
          <t xml:space="preserve">ATM</t>
        </is>
      </c>
      <c r="B95" s="49" t="n">
        <v>45721</v>
      </c>
      <c r="C95" s="5" t="inlineStr">
        <is>
          <t xml:space="preserve">Thoracic</t>
        </is>
      </c>
      <c r="D95" s="5" t="inlineStr">
        <is>
          <t xml:space="preserve">9972 · Laceration/Cut</t>
        </is>
      </c>
      <c r="E95" s="6" t="n">
        <v>2</v>
      </c>
      <c r="F95" s="5" t="inlineStr">
        <is>
          <t xml:space="preserve">Quality</t>
        </is>
      </c>
    </row>
    <row r="96">
      <c r="A96" s="5" t="inlineStr">
        <is>
          <t xml:space="preserve">ATM</t>
        </is>
      </c>
      <c r="B96" s="49" t="n">
        <v>45726</v>
      </c>
      <c r="C96" s="5" t="inlineStr">
        <is>
          <t xml:space="preserve">Thoracic</t>
        </is>
      </c>
      <c r="D96" s="5" t="inlineStr">
        <is>
          <t xml:space="preserve">1220 · Destructive Testing (eng/R&amp;D)</t>
        </is>
      </c>
      <c r="E96" s="6" t="n">
        <v>1</v>
      </c>
      <c r="F96" s="5" t="inlineStr">
        <is>
          <t xml:space="preserve">Planned</t>
        </is>
      </c>
    </row>
    <row r="97">
      <c r="A97" s="5" t="inlineStr">
        <is>
          <t xml:space="preserve">ATM</t>
        </is>
      </c>
      <c r="B97" s="49" t="n">
        <v>45733</v>
      </c>
      <c r="C97" s="5" t="inlineStr">
        <is>
          <t xml:space="preserve">Thoracic</t>
        </is>
      </c>
      <c r="D97" s="5" t="inlineStr">
        <is>
          <t xml:space="preserve">1201 · Tech Performance</t>
        </is>
      </c>
      <c r="E97" s="6" t="n">
        <v>2</v>
      </c>
      <c r="F97" s="5" t="inlineStr">
        <is>
          <t xml:space="preserve">Quality</t>
        </is>
      </c>
    </row>
    <row r="98">
      <c r="A98" s="5" t="inlineStr">
        <is>
          <t xml:space="preserve">ATM</t>
        </is>
      </c>
      <c r="B98" s="49" t="n">
        <v>45733</v>
      </c>
      <c r="C98" s="5" t="inlineStr">
        <is>
          <t xml:space="preserve">Thoracic</t>
        </is>
      </c>
      <c r="D98" s="5" t="inlineStr">
        <is>
          <t xml:space="preserve">9972 · Laceration/Cut</t>
        </is>
      </c>
      <c r="E98" s="6" t="n">
        <v>1</v>
      </c>
      <c r="F98" s="5" t="inlineStr">
        <is>
          <t xml:space="preserve">Quality</t>
        </is>
      </c>
    </row>
    <row r="99">
      <c r="A99" s="5" t="inlineStr">
        <is>
          <t xml:space="preserve">ATM</t>
        </is>
      </c>
      <c r="B99" s="49" t="n">
        <v>45735</v>
      </c>
      <c r="C99" s="5" t="inlineStr">
        <is>
          <t xml:space="preserve">Thoracic</t>
        </is>
      </c>
      <c r="D99" s="5" t="inlineStr">
        <is>
          <t xml:space="preserve">1201 · Tech Performance</t>
        </is>
      </c>
      <c r="E99" s="6" t="n">
        <v>1</v>
      </c>
      <c r="F99" s="5" t="inlineStr">
        <is>
          <t xml:space="preserve">Quality</t>
        </is>
      </c>
    </row>
    <row r="100">
      <c r="A100" s="5" t="inlineStr">
        <is>
          <t xml:space="preserve">ATM</t>
        </is>
      </c>
      <c r="B100" s="49" t="n">
        <v>45735</v>
      </c>
      <c r="C100" s="5" t="inlineStr">
        <is>
          <t xml:space="preserve">Thoracic</t>
        </is>
      </c>
      <c r="D100" s="5" t="inlineStr">
        <is>
          <t xml:space="preserve">9972 · Laceration/Cut</t>
        </is>
      </c>
      <c r="E100" s="6" t="n">
        <v>2</v>
      </c>
      <c r="F100" s="5" t="inlineStr">
        <is>
          <t xml:space="preserve">Quality</t>
        </is>
      </c>
    </row>
    <row r="101">
      <c r="A101" s="5" t="inlineStr">
        <is>
          <t xml:space="preserve">ATM</t>
        </is>
      </c>
      <c r="B101" s="49" t="n">
        <v>45740</v>
      </c>
      <c r="C101" s="5" t="inlineStr">
        <is>
          <t xml:space="preserve">Thoracic</t>
        </is>
      </c>
      <c r="D101" s="5" t="inlineStr">
        <is>
          <t xml:space="preserve">9972 · Laceration/Cut</t>
        </is>
      </c>
      <c r="E101" s="6" t="n">
        <v>2</v>
      </c>
      <c r="F101" s="5" t="inlineStr">
        <is>
          <t xml:space="preserve">Quality</t>
        </is>
      </c>
    </row>
    <row r="102">
      <c r="A102" s="5" t="inlineStr">
        <is>
          <t xml:space="preserve">ATM</t>
        </is>
      </c>
      <c r="B102" s="49" t="n">
        <v>45741</v>
      </c>
      <c r="C102" s="5" t="inlineStr">
        <is>
          <t xml:space="preserve">Thoracic</t>
        </is>
      </c>
      <c r="D102" s="5" t="inlineStr">
        <is>
          <t xml:space="preserve">1201 · Tech Performance</t>
        </is>
      </c>
      <c r="E102" s="6" t="n">
        <v>1</v>
      </c>
      <c r="F102" s="5" t="inlineStr">
        <is>
          <t xml:space="preserve">Quality</t>
        </is>
      </c>
    </row>
    <row r="103">
      <c r="A103" s="5" t="inlineStr">
        <is>
          <t xml:space="preserve">ATM</t>
        </is>
      </c>
      <c r="B103" s="49" t="n">
        <v>45741</v>
      </c>
      <c r="C103" s="5" t="inlineStr">
        <is>
          <t xml:space="preserve">Thoracic</t>
        </is>
      </c>
      <c r="D103" s="5" t="inlineStr">
        <is>
          <t xml:space="preserve">9972 · Laceration/Cut</t>
        </is>
      </c>
      <c r="E103" s="6" t="n">
        <v>1</v>
      </c>
      <c r="F103" s="5" t="inlineStr">
        <is>
          <t xml:space="preserve">Quality</t>
        </is>
      </c>
    </row>
    <row r="104">
      <c r="A104" s="5" t="inlineStr">
        <is>
          <t xml:space="preserve">ATM</t>
        </is>
      </c>
      <c r="B104" s="49" t="n">
        <v>45748</v>
      </c>
      <c r="C104" s="5" t="inlineStr">
        <is>
          <t xml:space="preserve">Thoracic</t>
        </is>
      </c>
      <c r="D104" s="5" t="inlineStr">
        <is>
          <t xml:space="preserve">9972 · Laceration/Cut</t>
        </is>
      </c>
      <c r="E104" s="6" t="n">
        <v>1</v>
      </c>
      <c r="F104" s="5" t="inlineStr">
        <is>
          <t xml:space="preserve">Quality</t>
        </is>
      </c>
    </row>
    <row r="105">
      <c r="A105" s="5" t="inlineStr">
        <is>
          <t xml:space="preserve">ATM</t>
        </is>
      </c>
      <c r="B105" s="49" t="n">
        <v>45761</v>
      </c>
      <c r="C105" s="5" t="inlineStr">
        <is>
          <t xml:space="preserve">Thoracic</t>
        </is>
      </c>
      <c r="D105" s="5" t="inlineStr">
        <is>
          <t xml:space="preserve">9972 · Laceration/Cut</t>
        </is>
      </c>
      <c r="E105" s="6" t="n">
        <v>2</v>
      </c>
      <c r="F105" s="5" t="inlineStr">
        <is>
          <t xml:space="preserve">Quality</t>
        </is>
      </c>
    </row>
    <row r="106">
      <c r="A106" s="5" t="inlineStr">
        <is>
          <t xml:space="preserve">ATM</t>
        </is>
      </c>
      <c r="B106" s="49" t="n">
        <v>45762</v>
      </c>
      <c r="C106" s="5" t="inlineStr">
        <is>
          <t xml:space="preserve">Thoracic</t>
        </is>
      </c>
      <c r="D106" s="5" t="inlineStr">
        <is>
          <t xml:space="preserve">1201 · Tech Performance</t>
        </is>
      </c>
      <c r="E106" s="6" t="n">
        <v>1</v>
      </c>
      <c r="F106" s="5" t="inlineStr">
        <is>
          <t xml:space="preserve">Quality</t>
        </is>
      </c>
    </row>
    <row r="107">
      <c r="A107" s="5" t="inlineStr">
        <is>
          <t xml:space="preserve">ATM</t>
        </is>
      </c>
      <c r="B107" s="49" t="n">
        <v>45762</v>
      </c>
      <c r="C107" s="5" t="inlineStr">
        <is>
          <t xml:space="preserve">Thoracic</t>
        </is>
      </c>
      <c r="D107" s="5" t="inlineStr">
        <is>
          <t xml:space="preserve">9972 · Laceration/Cut</t>
        </is>
      </c>
      <c r="E107" s="6" t="n">
        <v>4</v>
      </c>
      <c r="F107" s="5" t="inlineStr">
        <is>
          <t xml:space="preserve">Quality</t>
        </is>
      </c>
    </row>
    <row r="108">
      <c r="A108" s="5" t="inlineStr">
        <is>
          <t xml:space="preserve">ATM</t>
        </is>
      </c>
      <c r="B108" s="49" t="n">
        <v>45770</v>
      </c>
      <c r="C108" s="5" t="inlineStr">
        <is>
          <t xml:space="preserve">Thoracic</t>
        </is>
      </c>
      <c r="D108" s="5" t="inlineStr">
        <is>
          <t xml:space="preserve">1201 · Tech Performance</t>
        </is>
      </c>
      <c r="E108" s="6" t="n">
        <v>1</v>
      </c>
      <c r="F108" s="5" t="inlineStr">
        <is>
          <t xml:space="preserve">Quality</t>
        </is>
      </c>
    </row>
    <row r="109">
      <c r="A109" s="5" t="inlineStr">
        <is>
          <t xml:space="preserve">ATM</t>
        </is>
      </c>
      <c r="B109" s="49" t="n">
        <v>45775</v>
      </c>
      <c r="C109" s="5" t="inlineStr">
        <is>
          <t xml:space="preserve">Thoracic</t>
        </is>
      </c>
      <c r="D109" s="5" t="inlineStr">
        <is>
          <t xml:space="preserve">9972 · Laceration/Cut</t>
        </is>
      </c>
      <c r="E109" s="6" t="n">
        <v>2</v>
      </c>
      <c r="F109" s="5" t="inlineStr">
        <is>
          <t xml:space="preserve">Quality</t>
        </is>
      </c>
    </row>
    <row r="110">
      <c r="A110" s="5" t="inlineStr">
        <is>
          <t xml:space="preserve">ATM</t>
        </is>
      </c>
      <c r="B110" s="49" t="n">
        <v>45779</v>
      </c>
      <c r="C110" s="5" t="inlineStr">
        <is>
          <t xml:space="preserve">Thoracic</t>
        </is>
      </c>
      <c r="D110" s="5" t="inlineStr">
        <is>
          <t xml:space="preserve">9973 · Out of Spec</t>
        </is>
      </c>
      <c r="E110" s="6" t="n">
        <v>3</v>
      </c>
      <c r="F110" s="5" t="inlineStr">
        <is>
          <t xml:space="preserve">Quality</t>
        </is>
      </c>
    </row>
    <row r="111">
      <c r="A111" s="5" t="inlineStr">
        <is>
          <t xml:space="preserve">ATM</t>
        </is>
      </c>
      <c r="B111" s="49" t="n">
        <v>45782</v>
      </c>
      <c r="C111" s="5" t="inlineStr">
        <is>
          <t xml:space="preserve">Thoracic</t>
        </is>
      </c>
      <c r="D111" s="5" t="inlineStr">
        <is>
          <t xml:space="preserve">1201 · Tech Performance</t>
        </is>
      </c>
      <c r="E111" s="6" t="n">
        <v>2</v>
      </c>
      <c r="F111" s="5" t="inlineStr">
        <is>
          <t xml:space="preserve">Quality</t>
        </is>
      </c>
    </row>
    <row r="112">
      <c r="A112" s="5" t="inlineStr">
        <is>
          <t xml:space="preserve">ATM</t>
        </is>
      </c>
      <c r="B112" s="49" t="n">
        <v>45782</v>
      </c>
      <c r="C112" s="5" t="inlineStr">
        <is>
          <t xml:space="preserve">Thoracic</t>
        </is>
      </c>
      <c r="D112" s="5" t="inlineStr">
        <is>
          <t xml:space="preserve">9972 · Laceration/Cut</t>
        </is>
      </c>
      <c r="E112" s="6" t="n">
        <v>3</v>
      </c>
      <c r="F112" s="5" t="inlineStr">
        <is>
          <t xml:space="preserve">Quality</t>
        </is>
      </c>
    </row>
    <row r="113">
      <c r="A113" s="5" t="inlineStr">
        <is>
          <t xml:space="preserve">ATM</t>
        </is>
      </c>
      <c r="B113" s="49" t="n">
        <v>45783</v>
      </c>
      <c r="C113" s="5" t="inlineStr">
        <is>
          <t xml:space="preserve">Thoracic</t>
        </is>
      </c>
      <c r="D113" s="5" t="inlineStr">
        <is>
          <t xml:space="preserve">1201 · Tech Performance</t>
        </is>
      </c>
      <c r="E113" s="6" t="n">
        <v>2</v>
      </c>
      <c r="F113" s="5" t="inlineStr">
        <is>
          <t xml:space="preserve">Quality</t>
        </is>
      </c>
    </row>
    <row r="114">
      <c r="A114" s="5" t="inlineStr">
        <is>
          <t xml:space="preserve">ATM</t>
        </is>
      </c>
      <c r="B114" s="49" t="n">
        <v>45783</v>
      </c>
      <c r="C114" s="5" t="inlineStr">
        <is>
          <t xml:space="preserve">Thoracic</t>
        </is>
      </c>
      <c r="D114" s="5" t="inlineStr">
        <is>
          <t xml:space="preserve">9972 · Laceration/Cut</t>
        </is>
      </c>
      <c r="E114" s="6" t="n">
        <v>2</v>
      </c>
      <c r="F114" s="5" t="inlineStr">
        <is>
          <t xml:space="preserve">Quality</t>
        </is>
      </c>
    </row>
    <row r="115">
      <c r="A115" s="5" t="inlineStr">
        <is>
          <t xml:space="preserve">ATM</t>
        </is>
      </c>
      <c r="B115" s="49" t="n">
        <v>45796</v>
      </c>
      <c r="C115" s="5" t="inlineStr">
        <is>
          <t xml:space="preserve">Thoracic</t>
        </is>
      </c>
      <c r="D115" s="5" t="inlineStr">
        <is>
          <t xml:space="preserve">9972 · Laceration/Cut</t>
        </is>
      </c>
      <c r="E115" s="6" t="n">
        <v>3</v>
      </c>
      <c r="F115" s="5" t="inlineStr">
        <is>
          <t xml:space="preserve">Quality</t>
        </is>
      </c>
    </row>
    <row r="116">
      <c r="A116" s="5" t="inlineStr">
        <is>
          <t xml:space="preserve">ATM</t>
        </is>
      </c>
      <c r="B116" s="49" t="n">
        <v>45798</v>
      </c>
      <c r="C116" s="5" t="inlineStr">
        <is>
          <t xml:space="preserve">Thoracic</t>
        </is>
      </c>
      <c r="D116" s="5" t="inlineStr">
        <is>
          <t xml:space="preserve">9972 · Laceration/Cut</t>
        </is>
      </c>
      <c r="E116" s="6" t="n">
        <v>3</v>
      </c>
      <c r="F116" s="5" t="inlineStr">
        <is>
          <t xml:space="preserve">Quality</t>
        </is>
      </c>
    </row>
    <row r="117">
      <c r="A117" s="5" t="inlineStr">
        <is>
          <t xml:space="preserve">ATM</t>
        </is>
      </c>
      <c r="B117" s="49" t="n">
        <v>45804</v>
      </c>
      <c r="C117" s="5" t="inlineStr">
        <is>
          <t xml:space="preserve">Thoracic</t>
        </is>
      </c>
      <c r="D117" s="5" t="inlineStr">
        <is>
          <t xml:space="preserve">9972 · Laceration/Cut</t>
        </is>
      </c>
      <c r="E117" s="6" t="n">
        <v>2</v>
      </c>
      <c r="F117" s="5" t="inlineStr">
        <is>
          <t xml:space="preserve">Quality</t>
        </is>
      </c>
    </row>
    <row r="118">
      <c r="A118" s="5" t="inlineStr">
        <is>
          <t xml:space="preserve">ATM</t>
        </is>
      </c>
      <c r="B118" s="49" t="n">
        <v>45805</v>
      </c>
      <c r="C118" s="5" t="inlineStr">
        <is>
          <t xml:space="preserve">Thoracic</t>
        </is>
      </c>
      <c r="D118" s="5" t="inlineStr">
        <is>
          <t xml:space="preserve">9972 · Laceration/Cut</t>
        </is>
      </c>
      <c r="E118" s="6" t="n">
        <v>7</v>
      </c>
      <c r="F118" s="5" t="inlineStr">
        <is>
          <t xml:space="preserve">Quality</t>
        </is>
      </c>
    </row>
    <row r="119">
      <c r="A119" s="5" t="inlineStr">
        <is>
          <t xml:space="preserve">ATM</t>
        </is>
      </c>
      <c r="B119" s="49" t="n">
        <v>45806</v>
      </c>
      <c r="C119" s="5" t="inlineStr">
        <is>
          <t xml:space="preserve">Thoracic</t>
        </is>
      </c>
      <c r="D119" s="5" t="inlineStr">
        <is>
          <t xml:space="preserve">9972 · Laceration/Cut</t>
        </is>
      </c>
      <c r="E119" s="6" t="n">
        <v>1</v>
      </c>
      <c r="F119" s="5" t="inlineStr">
        <is>
          <t xml:space="preserve">Quality</t>
        </is>
      </c>
    </row>
    <row r="120">
      <c r="A120" s="5" t="inlineStr">
        <is>
          <t xml:space="preserve">ATM</t>
        </is>
      </c>
      <c r="B120" s="49" t="n">
        <v>45807</v>
      </c>
      <c r="C120" s="5" t="inlineStr">
        <is>
          <t xml:space="preserve">Thoracic</t>
        </is>
      </c>
      <c r="D120" s="5" t="inlineStr">
        <is>
          <t xml:space="preserve">9972 · Laceration/Cut</t>
        </is>
      </c>
      <c r="E120" s="6" t="n">
        <v>1</v>
      </c>
      <c r="F120" s="5" t="inlineStr">
        <is>
          <t xml:space="preserve">Quality</t>
        </is>
      </c>
    </row>
    <row r="121">
      <c r="A121" s="5" t="inlineStr">
        <is>
          <t xml:space="preserve">ATM</t>
        </is>
      </c>
      <c r="B121" s="49" t="n">
        <v>45810</v>
      </c>
      <c r="C121" s="5" t="inlineStr">
        <is>
          <t xml:space="preserve">Thoracic</t>
        </is>
      </c>
      <c r="D121" s="5" t="inlineStr">
        <is>
          <t xml:space="preserve">9972 · Laceration/Cut</t>
        </is>
      </c>
      <c r="E121" s="6" t="n">
        <v>6</v>
      </c>
      <c r="F121" s="5" t="inlineStr">
        <is>
          <t xml:space="preserve">Quality</t>
        </is>
      </c>
    </row>
    <row r="122">
      <c r="A122" s="5" t="inlineStr">
        <is>
          <t xml:space="preserve">ATM</t>
        </is>
      </c>
      <c r="B122" s="49" t="n">
        <v>45810</v>
      </c>
      <c r="C122" s="5" t="inlineStr">
        <is>
          <t xml:space="preserve">Thoracic</t>
        </is>
      </c>
      <c r="D122" s="5" t="inlineStr">
        <is>
          <t xml:space="preserve">9985 · Tech Damaged</t>
        </is>
      </c>
      <c r="E122" s="6" t="n">
        <v>3</v>
      </c>
      <c r="F122" s="5" t="inlineStr">
        <is>
          <t xml:space="preserve">Quality</t>
        </is>
      </c>
    </row>
    <row r="123">
      <c r="A123" s="5" t="inlineStr">
        <is>
          <t xml:space="preserve">ATM</t>
        </is>
      </c>
      <c r="B123" s="49" t="n">
        <v>45811</v>
      </c>
      <c r="C123" s="5" t="inlineStr">
        <is>
          <t xml:space="preserve">Thoracic</t>
        </is>
      </c>
      <c r="D123" s="5" t="inlineStr">
        <is>
          <t xml:space="preserve">9972 · Laceration/Cut</t>
        </is>
      </c>
      <c r="E123" s="6" t="n">
        <v>3</v>
      </c>
      <c r="F123" s="5" t="inlineStr">
        <is>
          <t xml:space="preserve">Quality</t>
        </is>
      </c>
    </row>
    <row r="124">
      <c r="A124" s="5" t="inlineStr">
        <is>
          <t xml:space="preserve">ATM</t>
        </is>
      </c>
      <c r="B124" s="49" t="n">
        <v>45811</v>
      </c>
      <c r="C124" s="5" t="inlineStr">
        <is>
          <t xml:space="preserve">Thoracic</t>
        </is>
      </c>
      <c r="D124" s="5" t="inlineStr">
        <is>
          <t xml:space="preserve">9985 · Tech Damaged</t>
        </is>
      </c>
      <c r="E124" s="6" t="n">
        <v>1</v>
      </c>
      <c r="F124" s="5" t="inlineStr">
        <is>
          <t xml:space="preserve">Quality</t>
        </is>
      </c>
    </row>
    <row r="125">
      <c r="A125" s="5" t="inlineStr">
        <is>
          <t xml:space="preserve">ATM</t>
        </is>
      </c>
      <c r="B125" s="49" t="n">
        <v>45812</v>
      </c>
      <c r="C125" s="5" t="inlineStr">
        <is>
          <t xml:space="preserve">Thoracic</t>
        </is>
      </c>
      <c r="D125" s="5" t="inlineStr">
        <is>
          <t xml:space="preserve">9972 · Laceration/Cut</t>
        </is>
      </c>
      <c r="E125" s="6" t="n">
        <v>2</v>
      </c>
      <c r="F125" s="5" t="inlineStr">
        <is>
          <t xml:space="preserve">Quality</t>
        </is>
      </c>
    </row>
    <row r="126">
      <c r="A126" s="5" t="inlineStr">
        <is>
          <t xml:space="preserve">ATM</t>
        </is>
      </c>
      <c r="B126" s="49" t="n">
        <v>45812</v>
      </c>
      <c r="C126" s="5" t="inlineStr">
        <is>
          <t xml:space="preserve">Thoracic</t>
        </is>
      </c>
      <c r="D126" s="5" t="inlineStr">
        <is>
          <t xml:space="preserve">9985 · Tech Damaged</t>
        </is>
      </c>
      <c r="E126" s="6" t="n">
        <v>1</v>
      </c>
      <c r="F126" s="5" t="inlineStr">
        <is>
          <t xml:space="preserve">Quality</t>
        </is>
      </c>
    </row>
    <row r="127">
      <c r="A127" s="5" t="inlineStr">
        <is>
          <t xml:space="preserve">ATM</t>
        </is>
      </c>
      <c r="B127" s="49" t="n">
        <v>45817</v>
      </c>
      <c r="C127" s="5" t="inlineStr">
        <is>
          <t xml:space="preserve">Thoracic</t>
        </is>
      </c>
      <c r="D127" s="5" t="inlineStr">
        <is>
          <t xml:space="preserve">9972 · Laceration/Cut</t>
        </is>
      </c>
      <c r="E127" s="6" t="n">
        <v>7</v>
      </c>
      <c r="F127" s="5" t="inlineStr">
        <is>
          <t xml:space="preserve">Quality</t>
        </is>
      </c>
    </row>
    <row r="128">
      <c r="A128" s="5" t="inlineStr">
        <is>
          <t xml:space="preserve">ATM</t>
        </is>
      </c>
      <c r="B128" s="49" t="n">
        <v>45818</v>
      </c>
      <c r="C128" s="5" t="inlineStr">
        <is>
          <t xml:space="preserve">Thoracic</t>
        </is>
      </c>
      <c r="D128" s="5" t="inlineStr">
        <is>
          <t xml:space="preserve">9972 · Laceration/Cut</t>
        </is>
      </c>
      <c r="E128" s="6" t="n">
        <v>1</v>
      </c>
      <c r="F128" s="5" t="inlineStr">
        <is>
          <t xml:space="preserve">Quality</t>
        </is>
      </c>
    </row>
    <row r="129">
      <c r="A129" s="5" t="inlineStr">
        <is>
          <t xml:space="preserve">ATM</t>
        </is>
      </c>
      <c r="B129" s="49" t="n">
        <v>45824</v>
      </c>
      <c r="C129" s="5" t="inlineStr">
        <is>
          <t xml:space="preserve">Thoracic</t>
        </is>
      </c>
      <c r="D129" s="5" t="inlineStr">
        <is>
          <t xml:space="preserve">1220 · Destructive Testing (eng/R&amp;D)</t>
        </is>
      </c>
      <c r="E129" s="6" t="n">
        <v>1</v>
      </c>
      <c r="F129" s="5" t="inlineStr">
        <is>
          <t xml:space="preserve">Planned</t>
        </is>
      </c>
    </row>
    <row r="130">
      <c r="A130" s="5" t="inlineStr">
        <is>
          <t xml:space="preserve">ATM</t>
        </is>
      </c>
      <c r="B130" s="49" t="n">
        <v>45825</v>
      </c>
      <c r="C130" s="5" t="inlineStr">
        <is>
          <t xml:space="preserve">Thoracic</t>
        </is>
      </c>
      <c r="D130" s="5" t="inlineStr">
        <is>
          <t xml:space="preserve">9972 · Laceration/Cut</t>
        </is>
      </c>
      <c r="E130" s="6" t="n">
        <v>1</v>
      </c>
      <c r="F130" s="5" t="inlineStr">
        <is>
          <t xml:space="preserve">Quality</t>
        </is>
      </c>
    </row>
    <row r="131">
      <c r="A131" s="5" t="inlineStr">
        <is>
          <t xml:space="preserve">ATM</t>
        </is>
      </c>
      <c r="B131" s="49" t="n">
        <v>45826</v>
      </c>
      <c r="C131" s="5" t="inlineStr">
        <is>
          <t xml:space="preserve">Thoracic</t>
        </is>
      </c>
      <c r="D131" s="5" t="inlineStr">
        <is>
          <t xml:space="preserve">9985 · Tech Damaged</t>
        </is>
      </c>
      <c r="E131" s="6" t="n">
        <v>1</v>
      </c>
      <c r="F131" s="5" t="inlineStr">
        <is>
          <t xml:space="preserve">Quality</t>
        </is>
      </c>
    </row>
    <row r="132">
      <c r="A132" s="5" t="inlineStr">
        <is>
          <t xml:space="preserve">ATM</t>
        </is>
      </c>
      <c r="B132" s="49" t="n">
        <v>45838</v>
      </c>
      <c r="C132" s="5" t="inlineStr">
        <is>
          <t xml:space="preserve">Thoracic</t>
        </is>
      </c>
      <c r="D132" s="5" t="inlineStr">
        <is>
          <t xml:space="preserve">9972 · Laceration/Cut</t>
        </is>
      </c>
      <c r="E132" s="6" t="n">
        <v>2</v>
      </c>
      <c r="F132" s="5" t="inlineStr">
        <is>
          <t xml:space="preserve">Quality</t>
        </is>
      </c>
    </row>
    <row r="133">
      <c r="A133" s="5" t="inlineStr">
        <is>
          <t xml:space="preserve">ATM</t>
        </is>
      </c>
      <c r="B133" s="49" t="n">
        <v>45838</v>
      </c>
      <c r="C133" s="5" t="inlineStr">
        <is>
          <t xml:space="preserve">Thoracic</t>
        </is>
      </c>
      <c r="D133" s="5" t="inlineStr">
        <is>
          <t xml:space="preserve">9985 · Tech Damaged</t>
        </is>
      </c>
      <c r="E133" s="6" t="n">
        <v>1</v>
      </c>
      <c r="F133" s="5" t="inlineStr">
        <is>
          <t xml:space="preserve">Quality</t>
        </is>
      </c>
    </row>
    <row r="134">
      <c r="A134" s="5" t="inlineStr">
        <is>
          <t xml:space="preserve">ATM</t>
        </is>
      </c>
      <c r="B134" s="49" t="n">
        <v>45845</v>
      </c>
      <c r="C134" s="5" t="inlineStr">
        <is>
          <t xml:space="preserve">Thoracic</t>
        </is>
      </c>
      <c r="D134" s="5" t="inlineStr">
        <is>
          <t xml:space="preserve">9972 · Laceration/Cut</t>
        </is>
      </c>
      <c r="E134" s="6" t="n">
        <v>2</v>
      </c>
      <c r="F134" s="5" t="inlineStr">
        <is>
          <t xml:space="preserve">Quality</t>
        </is>
      </c>
    </row>
    <row r="135">
      <c r="A135" s="5" t="inlineStr">
        <is>
          <t xml:space="preserve">ATM</t>
        </is>
      </c>
      <c r="B135" s="49" t="n">
        <v>45848</v>
      </c>
      <c r="C135" s="5" t="inlineStr">
        <is>
          <t xml:space="preserve">Thoracic</t>
        </is>
      </c>
      <c r="D135" s="5" t="inlineStr">
        <is>
          <t xml:space="preserve">9972 · Laceration/Cut</t>
        </is>
      </c>
      <c r="E135" s="6" t="n">
        <v>1</v>
      </c>
      <c r="F135" s="5" t="inlineStr">
        <is>
          <t xml:space="preserve">Quality</t>
        </is>
      </c>
    </row>
    <row r="136">
      <c r="A136" s="5" t="inlineStr">
        <is>
          <t xml:space="preserve">ATM</t>
        </is>
      </c>
      <c r="B136" s="49" t="n">
        <v>45849</v>
      </c>
      <c r="C136" s="5" t="inlineStr">
        <is>
          <t xml:space="preserve">Thoracic</t>
        </is>
      </c>
      <c r="D136" s="5" t="inlineStr">
        <is>
          <t xml:space="preserve">1220 · Destructive Testing (eng/R&amp;D)</t>
        </is>
      </c>
      <c r="E136" s="6" t="n">
        <v>5</v>
      </c>
      <c r="F136" s="5" t="inlineStr">
        <is>
          <t xml:space="preserve">Planned</t>
        </is>
      </c>
    </row>
    <row r="137">
      <c r="A137" s="5" t="inlineStr">
        <is>
          <t xml:space="preserve">ATM</t>
        </is>
      </c>
      <c r="B137" s="49" t="n">
        <v>45852</v>
      </c>
      <c r="C137" s="5" t="inlineStr">
        <is>
          <t xml:space="preserve">Thoracic</t>
        </is>
      </c>
      <c r="D137" s="5" t="inlineStr">
        <is>
          <t xml:space="preserve">9972 · Laceration/Cut</t>
        </is>
      </c>
      <c r="E137" s="6" t="n">
        <v>1</v>
      </c>
      <c r="F137" s="5" t="inlineStr">
        <is>
          <t xml:space="preserve">Quality</t>
        </is>
      </c>
    </row>
    <row r="138">
      <c r="A138" s="5" t="inlineStr">
        <is>
          <t xml:space="preserve">ATM</t>
        </is>
      </c>
      <c r="B138" s="49" t="n">
        <v>45852</v>
      </c>
      <c r="C138" s="5" t="inlineStr">
        <is>
          <t xml:space="preserve">Thoracic</t>
        </is>
      </c>
      <c r="D138" s="5" t="inlineStr">
        <is>
          <t xml:space="preserve">9985 · Tech Damaged</t>
        </is>
      </c>
      <c r="E138" s="6" t="n">
        <v>1</v>
      </c>
      <c r="F138" s="5" t="inlineStr">
        <is>
          <t xml:space="preserve">Quality</t>
        </is>
      </c>
    </row>
    <row r="139">
      <c r="A139" s="5" t="inlineStr">
        <is>
          <t xml:space="preserve">ATM</t>
        </is>
      </c>
      <c r="B139" s="49" t="n">
        <v>45856</v>
      </c>
      <c r="C139" s="5" t="inlineStr">
        <is>
          <t xml:space="preserve">Thoracic</t>
        </is>
      </c>
      <c r="D139" s="5" t="inlineStr">
        <is>
          <t xml:space="preserve">1220 · Destructive Testing (eng/R&amp;D)</t>
        </is>
      </c>
      <c r="E139" s="6" t="n">
        <v>2</v>
      </c>
      <c r="F139" s="5" t="inlineStr">
        <is>
          <t xml:space="preserve">Planned</t>
        </is>
      </c>
    </row>
    <row r="140">
      <c r="A140" s="5" t="inlineStr">
        <is>
          <t xml:space="preserve">ATM</t>
        </is>
      </c>
      <c r="B140" s="49" t="n">
        <v>45856</v>
      </c>
      <c r="C140" s="5" t="inlineStr">
        <is>
          <t xml:space="preserve">Thoracic</t>
        </is>
      </c>
      <c r="D140" s="5" t="inlineStr">
        <is>
          <t xml:space="preserve">9972 · Laceration/Cut</t>
        </is>
      </c>
      <c r="E140" s="6" t="n">
        <v>1</v>
      </c>
      <c r="F140" s="5" t="inlineStr">
        <is>
          <t xml:space="preserve">Quality</t>
        </is>
      </c>
    </row>
    <row r="141">
      <c r="A141" s="5" t="inlineStr">
        <is>
          <t xml:space="preserve">ATM</t>
        </is>
      </c>
      <c r="B141" s="49" t="n">
        <v>45856</v>
      </c>
      <c r="C141" s="5" t="inlineStr">
        <is>
          <t xml:space="preserve">Thoracic</t>
        </is>
      </c>
      <c r="D141" s="5" t="inlineStr">
        <is>
          <t xml:space="preserve">9985 · Tech Damaged</t>
        </is>
      </c>
      <c r="E141" s="6" t="n">
        <v>1</v>
      </c>
      <c r="F141" s="5" t="inlineStr">
        <is>
          <t xml:space="preserve">Quality</t>
        </is>
      </c>
    </row>
    <row r="142">
      <c r="A142" s="5" t="inlineStr">
        <is>
          <t xml:space="preserve">ATM</t>
        </is>
      </c>
      <c r="B142" s="49" t="n">
        <v>45859</v>
      </c>
      <c r="C142" s="5" t="inlineStr">
        <is>
          <t xml:space="preserve">Thoracic</t>
        </is>
      </c>
      <c r="D142" s="5" t="inlineStr">
        <is>
          <t xml:space="preserve">9972 · Laceration/Cut</t>
        </is>
      </c>
      <c r="E142" s="6" t="n">
        <v>3</v>
      </c>
      <c r="F142" s="5" t="inlineStr">
        <is>
          <t xml:space="preserve">Quality</t>
        </is>
      </c>
    </row>
    <row r="143">
      <c r="A143" s="5" t="inlineStr">
        <is>
          <t xml:space="preserve">ATM</t>
        </is>
      </c>
      <c r="B143" s="49" t="n">
        <v>45860</v>
      </c>
      <c r="C143" s="5" t="inlineStr">
        <is>
          <t xml:space="preserve">Thoracic</t>
        </is>
      </c>
      <c r="D143" s="5" t="inlineStr">
        <is>
          <t xml:space="preserve">9972 · Laceration/Cut</t>
        </is>
      </c>
      <c r="E143" s="6" t="n">
        <v>1</v>
      </c>
      <c r="F143" s="5" t="inlineStr">
        <is>
          <t xml:space="preserve">Quality</t>
        </is>
      </c>
    </row>
    <row r="144">
      <c r="A144" s="5" t="inlineStr">
        <is>
          <t xml:space="preserve">ATM</t>
        </is>
      </c>
      <c r="B144" s="49" t="n">
        <v>45866</v>
      </c>
      <c r="C144" s="5" t="inlineStr">
        <is>
          <t xml:space="preserve">Thoracic</t>
        </is>
      </c>
      <c r="D144" s="5" t="inlineStr">
        <is>
          <t xml:space="preserve">9972 · Laceration/Cut</t>
        </is>
      </c>
      <c r="E144" s="6" t="n">
        <v>3</v>
      </c>
      <c r="F144" s="5" t="inlineStr">
        <is>
          <t xml:space="preserve">Quality</t>
        </is>
      </c>
    </row>
    <row r="145">
      <c r="A145" s="5" t="inlineStr">
        <is>
          <t xml:space="preserve">ATM</t>
        </is>
      </c>
      <c r="B145" s="49" t="n">
        <v>45867</v>
      </c>
      <c r="C145" s="5" t="inlineStr">
        <is>
          <t xml:space="preserve">Thoracic</t>
        </is>
      </c>
      <c r="D145" s="5" t="inlineStr">
        <is>
          <t xml:space="preserve">1220 · Destructive Testing (eng/R&amp;D)</t>
        </is>
      </c>
      <c r="E145" s="6" t="n">
        <v>38</v>
      </c>
      <c r="F145" s="5" t="inlineStr">
        <is>
          <t xml:space="preserve">Planned</t>
        </is>
      </c>
    </row>
    <row r="146">
      <c r="A146" s="5" t="inlineStr">
        <is>
          <t xml:space="preserve">ATM</t>
        </is>
      </c>
      <c r="B146" s="49" t="n">
        <v>45869</v>
      </c>
      <c r="C146" s="5" t="inlineStr">
        <is>
          <t xml:space="preserve">Thoracic</t>
        </is>
      </c>
      <c r="D146" s="5" t="inlineStr">
        <is>
          <t xml:space="preserve">9973 · Out of Spec</t>
        </is>
      </c>
      <c r="E146" s="6" t="n">
        <v>5</v>
      </c>
      <c r="F146" s="5" t="inlineStr">
        <is>
          <t xml:space="preserve">Quality</t>
        </is>
      </c>
    </row>
    <row r="147">
      <c r="A147" s="5" t="inlineStr">
        <is>
          <t xml:space="preserve">ATM</t>
        </is>
      </c>
      <c r="B147" s="49" t="n">
        <v>45870</v>
      </c>
      <c r="C147" s="5" t="inlineStr">
        <is>
          <t xml:space="preserve">Thoracic</t>
        </is>
      </c>
      <c r="D147" s="5" t="inlineStr">
        <is>
          <t xml:space="preserve">1220 · Destructive Testing (eng/R&amp;D)</t>
        </is>
      </c>
      <c r="E147" s="6" t="n">
        <v>2</v>
      </c>
      <c r="F147" s="5" t="inlineStr">
        <is>
          <t xml:space="preserve">Planned</t>
        </is>
      </c>
    </row>
    <row r="148">
      <c r="A148" s="5" t="inlineStr">
        <is>
          <t xml:space="preserve">ATM</t>
        </is>
      </c>
      <c r="B148" s="49" t="n">
        <v>45873</v>
      </c>
      <c r="C148" s="5" t="inlineStr">
        <is>
          <t xml:space="preserve">Thoracic</t>
        </is>
      </c>
      <c r="D148" s="5" t="inlineStr">
        <is>
          <t xml:space="preserve">9972 · Laceration/Cut</t>
        </is>
      </c>
      <c r="E148" s="6" t="n">
        <v>3</v>
      </c>
      <c r="F148" s="5" t="inlineStr">
        <is>
          <t xml:space="preserve">Quality</t>
        </is>
      </c>
    </row>
    <row r="149">
      <c r="A149" s="5" t="inlineStr">
        <is>
          <t xml:space="preserve">ATM</t>
        </is>
      </c>
      <c r="B149" s="49" t="n">
        <v>45873</v>
      </c>
      <c r="C149" s="5" t="inlineStr">
        <is>
          <t xml:space="preserve">Thoracic</t>
        </is>
      </c>
      <c r="D149" s="5" t="inlineStr">
        <is>
          <t xml:space="preserve">9985 · Tech Damaged</t>
        </is>
      </c>
      <c r="E149" s="6" t="n">
        <v>1</v>
      </c>
      <c r="F149" s="5" t="inlineStr">
        <is>
          <t xml:space="preserve">Quality</t>
        </is>
      </c>
    </row>
    <row r="150">
      <c r="A150" s="5" t="inlineStr">
        <is>
          <t xml:space="preserve">ATM</t>
        </is>
      </c>
      <c r="B150" s="49" t="n">
        <v>45875</v>
      </c>
      <c r="C150" s="5" t="inlineStr">
        <is>
          <t xml:space="preserve">Thoracic</t>
        </is>
      </c>
      <c r="D150" s="5" t="inlineStr">
        <is>
          <t xml:space="preserve">9972 · Laceration/Cut</t>
        </is>
      </c>
      <c r="E150" s="6" t="n">
        <v>1</v>
      </c>
      <c r="F150" s="5" t="inlineStr">
        <is>
          <t xml:space="preserve">Quality</t>
        </is>
      </c>
    </row>
    <row r="151">
      <c r="A151" s="5" t="inlineStr">
        <is>
          <t xml:space="preserve">ATM</t>
        </is>
      </c>
      <c r="B151" s="49" t="n">
        <v>45880</v>
      </c>
      <c r="C151" s="5" t="inlineStr">
        <is>
          <t xml:space="preserve">Thoracic</t>
        </is>
      </c>
      <c r="D151" s="5" t="inlineStr">
        <is>
          <t xml:space="preserve">9972 · Laceration/Cut</t>
        </is>
      </c>
      <c r="E151" s="6" t="n">
        <v>3</v>
      </c>
      <c r="F151" s="5" t="inlineStr">
        <is>
          <t xml:space="preserve">Quality</t>
        </is>
      </c>
    </row>
    <row r="152">
      <c r="A152" s="5" t="inlineStr">
        <is>
          <t xml:space="preserve">ATM</t>
        </is>
      </c>
      <c r="B152" s="49" t="n">
        <v>45884</v>
      </c>
      <c r="C152" s="5" t="inlineStr">
        <is>
          <t xml:space="preserve">Thoracic</t>
        </is>
      </c>
      <c r="D152" s="5" t="inlineStr">
        <is>
          <t xml:space="preserve">9972 · Laceration/Cut</t>
        </is>
      </c>
      <c r="E152" s="6" t="n">
        <v>2</v>
      </c>
      <c r="F152" s="5" t="inlineStr">
        <is>
          <t xml:space="preserve">Quality</t>
        </is>
      </c>
    </row>
    <row r="153">
      <c r="A153" s="5" t="inlineStr">
        <is>
          <t xml:space="preserve">ATM</t>
        </is>
      </c>
      <c r="B153" s="49" t="n">
        <v>45887</v>
      </c>
      <c r="C153" s="5" t="inlineStr">
        <is>
          <t xml:space="preserve">Thoracic</t>
        </is>
      </c>
      <c r="D153" s="5" t="inlineStr">
        <is>
          <t xml:space="preserve">9972 · Laceration/Cut</t>
        </is>
      </c>
      <c r="E153" s="6" t="n">
        <v>2</v>
      </c>
      <c r="F153" s="5" t="inlineStr">
        <is>
          <t xml:space="preserve">Quality</t>
        </is>
      </c>
    </row>
    <row r="154">
      <c r="A154" s="5" t="inlineStr">
        <is>
          <t xml:space="preserve">ATM</t>
        </is>
      </c>
      <c r="B154" s="49" t="n">
        <v>45887</v>
      </c>
      <c r="C154" s="5" t="inlineStr">
        <is>
          <t xml:space="preserve">Thoracic</t>
        </is>
      </c>
      <c r="D154" s="5" t="inlineStr">
        <is>
          <t xml:space="preserve">9985 · Tech Damaged</t>
        </is>
      </c>
      <c r="E154" s="6" t="n">
        <v>1</v>
      </c>
      <c r="F154" s="5" t="inlineStr">
        <is>
          <t xml:space="preserve">Quality</t>
        </is>
      </c>
    </row>
    <row r="155">
      <c r="A155" s="5" t="inlineStr">
        <is>
          <t xml:space="preserve">ATM</t>
        </is>
      </c>
      <c r="B155" s="49" t="n">
        <v>45888</v>
      </c>
      <c r="C155" s="5" t="inlineStr">
        <is>
          <t xml:space="preserve">Thoracic</t>
        </is>
      </c>
      <c r="D155" s="5" t="inlineStr">
        <is>
          <t xml:space="preserve">9972 · Laceration/Cut</t>
        </is>
      </c>
      <c r="E155" s="6" t="n">
        <v>1</v>
      </c>
      <c r="F155" s="5" t="inlineStr">
        <is>
          <t xml:space="preserve">Quality</t>
        </is>
      </c>
    </row>
    <row r="156">
      <c r="A156" s="5" t="inlineStr">
        <is>
          <t xml:space="preserve">ATM</t>
        </is>
      </c>
      <c r="B156" s="49" t="n">
        <v>45897</v>
      </c>
      <c r="C156" s="5" t="inlineStr">
        <is>
          <t xml:space="preserve">Thoracic</t>
        </is>
      </c>
      <c r="D156" s="5" t="inlineStr">
        <is>
          <t xml:space="preserve">9972 · Laceration/Cut</t>
        </is>
      </c>
      <c r="E156" s="6" t="n">
        <v>1</v>
      </c>
      <c r="F156" s="5" t="inlineStr">
        <is>
          <t xml:space="preserve">Quality</t>
        </is>
      </c>
    </row>
    <row r="157">
      <c r="A157" s="5" t="inlineStr">
        <is>
          <t xml:space="preserve">ATM</t>
        </is>
      </c>
      <c r="B157" s="49" t="n">
        <v>45905</v>
      </c>
      <c r="C157" s="5" t="inlineStr">
        <is>
          <t xml:space="preserve">Thoracic</t>
        </is>
      </c>
      <c r="D157" s="5" t="inlineStr">
        <is>
          <t xml:space="preserve">1220 · Destructive Testing (eng/R&amp;D)</t>
        </is>
      </c>
      <c r="E157" s="6" t="n">
        <v>2</v>
      </c>
      <c r="F157" s="5" t="inlineStr">
        <is>
          <t xml:space="preserve">Planned</t>
        </is>
      </c>
    </row>
    <row r="158">
      <c r="A158" s="5" t="inlineStr">
        <is>
          <t xml:space="preserve">ATM</t>
        </is>
      </c>
      <c r="B158" s="49" t="n">
        <v>45908</v>
      </c>
      <c r="C158" s="5" t="inlineStr">
        <is>
          <t xml:space="preserve">Thoracic</t>
        </is>
      </c>
      <c r="D158" s="5" t="inlineStr">
        <is>
          <t xml:space="preserve">9972 · Laceration/Cut</t>
        </is>
      </c>
      <c r="E158" s="6" t="n">
        <v>1</v>
      </c>
      <c r="F158" s="5" t="inlineStr">
        <is>
          <t xml:space="preserve">Quality</t>
        </is>
      </c>
    </row>
    <row r="159">
      <c r="A159" s="5" t="inlineStr">
        <is>
          <t xml:space="preserve">ATM</t>
        </is>
      </c>
      <c r="B159" s="49" t="n">
        <v>45915</v>
      </c>
      <c r="C159" s="5" t="inlineStr">
        <is>
          <t xml:space="preserve">Thoracic</t>
        </is>
      </c>
      <c r="D159" s="5" t="inlineStr">
        <is>
          <t xml:space="preserve">1220 · Destructive Testing (eng/R&amp;D)</t>
        </is>
      </c>
      <c r="E159" s="6" t="n">
        <v>5</v>
      </c>
      <c r="F159" s="5" t="inlineStr">
        <is>
          <t xml:space="preserve">Planned</t>
        </is>
      </c>
    </row>
    <row r="160">
      <c r="A160" s="5" t="inlineStr">
        <is>
          <t xml:space="preserve">ATM</t>
        </is>
      </c>
      <c r="B160" s="49" t="n">
        <v>45918</v>
      </c>
      <c r="C160" s="5" t="inlineStr">
        <is>
          <t xml:space="preserve">Thoracic</t>
        </is>
      </c>
      <c r="D160" s="5" t="inlineStr">
        <is>
          <t xml:space="preserve">1220 · Destructive Testing (eng/R&amp;D)</t>
        </is>
      </c>
      <c r="E160" s="6" t="n">
        <v>10</v>
      </c>
      <c r="F160" s="5" t="inlineStr">
        <is>
          <t xml:space="preserve">Planned</t>
        </is>
      </c>
    </row>
    <row r="161">
      <c r="A161" s="5" t="inlineStr">
        <is>
          <t xml:space="preserve">ATM</t>
        </is>
      </c>
      <c r="B161" s="49" t="n">
        <v>45923</v>
      </c>
      <c r="C161" s="5" t="inlineStr">
        <is>
          <t xml:space="preserve">Thoracic</t>
        </is>
      </c>
      <c r="D161" s="5" t="inlineStr">
        <is>
          <t xml:space="preserve">1220 · Destructive Testing (eng/R&amp;D)</t>
        </is>
      </c>
      <c r="E161" s="6" t="n">
        <v>1</v>
      </c>
      <c r="F161" s="5" t="inlineStr">
        <is>
          <t xml:space="preserve">Planned</t>
        </is>
      </c>
    </row>
    <row r="162">
      <c r="A162" s="5" t="inlineStr">
        <is>
          <t xml:space="preserve">ATM</t>
        </is>
      </c>
      <c r="B162" s="49" t="n">
        <v>45925</v>
      </c>
      <c r="C162" s="5" t="inlineStr">
        <is>
          <t xml:space="preserve">Thoracic</t>
        </is>
      </c>
      <c r="D162" s="5" t="inlineStr">
        <is>
          <t xml:space="preserve">1220 · Destructive Testing (eng/R&amp;D)</t>
        </is>
      </c>
      <c r="E162" s="6" t="n">
        <v>1</v>
      </c>
      <c r="F162" s="5" t="inlineStr">
        <is>
          <t xml:space="preserve">Planned</t>
        </is>
      </c>
    </row>
    <row r="163">
      <c r="A163" s="5" t="inlineStr">
        <is>
          <t xml:space="preserve">ATM</t>
        </is>
      </c>
      <c r="B163" s="49" t="n">
        <v>45930</v>
      </c>
      <c r="C163" s="5" t="inlineStr">
        <is>
          <t xml:space="preserve">Thoracic</t>
        </is>
      </c>
      <c r="D163" s="5" t="inlineStr">
        <is>
          <t xml:space="preserve">1220 · Destructive Testing (eng/R&amp;D)</t>
        </is>
      </c>
      <c r="E163" s="6" t="n">
        <v>4</v>
      </c>
      <c r="F163" s="5" t="inlineStr">
        <is>
          <t xml:space="preserve">Planned</t>
        </is>
      </c>
    </row>
    <row r="164">
      <c r="A164" s="5" t="inlineStr">
        <is>
          <t xml:space="preserve">ATM</t>
        </is>
      </c>
      <c r="B164" s="49" t="n">
        <v>45933</v>
      </c>
      <c r="C164" s="5" t="inlineStr">
        <is>
          <t xml:space="preserve">Thoracic</t>
        </is>
      </c>
      <c r="D164" s="5" t="inlineStr">
        <is>
          <t xml:space="preserve">1220 · Destructive Testing (eng/R&amp;D)</t>
        </is>
      </c>
      <c r="E164" s="6" t="n">
        <v>1</v>
      </c>
      <c r="F164" s="5" t="inlineStr">
        <is>
          <t xml:space="preserve">Planned</t>
        </is>
      </c>
    </row>
    <row r="165">
      <c r="A165" s="5" t="inlineStr">
        <is>
          <t xml:space="preserve">ATM</t>
        </is>
      </c>
      <c r="B165" s="49" t="n">
        <v>45937</v>
      </c>
      <c r="C165" s="5" t="inlineStr">
        <is>
          <t xml:space="preserve">Thoracic</t>
        </is>
      </c>
      <c r="D165" s="5" t="inlineStr">
        <is>
          <t xml:space="preserve">1220 · Destructive Testing (eng/R&amp;D)</t>
        </is>
      </c>
      <c r="E165" s="6" t="n">
        <v>3</v>
      </c>
      <c r="F165" s="5" t="inlineStr">
        <is>
          <t xml:space="preserve">Planned</t>
        </is>
      </c>
    </row>
    <row r="166">
      <c r="A166" s="5" t="inlineStr">
        <is>
          <t xml:space="preserve">ATM</t>
        </is>
      </c>
      <c r="B166" s="49" t="n">
        <v>45937</v>
      </c>
      <c r="C166" s="5" t="inlineStr">
        <is>
          <t xml:space="preserve">Thoracic</t>
        </is>
      </c>
      <c r="D166" s="5" t="inlineStr">
        <is>
          <t xml:space="preserve">9972 · Laceration/Cut</t>
        </is>
      </c>
      <c r="E166" s="6" t="n">
        <v>2</v>
      </c>
      <c r="F166" s="5" t="inlineStr">
        <is>
          <t xml:space="preserve">Quality</t>
        </is>
      </c>
    </row>
    <row r="167">
      <c r="A167" s="5" t="inlineStr">
        <is>
          <t xml:space="preserve">ATM</t>
        </is>
      </c>
      <c r="B167" s="49" t="n">
        <v>45940</v>
      </c>
      <c r="C167" s="5" t="inlineStr">
        <is>
          <t xml:space="preserve">Thoracic</t>
        </is>
      </c>
      <c r="D167" s="5" t="inlineStr">
        <is>
          <t xml:space="preserve">9972 · Laceration/Cut</t>
        </is>
      </c>
      <c r="E167" s="6" t="n">
        <v>4</v>
      </c>
      <c r="F167" s="5" t="inlineStr">
        <is>
          <t xml:space="preserve">Quality</t>
        </is>
      </c>
    </row>
    <row r="168">
      <c r="A168" s="5" t="inlineStr">
        <is>
          <t xml:space="preserve">ATM</t>
        </is>
      </c>
      <c r="B168" s="49" t="n">
        <v>45945</v>
      </c>
      <c r="C168" s="5" t="inlineStr">
        <is>
          <t xml:space="preserve">Thoracic</t>
        </is>
      </c>
      <c r="D168" s="5" t="inlineStr">
        <is>
          <t xml:space="preserve">1220 · Destructive Testing (eng/R&amp;D)</t>
        </is>
      </c>
      <c r="E168" s="6" t="n">
        <v>8</v>
      </c>
      <c r="F168" s="5" t="inlineStr">
        <is>
          <t xml:space="preserve">Planned</t>
        </is>
      </c>
    </row>
    <row r="169">
      <c r="A169" s="5" t="inlineStr">
        <is>
          <t xml:space="preserve">ATM</t>
        </is>
      </c>
      <c r="B169" s="49" t="n">
        <v>45947</v>
      </c>
      <c r="C169" s="5" t="inlineStr">
        <is>
          <t xml:space="preserve">Thoracic</t>
        </is>
      </c>
      <c r="D169" s="5" t="inlineStr">
        <is>
          <t xml:space="preserve">1220 · Destructive Testing (eng/R&amp;D)</t>
        </is>
      </c>
      <c r="E169" s="6" t="n">
        <v>8</v>
      </c>
      <c r="F169" s="5" t="inlineStr">
        <is>
          <t xml:space="preserve">Planned</t>
        </is>
      </c>
    </row>
    <row r="170">
      <c r="A170" s="5" t="inlineStr">
        <is>
          <t xml:space="preserve">ATM</t>
        </is>
      </c>
      <c r="B170" s="49" t="n">
        <v>45947</v>
      </c>
      <c r="C170" s="5" t="inlineStr">
        <is>
          <t xml:space="preserve">Thoracic</t>
        </is>
      </c>
      <c r="D170" s="5" t="inlineStr">
        <is>
          <t xml:space="preserve">9972 · Laceration/Cut</t>
        </is>
      </c>
      <c r="E170" s="6" t="n">
        <v>6</v>
      </c>
      <c r="F170" s="5" t="inlineStr">
        <is>
          <t xml:space="preserve">Quality</t>
        </is>
      </c>
    </row>
    <row r="171">
      <c r="A171" s="5" t="inlineStr">
        <is>
          <t xml:space="preserve">ATM</t>
        </is>
      </c>
      <c r="B171" s="49" t="n">
        <v>45950</v>
      </c>
      <c r="C171" s="5" t="inlineStr">
        <is>
          <t xml:space="preserve">Thoracic</t>
        </is>
      </c>
      <c r="D171" s="5" t="inlineStr">
        <is>
          <t xml:space="preserve">9972 · Laceration/Cut</t>
        </is>
      </c>
      <c r="E171" s="6" t="n">
        <v>4</v>
      </c>
      <c r="F171" s="5" t="inlineStr">
        <is>
          <t xml:space="preserve">Quality</t>
        </is>
      </c>
    </row>
    <row r="172">
      <c r="A172" s="5" t="inlineStr">
        <is>
          <t xml:space="preserve">ATM</t>
        </is>
      </c>
      <c r="B172" s="49" t="n">
        <v>45954</v>
      </c>
      <c r="C172" s="5" t="inlineStr">
        <is>
          <t xml:space="preserve">Thoracic</t>
        </is>
      </c>
      <c r="D172" s="5" t="inlineStr">
        <is>
          <t xml:space="preserve">9973 · Out of Spec</t>
        </is>
      </c>
      <c r="E172" s="6" t="n">
        <v>2</v>
      </c>
      <c r="F172" s="5" t="inlineStr">
        <is>
          <t xml:space="preserve">Quality</t>
        </is>
      </c>
    </row>
    <row r="173">
      <c r="A173" s="5" t="inlineStr">
        <is>
          <t xml:space="preserve">ATM</t>
        </is>
      </c>
      <c r="B173" s="49" t="n">
        <v>45961</v>
      </c>
      <c r="C173" s="5" t="inlineStr">
        <is>
          <t xml:space="preserve">Thoracic</t>
        </is>
      </c>
      <c r="D173" s="5" t="inlineStr">
        <is>
          <t xml:space="preserve">9972 · Laceration/Cut</t>
        </is>
      </c>
      <c r="E173" s="6" t="n">
        <v>9</v>
      </c>
      <c r="F173" s="5" t="inlineStr">
        <is>
          <t xml:space="preserve">Quality</t>
        </is>
      </c>
    </row>
    <row r="174">
      <c r="A174" s="5" t="inlineStr">
        <is>
          <t xml:space="preserve">ATM</t>
        </is>
      </c>
      <c r="B174" s="49" t="n">
        <v>45961</v>
      </c>
      <c r="C174" s="5" t="inlineStr">
        <is>
          <t xml:space="preserve">Thoracic</t>
        </is>
      </c>
      <c r="D174" s="5" t="inlineStr">
        <is>
          <t xml:space="preserve">9985 · Tech Damaged</t>
        </is>
      </c>
      <c r="E174" s="6" t="n">
        <v>2</v>
      </c>
      <c r="F174" s="5" t="inlineStr">
        <is>
          <t xml:space="preserve">Quality</t>
        </is>
      </c>
    </row>
    <row r="175">
      <c r="A175" s="5" t="inlineStr">
        <is>
          <t xml:space="preserve">ATM</t>
        </is>
      </c>
      <c r="B175" s="49" t="n">
        <v>45964</v>
      </c>
      <c r="C175" s="5" t="inlineStr">
        <is>
          <t xml:space="preserve">Thoracic</t>
        </is>
      </c>
      <c r="D175" s="5" t="inlineStr">
        <is>
          <t xml:space="preserve">9972 · Laceration/Cut</t>
        </is>
      </c>
      <c r="E175" s="6" t="n">
        <v>3</v>
      </c>
      <c r="F175" s="5" t="inlineStr">
        <is>
          <t xml:space="preserve">Quality</t>
        </is>
      </c>
    </row>
    <row r="176">
      <c r="A176" s="5" t="inlineStr">
        <is>
          <t xml:space="preserve">ATM</t>
        </is>
      </c>
      <c r="B176" s="49" t="n">
        <v>45965</v>
      </c>
      <c r="C176" s="5" t="inlineStr">
        <is>
          <t xml:space="preserve">Thoracic</t>
        </is>
      </c>
      <c r="D176" s="5" t="inlineStr">
        <is>
          <t xml:space="preserve">9973 · Out of Spec</t>
        </is>
      </c>
      <c r="E176" s="6" t="n">
        <v>1</v>
      </c>
      <c r="F176" s="5" t="inlineStr">
        <is>
          <t xml:space="preserve">Quality</t>
        </is>
      </c>
    </row>
    <row r="177">
      <c r="A177" s="5" t="inlineStr">
        <is>
          <t xml:space="preserve">ATM</t>
        </is>
      </c>
      <c r="B177" s="49" t="n">
        <v>45971</v>
      </c>
      <c r="C177" s="5" t="inlineStr">
        <is>
          <t xml:space="preserve">Thoracic</t>
        </is>
      </c>
      <c r="D177" s="5" t="inlineStr">
        <is>
          <t xml:space="preserve">9972 · Laceration/Cut</t>
        </is>
      </c>
      <c r="E177" s="6" t="n">
        <v>1</v>
      </c>
      <c r="F177" s="5" t="inlineStr">
        <is>
          <t xml:space="preserve">Quality</t>
        </is>
      </c>
    </row>
    <row r="178">
      <c r="A178" s="5" t="inlineStr">
        <is>
          <t xml:space="preserve">ATM</t>
        </is>
      </c>
      <c r="B178" s="49" t="n">
        <v>45979</v>
      </c>
      <c r="C178" s="5" t="inlineStr">
        <is>
          <t xml:space="preserve">Thoracic</t>
        </is>
      </c>
      <c r="D178" s="5" t="inlineStr">
        <is>
          <t xml:space="preserve">1220 · Destructive Testing (eng/R&amp;D)</t>
        </is>
      </c>
      <c r="E178" s="6" t="n">
        <v>10</v>
      </c>
      <c r="F178" s="5" t="inlineStr">
        <is>
          <t xml:space="preserve">Planned</t>
        </is>
      </c>
    </row>
    <row r="179">
      <c r="A179" s="5" t="inlineStr">
        <is>
          <t xml:space="preserve">ATM</t>
        </is>
      </c>
      <c r="B179" s="49" t="n">
        <v>45979</v>
      </c>
      <c r="C179" s="5" t="inlineStr">
        <is>
          <t xml:space="preserve">Thoracic</t>
        </is>
      </c>
      <c r="D179" s="5" t="inlineStr">
        <is>
          <t xml:space="preserve">9972 · Laceration/Cut</t>
        </is>
      </c>
      <c r="E179" s="6" t="n">
        <v>1</v>
      </c>
      <c r="F179" s="5" t="inlineStr">
        <is>
          <t xml:space="preserve">Quality</t>
        </is>
      </c>
    </row>
    <row r="180">
      <c r="A180" s="5" t="inlineStr">
        <is>
          <t xml:space="preserve">ATM</t>
        </is>
      </c>
      <c r="B180" s="49" t="n">
        <v>45985</v>
      </c>
      <c r="C180" s="5" t="inlineStr">
        <is>
          <t xml:space="preserve">Thoracic</t>
        </is>
      </c>
      <c r="D180" s="5" t="inlineStr">
        <is>
          <t xml:space="preserve">9972 · Laceration/Cut</t>
        </is>
      </c>
      <c r="E180" s="6" t="n">
        <v>1</v>
      </c>
      <c r="F180" s="5" t="inlineStr">
        <is>
          <t xml:space="preserve">Quality</t>
        </is>
      </c>
    </row>
    <row r="181">
      <c r="A181" s="5" t="inlineStr">
        <is>
          <t xml:space="preserve">ATM</t>
        </is>
      </c>
      <c r="B181" s="49" t="n">
        <v>45985</v>
      </c>
      <c r="C181" s="5" t="inlineStr">
        <is>
          <t xml:space="preserve">Thoracic</t>
        </is>
      </c>
      <c r="D181" s="5" t="inlineStr">
        <is>
          <t xml:space="preserve">9985 · Tech Damaged</t>
        </is>
      </c>
      <c r="E181" s="6" t="n">
        <v>2</v>
      </c>
      <c r="F181" s="5" t="inlineStr">
        <is>
          <t xml:space="preserve">Quality</t>
        </is>
      </c>
    </row>
    <row r="182">
      <c r="A182" s="5" t="inlineStr">
        <is>
          <t xml:space="preserve">ATM</t>
        </is>
      </c>
      <c r="B182" s="49" t="n">
        <v>45986</v>
      </c>
      <c r="C182" s="5" t="inlineStr">
        <is>
          <t xml:space="preserve">Thoracic</t>
        </is>
      </c>
      <c r="D182" s="5" t="inlineStr">
        <is>
          <t xml:space="preserve">9972 · Laceration/Cut</t>
        </is>
      </c>
      <c r="E182" s="6" t="n">
        <v>1</v>
      </c>
      <c r="F182" s="5" t="inlineStr">
        <is>
          <t xml:space="preserve">Quality</t>
        </is>
      </c>
    </row>
    <row r="183">
      <c r="A183" s="5" t="inlineStr">
        <is>
          <t xml:space="preserve">ATM</t>
        </is>
      </c>
      <c r="B183" s="49" t="n">
        <v>45986</v>
      </c>
      <c r="C183" s="5" t="inlineStr">
        <is>
          <t xml:space="preserve">Thoracic</t>
        </is>
      </c>
      <c r="D183" s="5" t="inlineStr">
        <is>
          <t xml:space="preserve">9985 · Tech Damaged</t>
        </is>
      </c>
      <c r="E183" s="6" t="n">
        <v>1</v>
      </c>
      <c r="F183" s="5" t="inlineStr">
        <is>
          <t xml:space="preserve">Quality</t>
        </is>
      </c>
    </row>
    <row r="184">
      <c r="A184" s="5" t="inlineStr">
        <is>
          <t xml:space="preserve">ATM</t>
        </is>
      </c>
      <c r="B184" s="49" t="n">
        <v>45987</v>
      </c>
      <c r="C184" s="5" t="inlineStr">
        <is>
          <t xml:space="preserve">Thoracic</t>
        </is>
      </c>
      <c r="D184" s="5" t="inlineStr">
        <is>
          <t xml:space="preserve">9972 · Laceration/Cut</t>
        </is>
      </c>
      <c r="E184" s="6" t="n">
        <v>1</v>
      </c>
      <c r="F184" s="5" t="inlineStr">
        <is>
          <t xml:space="preserve">Quality</t>
        </is>
      </c>
    </row>
    <row r="185">
      <c r="A185" s="5" t="inlineStr">
        <is>
          <t xml:space="preserve">ATM</t>
        </is>
      </c>
      <c r="B185" s="49" t="n">
        <v>45992</v>
      </c>
      <c r="C185" s="5" t="inlineStr">
        <is>
          <t xml:space="preserve">Thoracic</t>
        </is>
      </c>
      <c r="D185" s="5" t="inlineStr">
        <is>
          <t xml:space="preserve">1220 · Destructive Testing (eng/R&amp;D)</t>
        </is>
      </c>
      <c r="E185" s="6" t="n">
        <v>25</v>
      </c>
      <c r="F185" s="5" t="inlineStr">
        <is>
          <t xml:space="preserve">Planned</t>
        </is>
      </c>
    </row>
    <row r="186">
      <c r="A186" s="5" t="inlineStr">
        <is>
          <t xml:space="preserve">ATM</t>
        </is>
      </c>
      <c r="B186" s="49" t="n">
        <v>45993</v>
      </c>
      <c r="C186" s="5" t="inlineStr">
        <is>
          <t xml:space="preserve">Thoracic</t>
        </is>
      </c>
      <c r="D186" s="5" t="inlineStr">
        <is>
          <t xml:space="preserve">9972 · Laceration/Cut</t>
        </is>
      </c>
      <c r="E186" s="6" t="n">
        <v>4</v>
      </c>
      <c r="F186" s="5" t="inlineStr">
        <is>
          <t xml:space="preserve">Quality</t>
        </is>
      </c>
    </row>
    <row r="187">
      <c r="A187" s="5" t="inlineStr">
        <is>
          <t xml:space="preserve">ATM</t>
        </is>
      </c>
      <c r="B187" s="49" t="n">
        <v>45993</v>
      </c>
      <c r="C187" s="5" t="inlineStr">
        <is>
          <t xml:space="preserve">Thoracic</t>
        </is>
      </c>
      <c r="D187" s="5" t="inlineStr">
        <is>
          <t xml:space="preserve">9985 · Tech Damaged</t>
        </is>
      </c>
      <c r="E187" s="6" t="n">
        <v>1</v>
      </c>
      <c r="F187" s="5" t="inlineStr">
        <is>
          <t xml:space="preserve">Quality</t>
        </is>
      </c>
    </row>
    <row r="188">
      <c r="A188" s="5" t="inlineStr">
        <is>
          <t xml:space="preserve">ATM</t>
        </is>
      </c>
      <c r="B188" s="49" t="n">
        <v>45995</v>
      </c>
      <c r="C188" s="5" t="inlineStr">
        <is>
          <t xml:space="preserve">Thoracic</t>
        </is>
      </c>
      <c r="D188" s="5" t="inlineStr">
        <is>
          <t xml:space="preserve">9972 · Laceration/Cut</t>
        </is>
      </c>
      <c r="E188" s="6" t="n">
        <v>2</v>
      </c>
      <c r="F188" s="5" t="inlineStr">
        <is>
          <t xml:space="preserve">Quality</t>
        </is>
      </c>
    </row>
    <row r="189">
      <c r="A189" s="5" t="inlineStr">
        <is>
          <t xml:space="preserve">ATM</t>
        </is>
      </c>
      <c r="B189" s="49" t="n">
        <v>45999</v>
      </c>
      <c r="C189" s="5" t="inlineStr">
        <is>
          <t xml:space="preserve">Thoracic</t>
        </is>
      </c>
      <c r="D189" s="5" t="inlineStr">
        <is>
          <t xml:space="preserve">9972 · Laceration/Cut</t>
        </is>
      </c>
      <c r="E189" s="6" t="n">
        <v>5</v>
      </c>
      <c r="F189" s="5" t="inlineStr">
        <is>
          <t xml:space="preserve">Quality</t>
        </is>
      </c>
    </row>
    <row r="190">
      <c r="A190" s="5" t="inlineStr">
        <is>
          <t xml:space="preserve">ATM</t>
        </is>
      </c>
      <c r="B190" s="49" t="n">
        <v>46001</v>
      </c>
      <c r="C190" s="5" t="inlineStr">
        <is>
          <t xml:space="preserve">Thoracic</t>
        </is>
      </c>
      <c r="D190" s="5" t="inlineStr">
        <is>
          <t xml:space="preserve">9985 · Tech Damaged</t>
        </is>
      </c>
      <c r="E190" s="6" t="n">
        <v>1</v>
      </c>
      <c r="F190" s="5" t="inlineStr">
        <is>
          <t xml:space="preserve">Quality</t>
        </is>
      </c>
    </row>
    <row r="191">
      <c r="A191" s="5" t="inlineStr">
        <is>
          <t xml:space="preserve">ATM</t>
        </is>
      </c>
      <c r="B191" s="49" t="n">
        <v>46006</v>
      </c>
      <c r="C191" s="5" t="inlineStr">
        <is>
          <t xml:space="preserve">Thoracic</t>
        </is>
      </c>
      <c r="D191" s="5" t="inlineStr">
        <is>
          <t xml:space="preserve">1220 · Destructive Testing (eng/R&amp;D)</t>
        </is>
      </c>
      <c r="E191" s="6" t="n">
        <v>20</v>
      </c>
      <c r="F191" s="5" t="inlineStr">
        <is>
          <t xml:space="preserve">Planned</t>
        </is>
      </c>
    </row>
    <row r="192">
      <c r="A192" s="5" t="inlineStr">
        <is>
          <t xml:space="preserve">ATM</t>
        </is>
      </c>
      <c r="B192" s="49" t="n">
        <v>46006</v>
      </c>
      <c r="C192" s="5" t="inlineStr">
        <is>
          <t xml:space="preserve">Thoracic</t>
        </is>
      </c>
      <c r="D192" s="5" t="inlineStr">
        <is>
          <t xml:space="preserve">9972 · Laceration/Cut</t>
        </is>
      </c>
      <c r="E192" s="6" t="n">
        <v>5</v>
      </c>
      <c r="F192" s="5" t="inlineStr">
        <is>
          <t xml:space="preserve">Quality</t>
        </is>
      </c>
    </row>
    <row r="193">
      <c r="A193" s="5" t="inlineStr">
        <is>
          <t xml:space="preserve">ATM</t>
        </is>
      </c>
      <c r="B193" s="49" t="n">
        <v>46006</v>
      </c>
      <c r="C193" s="5" t="inlineStr">
        <is>
          <t xml:space="preserve">Thoracic</t>
        </is>
      </c>
      <c r="D193" s="5" t="inlineStr">
        <is>
          <t xml:space="preserve">9973 · Out of Spec</t>
        </is>
      </c>
      <c r="E193" s="6" t="n">
        <v>1</v>
      </c>
      <c r="F193" s="5" t="inlineStr">
        <is>
          <t xml:space="preserve">Quality</t>
        </is>
      </c>
    </row>
    <row r="194">
      <c r="A194" s="5" t="inlineStr">
        <is>
          <t xml:space="preserve">ATM</t>
        </is>
      </c>
      <c r="B194" s="49" t="n">
        <v>46006</v>
      </c>
      <c r="C194" s="5" t="inlineStr">
        <is>
          <t xml:space="preserve">Thoracic</t>
        </is>
      </c>
      <c r="D194" s="5" t="inlineStr">
        <is>
          <t xml:space="preserve">9985 · Tech Damaged</t>
        </is>
      </c>
      <c r="E194" s="6" t="n">
        <v>1</v>
      </c>
      <c r="F194" s="5" t="inlineStr">
        <is>
          <t xml:space="preserve">Quality</t>
        </is>
      </c>
    </row>
    <row r="195">
      <c r="A195" s="5" t="inlineStr">
        <is>
          <t xml:space="preserve">ATM</t>
        </is>
      </c>
      <c r="B195" s="49" t="n">
        <v>46007</v>
      </c>
      <c r="C195" s="5" t="inlineStr">
        <is>
          <t xml:space="preserve">Pelvic</t>
        </is>
      </c>
      <c r="D195" s="5" t="inlineStr">
        <is>
          <t xml:space="preserve">9973 · Out of Spec</t>
        </is>
      </c>
      <c r="E195" s="6" t="n">
        <v>8</v>
      </c>
      <c r="F195" s="5" t="inlineStr">
        <is>
          <t xml:space="preserve">Quality</t>
        </is>
      </c>
    </row>
    <row r="196">
      <c r="A196" s="5" t="inlineStr">
        <is>
          <t xml:space="preserve">ATM</t>
        </is>
      </c>
      <c r="B196" s="49" t="n">
        <v>46007</v>
      </c>
      <c r="C196" s="5" t="inlineStr">
        <is>
          <t xml:space="preserve">Pelvic</t>
        </is>
      </c>
      <c r="D196" s="5" t="inlineStr">
        <is>
          <t xml:space="preserve">9983 · Incorrect Dimensions</t>
        </is>
      </c>
      <c r="E196" s="6" t="n">
        <v>9</v>
      </c>
      <c r="F196" s="5" t="inlineStr">
        <is>
          <t xml:space="preserve">Quality</t>
        </is>
      </c>
    </row>
    <row r="197">
      <c r="A197" s="5" t="inlineStr">
        <is>
          <t xml:space="preserve">ATM</t>
        </is>
      </c>
      <c r="B197" s="49" t="n">
        <v>46009</v>
      </c>
      <c r="C197" s="5" t="inlineStr">
        <is>
          <t xml:space="preserve">Thoracic</t>
        </is>
      </c>
      <c r="D197" s="5" t="inlineStr">
        <is>
          <t xml:space="preserve">9972 · Laceration/Cut</t>
        </is>
      </c>
      <c r="E197" s="6" t="n">
        <v>3</v>
      </c>
      <c r="F197" s="5" t="inlineStr">
        <is>
          <t xml:space="preserve">Quality</t>
        </is>
      </c>
    </row>
    <row r="198">
      <c r="A198" s="5" t="inlineStr">
        <is>
          <t xml:space="preserve">ATM</t>
        </is>
      </c>
      <c r="B198" s="49" t="n">
        <v>46009</v>
      </c>
      <c r="C198" s="5" t="inlineStr">
        <is>
          <t xml:space="preserve">Thoracic</t>
        </is>
      </c>
      <c r="D198" s="5" t="inlineStr">
        <is>
          <t xml:space="preserve">9985 · Tech Damaged</t>
        </is>
      </c>
      <c r="E198" s="6" t="n">
        <v>1</v>
      </c>
      <c r="F198" s="5" t="inlineStr">
        <is>
          <t xml:space="preserve">Quality</t>
        </is>
      </c>
    </row>
    <row r="199">
      <c r="A199" s="5" t="inlineStr">
        <is>
          <t xml:space="preserve">ATM</t>
        </is>
      </c>
      <c r="B199" s="49" t="n">
        <v>46009</v>
      </c>
      <c r="C199" s="5" t="inlineStr">
        <is>
          <t xml:space="preserve">Pelvic</t>
        </is>
      </c>
      <c r="D199" s="5" t="inlineStr">
        <is>
          <t xml:space="preserve">9973 · Out of Spec</t>
        </is>
      </c>
      <c r="E199" s="6" t="n">
        <v>3</v>
      </c>
      <c r="F199" s="5" t="inlineStr">
        <is>
          <t xml:space="preserve">Quality</t>
        </is>
      </c>
    </row>
    <row r="200">
      <c r="A200" s="5" t="inlineStr">
        <is>
          <t xml:space="preserve">ATM</t>
        </is>
      </c>
      <c r="B200" s="49" t="n">
        <v>46009</v>
      </c>
      <c r="C200" s="5" t="inlineStr">
        <is>
          <t xml:space="preserve">Pelvic</t>
        </is>
      </c>
      <c r="D200" s="5" t="inlineStr">
        <is>
          <t xml:space="preserve">9983 · Incorrect Dimensions</t>
        </is>
      </c>
      <c r="E200" s="6" t="n">
        <v>3</v>
      </c>
      <c r="F200" s="5" t="inlineStr">
        <is>
          <t xml:space="preserve">Quality</t>
        </is>
      </c>
    </row>
    <row r="201">
      <c r="A201" s="5" t="inlineStr">
        <is>
          <t xml:space="preserve">ATM</t>
        </is>
      </c>
      <c r="B201" s="49" t="n">
        <v>46015</v>
      </c>
      <c r="C201" s="5" t="inlineStr">
        <is>
          <t xml:space="preserve">Pelvic</t>
        </is>
      </c>
      <c r="D201" s="5" t="inlineStr">
        <is>
          <t xml:space="preserve">9973 · Out of Spec</t>
        </is>
      </c>
      <c r="E201" s="6" t="n">
        <v>11</v>
      </c>
      <c r="F201" s="5" t="inlineStr">
        <is>
          <t xml:space="preserve">Quality</t>
        </is>
      </c>
    </row>
    <row r="202">
      <c r="A202" s="5" t="inlineStr">
        <is>
          <t xml:space="preserve">ATM</t>
        </is>
      </c>
      <c r="B202" s="49" t="n">
        <v>46022</v>
      </c>
      <c r="C202" s="5" t="inlineStr">
        <is>
          <t xml:space="preserve">Pelvic</t>
        </is>
      </c>
      <c r="D202" s="5" t="inlineStr">
        <is>
          <t xml:space="preserve">9972 · Laceration/Cut</t>
        </is>
      </c>
      <c r="E202" s="6" t="n">
        <v>9</v>
      </c>
      <c r="F202" s="5" t="inlineStr">
        <is>
          <t xml:space="preserve">Quality</t>
        </is>
      </c>
    </row>
    <row r="203">
      <c r="A203" s="5" t="inlineStr">
        <is>
          <t xml:space="preserve">ATM</t>
        </is>
      </c>
      <c r="B203" s="49" t="n">
        <v>46027</v>
      </c>
      <c r="C203" s="5" t="inlineStr">
        <is>
          <t xml:space="preserve">Thoracic</t>
        </is>
      </c>
      <c r="D203" s="5" t="inlineStr">
        <is>
          <t xml:space="preserve">9972 · Laceration/Cut</t>
        </is>
      </c>
      <c r="E203" s="6" t="n">
        <v>3</v>
      </c>
      <c r="F203" s="5" t="inlineStr">
        <is>
          <t xml:space="preserve">Quality</t>
        </is>
      </c>
    </row>
    <row r="204">
      <c r="A204" s="5" t="inlineStr">
        <is>
          <t xml:space="preserve">ATM</t>
        </is>
      </c>
      <c r="B204" s="49" t="n">
        <v>46028</v>
      </c>
      <c r="C204" s="5" t="inlineStr">
        <is>
          <t xml:space="preserve">Thoracic</t>
        </is>
      </c>
      <c r="D204" s="5" t="inlineStr">
        <is>
          <t xml:space="preserve">9985 · Tech Damaged</t>
        </is>
      </c>
      <c r="E204" s="6" t="n">
        <v>2</v>
      </c>
      <c r="F204" s="5" t="inlineStr">
        <is>
          <t xml:space="preserve">Quality</t>
        </is>
      </c>
    </row>
    <row r="205">
      <c r="A205" s="5" t="inlineStr">
        <is>
          <t xml:space="preserve">ATM</t>
        </is>
      </c>
      <c r="B205" s="49" t="n">
        <v>46034</v>
      </c>
      <c r="C205" s="5" t="inlineStr">
        <is>
          <t xml:space="preserve">Thoracic</t>
        </is>
      </c>
      <c r="D205" s="5" t="inlineStr">
        <is>
          <t xml:space="preserve">9972 · Laceration/Cut</t>
        </is>
      </c>
      <c r="E205" s="6" t="n">
        <v>1</v>
      </c>
      <c r="F205" s="5" t="inlineStr">
        <is>
          <t xml:space="preserve">Quality</t>
        </is>
      </c>
    </row>
    <row r="206">
      <c r="A206" s="5" t="inlineStr">
        <is>
          <t xml:space="preserve">ATM</t>
        </is>
      </c>
      <c r="B206" s="49" t="n">
        <v>46035</v>
      </c>
      <c r="C206" s="5" t="inlineStr">
        <is>
          <t xml:space="preserve">Thoracic</t>
        </is>
      </c>
      <c r="D206" s="5" t="inlineStr">
        <is>
          <t xml:space="preserve">9972 · Laceration/Cut</t>
        </is>
      </c>
      <c r="E206" s="6" t="n">
        <v>2</v>
      </c>
      <c r="F206" s="5" t="inlineStr">
        <is>
          <t xml:space="preserve">Quality</t>
        </is>
      </c>
    </row>
    <row r="207">
      <c r="A207" s="5" t="inlineStr">
        <is>
          <t xml:space="preserve">ATM</t>
        </is>
      </c>
      <c r="B207" s="49" t="n">
        <v>46035</v>
      </c>
      <c r="C207" s="5" t="inlineStr">
        <is>
          <t xml:space="preserve">Thoracic</t>
        </is>
      </c>
      <c r="D207" s="5" t="inlineStr">
        <is>
          <t xml:space="preserve">9985 · Tech Damaged</t>
        </is>
      </c>
      <c r="E207" s="6" t="n">
        <v>1</v>
      </c>
      <c r="F207" s="5" t="inlineStr">
        <is>
          <t xml:space="preserve">Quality</t>
        </is>
      </c>
    </row>
    <row r="208">
      <c r="A208" s="5" t="inlineStr">
        <is>
          <t xml:space="preserve">ATM</t>
        </is>
      </c>
      <c r="B208" s="49" t="n">
        <v>46038</v>
      </c>
      <c r="C208" s="5" t="inlineStr">
        <is>
          <t xml:space="preserve">Thoracic</t>
        </is>
      </c>
      <c r="D208" s="5" t="inlineStr">
        <is>
          <t xml:space="preserve">1220 · Destructive Testing (eng/R&amp;D)</t>
        </is>
      </c>
      <c r="E208" s="6" t="n">
        <v>20</v>
      </c>
      <c r="F208" s="5" t="inlineStr">
        <is>
          <t xml:space="preserve">Planned</t>
        </is>
      </c>
    </row>
    <row r="209">
      <c r="A209" s="5" t="inlineStr">
        <is>
          <t xml:space="preserve">ATM</t>
        </is>
      </c>
      <c r="B209" s="49" t="n">
        <v>46043</v>
      </c>
      <c r="C209" s="5" t="inlineStr">
        <is>
          <t xml:space="preserve">Thoracic</t>
        </is>
      </c>
      <c r="D209" s="5" t="inlineStr">
        <is>
          <t xml:space="preserve">9972 · Laceration/Cut</t>
        </is>
      </c>
      <c r="E209" s="6" t="n">
        <v>1</v>
      </c>
      <c r="F209" s="5" t="inlineStr">
        <is>
          <t xml:space="preserve">Quality</t>
        </is>
      </c>
    </row>
    <row r="210">
      <c r="A210" s="5" t="inlineStr">
        <is>
          <t xml:space="preserve">ATM</t>
        </is>
      </c>
      <c r="B210" s="49" t="n">
        <v>46043</v>
      </c>
      <c r="C210" s="5" t="inlineStr">
        <is>
          <t xml:space="preserve">Thoracic</t>
        </is>
      </c>
      <c r="D210" s="5" t="inlineStr">
        <is>
          <t xml:space="preserve">9985 · Tech Damaged</t>
        </is>
      </c>
      <c r="E210" s="6" t="n">
        <v>1</v>
      </c>
      <c r="F210" s="5" t="inlineStr">
        <is>
          <t xml:space="preserve">Quality</t>
        </is>
      </c>
    </row>
    <row r="211">
      <c r="A211" s="5" t="inlineStr">
        <is>
          <t xml:space="preserve">ATM</t>
        </is>
      </c>
      <c r="B211" s="49" t="n">
        <v>46045</v>
      </c>
      <c r="C211" s="5" t="inlineStr">
        <is>
          <t xml:space="preserve">Thoracic</t>
        </is>
      </c>
      <c r="D211" s="5" t="inlineStr">
        <is>
          <t xml:space="preserve">9972 · Laceration/Cut</t>
        </is>
      </c>
      <c r="E211" s="6" t="n">
        <v>1</v>
      </c>
      <c r="F211" s="5" t="inlineStr">
        <is>
          <t xml:space="preserve">Quality</t>
        </is>
      </c>
    </row>
    <row r="212">
      <c r="A212" s="5" t="inlineStr">
        <is>
          <t xml:space="preserve">ATM</t>
        </is>
      </c>
      <c r="B212" s="49" t="n">
        <v>46049</v>
      </c>
      <c r="C212" s="5" t="inlineStr">
        <is>
          <t xml:space="preserve">Thoracic</t>
        </is>
      </c>
      <c r="D212" s="5" t="inlineStr">
        <is>
          <t xml:space="preserve">9972 · Laceration/Cut</t>
        </is>
      </c>
      <c r="E212" s="6" t="n">
        <v>2</v>
      </c>
      <c r="F212" s="5" t="inlineStr">
        <is>
          <t xml:space="preserve">Quality</t>
        </is>
      </c>
    </row>
    <row r="213">
      <c r="A213" s="5" t="inlineStr">
        <is>
          <t xml:space="preserve">ATM</t>
        </is>
      </c>
      <c r="B213" s="49" t="n">
        <v>46050</v>
      </c>
      <c r="C213" s="5" t="inlineStr">
        <is>
          <t xml:space="preserve">Thoracic</t>
        </is>
      </c>
      <c r="D213" s="5" t="inlineStr">
        <is>
          <t xml:space="preserve">1220 · Destructive Testing (eng/R&amp;D)</t>
        </is>
      </c>
      <c r="E213" s="6" t="n">
        <v>20</v>
      </c>
      <c r="F213" s="5" t="inlineStr">
        <is>
          <t xml:space="preserve">Planned</t>
        </is>
      </c>
    </row>
    <row r="214">
      <c r="A214" s="5" t="inlineStr">
        <is>
          <t xml:space="preserve">ATM</t>
        </is>
      </c>
      <c r="B214" s="49" t="n">
        <v>46050</v>
      </c>
      <c r="C214" s="5" t="inlineStr">
        <is>
          <t xml:space="preserve">Thoracic</t>
        </is>
      </c>
      <c r="D214" s="5" t="inlineStr">
        <is>
          <t xml:space="preserve">9972 · Laceration/Cut</t>
        </is>
      </c>
      <c r="E214" s="6" t="n">
        <v>3</v>
      </c>
      <c r="F214" s="5" t="inlineStr">
        <is>
          <t xml:space="preserve">Quality</t>
        </is>
      </c>
    </row>
    <row r="215">
      <c r="A215" s="5" t="inlineStr">
        <is>
          <t xml:space="preserve">ATM</t>
        </is>
      </c>
      <c r="B215" s="49" t="n">
        <v>46050</v>
      </c>
      <c r="C215" s="5" t="inlineStr">
        <is>
          <t xml:space="preserve">Thoracic</t>
        </is>
      </c>
      <c r="D215" s="5" t="inlineStr">
        <is>
          <t xml:space="preserve">9985 · Tech Damaged</t>
        </is>
      </c>
      <c r="E215" s="6" t="n">
        <v>2</v>
      </c>
      <c r="F215" s="5" t="inlineStr">
        <is>
          <t xml:space="preserve">Quality</t>
        </is>
      </c>
    </row>
    <row r="216">
      <c r="A216" s="5" t="inlineStr">
        <is>
          <t xml:space="preserve">ATM</t>
        </is>
      </c>
      <c r="B216" s="49" t="n">
        <v>46051</v>
      </c>
      <c r="C216" s="5" t="inlineStr">
        <is>
          <t xml:space="preserve">Thoracic</t>
        </is>
      </c>
      <c r="D216" s="5" t="inlineStr">
        <is>
          <t xml:space="preserve">1220 · Destructive Testing (eng/R&amp;D)</t>
        </is>
      </c>
      <c r="E216" s="6" t="n">
        <v>3</v>
      </c>
      <c r="F216" s="5" t="inlineStr">
        <is>
          <t xml:space="preserve">Planned</t>
        </is>
      </c>
    </row>
    <row r="217">
      <c r="A217" s="5" t="inlineStr">
        <is>
          <t xml:space="preserve">ATM</t>
        </is>
      </c>
      <c r="B217" s="49" t="n">
        <v>46051</v>
      </c>
      <c r="C217" s="5" t="inlineStr">
        <is>
          <t xml:space="preserve">Thoracic</t>
        </is>
      </c>
      <c r="D217" s="5" t="inlineStr">
        <is>
          <t xml:space="preserve">9972 · Laceration/Cut</t>
        </is>
      </c>
      <c r="E217" s="6" t="n">
        <v>1</v>
      </c>
      <c r="F217" s="5" t="inlineStr">
        <is>
          <t xml:space="preserve">Quality</t>
        </is>
      </c>
    </row>
    <row r="218">
      <c r="A218" s="5" t="inlineStr">
        <is>
          <t xml:space="preserve">ATM</t>
        </is>
      </c>
      <c r="B218" s="49" t="n">
        <v>46052</v>
      </c>
      <c r="C218" s="5" t="inlineStr">
        <is>
          <t xml:space="preserve">Thoracic</t>
        </is>
      </c>
      <c r="D218" s="5" t="inlineStr">
        <is>
          <t xml:space="preserve">7 · Others</t>
        </is>
      </c>
      <c r="E218" s="6" t="n">
        <v>1</v>
      </c>
      <c r="F218" s="5" t="inlineStr">
        <is>
          <t xml:space="preserve">Quality</t>
        </is>
      </c>
    </row>
    <row r="219">
      <c r="A219" s="5" t="inlineStr">
        <is>
          <t xml:space="preserve">ATM</t>
        </is>
      </c>
      <c r="B219" s="49" t="n">
        <v>46052</v>
      </c>
      <c r="C219" s="5" t="inlineStr">
        <is>
          <t xml:space="preserve">Thoracic</t>
        </is>
      </c>
      <c r="D219" s="5" t="inlineStr">
        <is>
          <t xml:space="preserve">9972 · Laceration/Cut</t>
        </is>
      </c>
      <c r="E219" s="6" t="n">
        <v>2</v>
      </c>
      <c r="F219" s="5" t="inlineStr">
        <is>
          <t xml:space="preserve">Quality</t>
        </is>
      </c>
    </row>
    <row r="220">
      <c r="A220" s="5" t="inlineStr">
        <is>
          <t xml:space="preserve">ATM</t>
        </is>
      </c>
      <c r="B220" s="49" t="n">
        <v>46052</v>
      </c>
      <c r="C220" s="5" t="inlineStr">
        <is>
          <t xml:space="preserve">Thoracic</t>
        </is>
      </c>
      <c r="D220" s="5" t="inlineStr">
        <is>
          <t xml:space="preserve">9973 · Out of Spec</t>
        </is>
      </c>
      <c r="E220" s="6" t="n">
        <v>2</v>
      </c>
      <c r="F220" s="5" t="inlineStr">
        <is>
          <t xml:space="preserve">Quality</t>
        </is>
      </c>
    </row>
    <row r="221">
      <c r="A221" s="5" t="inlineStr">
        <is>
          <t xml:space="preserve">ATM</t>
        </is>
      </c>
      <c r="B221" s="49" t="n">
        <v>46052</v>
      </c>
      <c r="C221" s="5" t="inlineStr">
        <is>
          <t xml:space="preserve">Pelvic</t>
        </is>
      </c>
      <c r="D221" s="5" t="inlineStr">
        <is>
          <t xml:space="preserve">9973 · Out of Spec</t>
        </is>
      </c>
      <c r="E221" s="6" t="n">
        <v>37</v>
      </c>
      <c r="F221" s="5" t="inlineStr">
        <is>
          <t xml:space="preserve">Quality</t>
        </is>
      </c>
    </row>
    <row r="222">
      <c r="A222" s="5" t="inlineStr">
        <is>
          <t xml:space="preserve">ATM</t>
        </is>
      </c>
      <c r="B222" s="49" t="n">
        <v>46055</v>
      </c>
      <c r="C222" s="5" t="inlineStr">
        <is>
          <t xml:space="preserve">Thoracic</t>
        </is>
      </c>
      <c r="D222" s="5" t="inlineStr">
        <is>
          <t xml:space="preserve">9972 · Laceration/Cut</t>
        </is>
      </c>
      <c r="E222" s="6" t="n">
        <v>3</v>
      </c>
      <c r="F222" s="5" t="inlineStr">
        <is>
          <t xml:space="preserve">Quality</t>
        </is>
      </c>
    </row>
    <row r="223">
      <c r="A223" s="5" t="inlineStr">
        <is>
          <t xml:space="preserve">ATM</t>
        </is>
      </c>
      <c r="B223" s="49" t="n">
        <v>46056</v>
      </c>
      <c r="C223" s="5" t="inlineStr">
        <is>
          <t xml:space="preserve">Thoracic</t>
        </is>
      </c>
      <c r="D223" s="5" t="inlineStr">
        <is>
          <t xml:space="preserve">9972 · Laceration/Cut</t>
        </is>
      </c>
      <c r="E223" s="6" t="n">
        <v>5</v>
      </c>
      <c r="F223" s="5" t="inlineStr">
        <is>
          <t xml:space="preserve">Quality</t>
        </is>
      </c>
    </row>
    <row r="224">
      <c r="A224" s="5" t="inlineStr">
        <is>
          <t xml:space="preserve">ATM</t>
        </is>
      </c>
      <c r="B224" s="49" t="n">
        <v>46056</v>
      </c>
      <c r="C224" s="5" t="inlineStr">
        <is>
          <t xml:space="preserve">Thoracic</t>
        </is>
      </c>
      <c r="D224" s="5" t="inlineStr">
        <is>
          <t xml:space="preserve">9985 · Tech Damaged</t>
        </is>
      </c>
      <c r="E224" s="6" t="n">
        <v>1</v>
      </c>
      <c r="F224" s="5" t="inlineStr">
        <is>
          <t xml:space="preserve">Quality</t>
        </is>
      </c>
    </row>
    <row r="225">
      <c r="A225" s="5" t="inlineStr">
        <is>
          <t xml:space="preserve">ATM</t>
        </is>
      </c>
      <c r="B225" s="49" t="n">
        <v>46056</v>
      </c>
      <c r="C225" s="5" t="inlineStr">
        <is>
          <t xml:space="preserve">Pelvic</t>
        </is>
      </c>
      <c r="D225" s="5" t="inlineStr">
        <is>
          <t xml:space="preserve">9973 · Out of Spec</t>
        </is>
      </c>
      <c r="E225" s="6" t="n">
        <v>21</v>
      </c>
      <c r="F225" s="5" t="inlineStr">
        <is>
          <t xml:space="preserve">Quality</t>
        </is>
      </c>
    </row>
    <row r="226">
      <c r="A226" s="5" t="inlineStr">
        <is>
          <t xml:space="preserve">ATM</t>
        </is>
      </c>
      <c r="B226" s="49" t="n">
        <v>46057</v>
      </c>
      <c r="C226" s="5" t="inlineStr">
        <is>
          <t xml:space="preserve">Thoracic</t>
        </is>
      </c>
      <c r="D226" s="5" t="inlineStr">
        <is>
          <t xml:space="preserve">1220 · Destructive Testing (eng/R&amp;D)</t>
        </is>
      </c>
      <c r="E226" s="6" t="n">
        <v>4</v>
      </c>
      <c r="F226" s="5" t="inlineStr">
        <is>
          <t xml:space="preserve">Planned</t>
        </is>
      </c>
    </row>
    <row r="227">
      <c r="A227" s="5" t="inlineStr">
        <is>
          <t xml:space="preserve">ATM</t>
        </is>
      </c>
      <c r="B227" s="49" t="n">
        <v>46057</v>
      </c>
      <c r="C227" s="5" t="inlineStr">
        <is>
          <t xml:space="preserve">Thoracic</t>
        </is>
      </c>
      <c r="D227" s="5" t="inlineStr">
        <is>
          <t xml:space="preserve">9972 · Laceration/Cut</t>
        </is>
      </c>
      <c r="E227" s="6" t="n">
        <v>2</v>
      </c>
      <c r="F227" s="5" t="inlineStr">
        <is>
          <t xml:space="preserve">Quality</t>
        </is>
      </c>
    </row>
    <row r="228">
      <c r="A228" s="5" t="inlineStr">
        <is>
          <t xml:space="preserve">ATM</t>
        </is>
      </c>
      <c r="B228" s="49" t="n">
        <v>46058</v>
      </c>
      <c r="C228" s="5" t="inlineStr">
        <is>
          <t xml:space="preserve">Thoracic</t>
        </is>
      </c>
      <c r="D228" s="5" t="inlineStr">
        <is>
          <t xml:space="preserve">9972 · Laceration/Cut</t>
        </is>
      </c>
      <c r="E228" s="6" t="n">
        <v>1</v>
      </c>
      <c r="F228" s="5" t="inlineStr">
        <is>
          <t xml:space="preserve">Quality</t>
        </is>
      </c>
    </row>
    <row r="229">
      <c r="A229" s="5" t="inlineStr">
        <is>
          <t xml:space="preserve">ATM</t>
        </is>
      </c>
      <c r="B229" s="49" t="n">
        <v>46063</v>
      </c>
      <c r="C229" s="5" t="inlineStr">
        <is>
          <t xml:space="preserve">Pelvic</t>
        </is>
      </c>
      <c r="D229" s="5" t="inlineStr">
        <is>
          <t xml:space="preserve">9973 · Out of Spec</t>
        </is>
      </c>
      <c r="E229" s="6" t="n">
        <v>11</v>
      </c>
      <c r="F229" s="5" t="inlineStr">
        <is>
          <t xml:space="preserve">Quality</t>
        </is>
      </c>
    </row>
    <row r="230">
      <c r="A230" s="5" t="inlineStr">
        <is>
          <t xml:space="preserve">ATM</t>
        </is>
      </c>
      <c r="B230" s="49" t="n">
        <v>46063</v>
      </c>
      <c r="C230" s="5" t="inlineStr">
        <is>
          <t xml:space="preserve">Pelvic</t>
        </is>
      </c>
      <c r="D230" s="5" t="inlineStr">
        <is>
          <t xml:space="preserve">9983 · Incorrect Dimensions</t>
        </is>
      </c>
      <c r="E230" s="6" t="n">
        <v>8</v>
      </c>
      <c r="F230" s="5" t="inlineStr">
        <is>
          <t xml:space="preserve">Quality</t>
        </is>
      </c>
    </row>
    <row r="231">
      <c r="A231" s="5" t="inlineStr">
        <is>
          <t xml:space="preserve">ATM</t>
        </is>
      </c>
      <c r="B231" s="49" t="n">
        <v>46064</v>
      </c>
      <c r="C231" s="5" t="inlineStr">
        <is>
          <t xml:space="preserve">Thoracic</t>
        </is>
      </c>
      <c r="D231" s="5" t="inlineStr">
        <is>
          <t xml:space="preserve">1220 · Destructive Testing (eng/R&amp;D)</t>
        </is>
      </c>
      <c r="E231" s="6" t="n">
        <v>6</v>
      </c>
      <c r="F231" s="5" t="inlineStr">
        <is>
          <t xml:space="preserve">Planned</t>
        </is>
      </c>
    </row>
    <row r="232">
      <c r="A232" s="5" t="inlineStr">
        <is>
          <t xml:space="preserve">ATM</t>
        </is>
      </c>
      <c r="B232" s="49" t="n">
        <v>46066</v>
      </c>
      <c r="C232" s="5" t="inlineStr">
        <is>
          <t xml:space="preserve">Thoracic</t>
        </is>
      </c>
      <c r="D232" s="5" t="inlineStr">
        <is>
          <t xml:space="preserve">1220 · Destructive Testing (eng/R&amp;D)</t>
        </is>
      </c>
      <c r="E232" s="6" t="n">
        <v>20</v>
      </c>
      <c r="F232" s="5" t="inlineStr">
        <is>
          <t xml:space="preserve">Planned</t>
        </is>
      </c>
    </row>
    <row r="233">
      <c r="A233" s="5" t="inlineStr">
        <is>
          <t xml:space="preserve">ATM</t>
        </is>
      </c>
      <c r="B233" s="49" t="n">
        <v>46072</v>
      </c>
      <c r="C233" s="5" t="inlineStr">
        <is>
          <t xml:space="preserve">Pelvic</t>
        </is>
      </c>
      <c r="D233" s="5" t="inlineStr">
        <is>
          <t xml:space="preserve">9972 · Laceration/Cut</t>
        </is>
      </c>
      <c r="E233" s="6" t="n">
        <v>16</v>
      </c>
      <c r="F233" s="5" t="inlineStr">
        <is>
          <t xml:space="preserve">Quality</t>
        </is>
      </c>
    </row>
    <row r="234">
      <c r="A234" s="5" t="inlineStr">
        <is>
          <t xml:space="preserve">ATM</t>
        </is>
      </c>
      <c r="B234" s="49" t="n">
        <v>46072</v>
      </c>
      <c r="C234" s="5" t="inlineStr">
        <is>
          <t xml:space="preserve">Pelvic</t>
        </is>
      </c>
      <c r="D234" s="5" t="inlineStr">
        <is>
          <t xml:space="preserve">9976 · Spoilage</t>
        </is>
      </c>
      <c r="E234" s="6" t="n">
        <v>3</v>
      </c>
      <c r="F234" s="5" t="inlineStr">
        <is>
          <t xml:space="preserve">Quality</t>
        </is>
      </c>
    </row>
    <row r="235">
      <c r="A235" s="5" t="inlineStr">
        <is>
          <t xml:space="preserve">ATM</t>
        </is>
      </c>
      <c r="B235" s="49" t="n">
        <v>46072</v>
      </c>
      <c r="C235" s="5" t="inlineStr">
        <is>
          <t xml:space="preserve">Pelvic</t>
        </is>
      </c>
      <c r="D235" s="5" t="inlineStr">
        <is>
          <t xml:space="preserve">9983 · Incorrect Dimensions</t>
        </is>
      </c>
      <c r="E235" s="6" t="n">
        <v>15</v>
      </c>
      <c r="F235" s="5" t="inlineStr">
        <is>
          <t xml:space="preserve">Quality</t>
        </is>
      </c>
    </row>
    <row r="236">
      <c r="A236" s="5" t="inlineStr">
        <is>
          <t xml:space="preserve">ATM</t>
        </is>
      </c>
      <c r="B236" s="49" t="n">
        <v>46076</v>
      </c>
      <c r="C236" s="5" t="inlineStr">
        <is>
          <t xml:space="preserve">Thoracic</t>
        </is>
      </c>
      <c r="D236" s="5" t="inlineStr">
        <is>
          <t xml:space="preserve">9972 · Laceration/Cut</t>
        </is>
      </c>
      <c r="E236" s="6" t="n">
        <v>4</v>
      </c>
      <c r="F236" s="5" t="inlineStr">
        <is>
          <t xml:space="preserve">Quality</t>
        </is>
      </c>
    </row>
    <row r="237">
      <c r="A237" s="5" t="inlineStr">
        <is>
          <t xml:space="preserve">ATM</t>
        </is>
      </c>
      <c r="B237" s="49" t="n">
        <v>46077</v>
      </c>
      <c r="C237" s="5" t="inlineStr">
        <is>
          <t xml:space="preserve">Thoracic</t>
        </is>
      </c>
      <c r="D237" s="5" t="inlineStr">
        <is>
          <t xml:space="preserve">1220 · Destructive Testing (eng/R&amp;D)</t>
        </is>
      </c>
      <c r="E237" s="6" t="n">
        <v>28</v>
      </c>
      <c r="F237" s="5" t="inlineStr">
        <is>
          <t xml:space="preserve">Planned</t>
        </is>
      </c>
    </row>
    <row r="238">
      <c r="A238" s="5" t="inlineStr">
        <is>
          <t xml:space="preserve">ATM</t>
        </is>
      </c>
      <c r="B238" s="49" t="n">
        <v>46077</v>
      </c>
      <c r="C238" s="5" t="inlineStr">
        <is>
          <t xml:space="preserve">Thoracic</t>
        </is>
      </c>
      <c r="D238" s="5" t="inlineStr">
        <is>
          <t xml:space="preserve">9972 · Laceration/Cut</t>
        </is>
      </c>
      <c r="E238" s="6" t="n">
        <v>1</v>
      </c>
      <c r="F238" s="5" t="inlineStr">
        <is>
          <t xml:space="preserve">Quality</t>
        </is>
      </c>
    </row>
    <row r="239">
      <c r="A239" s="5" t="inlineStr">
        <is>
          <t xml:space="preserve">ATM</t>
        </is>
      </c>
      <c r="B239" s="49" t="n">
        <v>46077</v>
      </c>
      <c r="C239" s="5" t="inlineStr">
        <is>
          <t xml:space="preserve">Thoracic</t>
        </is>
      </c>
      <c r="D239" s="5" t="inlineStr">
        <is>
          <t xml:space="preserve">9985 · Tech Damaged</t>
        </is>
      </c>
      <c r="E239" s="6" t="n">
        <v>2</v>
      </c>
      <c r="F239" s="5" t="inlineStr">
        <is>
          <t xml:space="preserve">Quality</t>
        </is>
      </c>
    </row>
    <row r="240">
      <c r="A240" s="5" t="inlineStr">
        <is>
          <t xml:space="preserve">ATM</t>
        </is>
      </c>
      <c r="B240" s="49" t="n">
        <v>46079</v>
      </c>
      <c r="C240" s="5" t="inlineStr">
        <is>
          <t xml:space="preserve">Thoracic</t>
        </is>
      </c>
      <c r="D240" s="5" t="inlineStr">
        <is>
          <t xml:space="preserve">1220 · Destructive Testing (eng/R&amp;D)</t>
        </is>
      </c>
      <c r="E240" s="6" t="n">
        <v>3</v>
      </c>
      <c r="F240" s="5" t="inlineStr">
        <is>
          <t xml:space="preserve">Planned</t>
        </is>
      </c>
    </row>
    <row r="241">
      <c r="A241" s="5" t="inlineStr">
        <is>
          <t xml:space="preserve">ATM</t>
        </is>
      </c>
      <c r="B241" s="49" t="n">
        <v>46079</v>
      </c>
      <c r="C241" s="5" t="inlineStr">
        <is>
          <t xml:space="preserve">Pelvic</t>
        </is>
      </c>
      <c r="D241" s="5" t="inlineStr">
        <is>
          <t xml:space="preserve">9972 · Laceration/Cut</t>
        </is>
      </c>
      <c r="E241" s="6" t="n">
        <v>28</v>
      </c>
      <c r="F241" s="5" t="inlineStr">
        <is>
          <t xml:space="preserve">Quality</t>
        </is>
      </c>
    </row>
    <row r="242">
      <c r="A242" s="5" t="inlineStr">
        <is>
          <t xml:space="preserve">ATM</t>
        </is>
      </c>
      <c r="B242" s="49" t="n">
        <v>46079</v>
      </c>
      <c r="C242" s="5" t="inlineStr">
        <is>
          <t xml:space="preserve">Pelvic</t>
        </is>
      </c>
      <c r="D242" s="5" t="inlineStr">
        <is>
          <t xml:space="preserve">9973 · Out of Spec</t>
        </is>
      </c>
      <c r="E242" s="6" t="n">
        <v>16</v>
      </c>
      <c r="F242" s="5" t="inlineStr">
        <is>
          <t xml:space="preserve">Quality</t>
        </is>
      </c>
    </row>
    <row r="243">
      <c r="A243" s="5" t="inlineStr">
        <is>
          <t xml:space="preserve">ATM</t>
        </is>
      </c>
      <c r="B243" s="49" t="n">
        <v>46080</v>
      </c>
      <c r="C243" s="5" t="inlineStr">
        <is>
          <t xml:space="preserve">Thoracic</t>
        </is>
      </c>
      <c r="D243" s="5" t="inlineStr">
        <is>
          <t xml:space="preserve">9972 · Laceration/Cut</t>
        </is>
      </c>
      <c r="E243" s="6" t="n">
        <v>28</v>
      </c>
      <c r="F243" s="5" t="inlineStr">
        <is>
          <t xml:space="preserve">Quality</t>
        </is>
      </c>
    </row>
    <row r="244">
      <c r="A244" s="5" t="inlineStr">
        <is>
          <t xml:space="preserve">ATM</t>
        </is>
      </c>
      <c r="B244" s="49" t="n">
        <v>46080</v>
      </c>
      <c r="C244" s="5" t="inlineStr">
        <is>
          <t xml:space="preserve">Thoracic</t>
        </is>
      </c>
      <c r="D244" s="5" t="inlineStr">
        <is>
          <t xml:space="preserve">9985 · Tech Damaged</t>
        </is>
      </c>
      <c r="E244" s="6" t="n">
        <v>2</v>
      </c>
      <c r="F244" s="5" t="inlineStr">
        <is>
          <t xml:space="preserve">Quality</t>
        </is>
      </c>
    </row>
    <row r="245">
      <c r="A245" s="5" t="inlineStr">
        <is>
          <t xml:space="preserve">ATM</t>
        </is>
      </c>
      <c r="B245" s="49" t="n">
        <v>46083</v>
      </c>
      <c r="C245" s="5" t="inlineStr">
        <is>
          <t xml:space="preserve">Thoracic</t>
        </is>
      </c>
      <c r="D245" s="5" t="inlineStr">
        <is>
          <t xml:space="preserve">9972 · Laceration/Cut</t>
        </is>
      </c>
      <c r="E245" s="6" t="n">
        <v>5</v>
      </c>
      <c r="F245" s="5" t="inlineStr">
        <is>
          <t xml:space="preserve">Quality</t>
        </is>
      </c>
    </row>
    <row r="246">
      <c r="A246" s="5" t="inlineStr">
        <is>
          <t xml:space="preserve">ATM</t>
        </is>
      </c>
      <c r="B246" s="49" t="n">
        <v>46084</v>
      </c>
      <c r="C246" s="5" t="inlineStr">
        <is>
          <t xml:space="preserve">Thoracic</t>
        </is>
      </c>
      <c r="D246" s="5" t="inlineStr">
        <is>
          <t xml:space="preserve">9972 · Laceration/Cut</t>
        </is>
      </c>
      <c r="E246" s="6" t="n">
        <v>7</v>
      </c>
      <c r="F246" s="5" t="inlineStr">
        <is>
          <t xml:space="preserve">Quality</t>
        </is>
      </c>
    </row>
    <row r="247">
      <c r="A247" s="5" t="inlineStr">
        <is>
          <t xml:space="preserve">ATM</t>
        </is>
      </c>
      <c r="B247" s="49" t="n">
        <v>46084</v>
      </c>
      <c r="C247" s="5" t="inlineStr">
        <is>
          <t xml:space="preserve">Thoracic</t>
        </is>
      </c>
      <c r="D247" s="5" t="inlineStr">
        <is>
          <t xml:space="preserve">9985 · Tech Damaged</t>
        </is>
      </c>
      <c r="E247" s="6" t="n">
        <v>2</v>
      </c>
      <c r="F247" s="5" t="inlineStr">
        <is>
          <t xml:space="preserve">Quality</t>
        </is>
      </c>
    </row>
    <row r="248">
      <c r="A248" s="5" t="inlineStr">
        <is>
          <t xml:space="preserve">ATM</t>
        </is>
      </c>
      <c r="B248" s="49" t="n">
        <v>46084</v>
      </c>
      <c r="C248" s="5" t="inlineStr">
        <is>
          <t xml:space="preserve">Pelvic</t>
        </is>
      </c>
      <c r="D248" s="5" t="inlineStr">
        <is>
          <t xml:space="preserve">9986 · Bladder Length</t>
        </is>
      </c>
      <c r="E248" s="6" t="n">
        <v>7</v>
      </c>
      <c r="F248" s="5" t="inlineStr">
        <is>
          <t xml:space="preserve">Quality</t>
        </is>
      </c>
    </row>
    <row r="249">
      <c r="A249" s="5" t="inlineStr">
        <is>
          <t xml:space="preserve">ATM</t>
        </is>
      </c>
      <c r="B249" s="49" t="n">
        <v>46084</v>
      </c>
      <c r="C249" s="5" t="inlineStr">
        <is>
          <t xml:space="preserve">Pelvic</t>
        </is>
      </c>
      <c r="D249" s="5" t="inlineStr">
        <is>
          <t xml:space="preserve">9987 · Blood Clots</t>
        </is>
      </c>
      <c r="E249" s="6" t="n">
        <v>2</v>
      </c>
      <c r="F249" s="5" t="inlineStr">
        <is>
          <t xml:space="preserve">Quality</t>
        </is>
      </c>
    </row>
    <row r="250">
      <c r="A250" s="5" t="inlineStr">
        <is>
          <t xml:space="preserve">ATM</t>
        </is>
      </c>
      <c r="B250" s="49" t="n">
        <v>46084</v>
      </c>
      <c r="C250" s="5" t="inlineStr">
        <is>
          <t xml:space="preserve">Pelvic</t>
        </is>
      </c>
      <c r="D250" s="5" t="inlineStr">
        <is>
          <t xml:space="preserve">9995 · Received Damage</t>
        </is>
      </c>
      <c r="E250" s="6" t="n">
        <v>15</v>
      </c>
      <c r="F250" s="5" t="inlineStr">
        <is>
          <t xml:space="preserve">Quality</t>
        </is>
      </c>
    </row>
    <row r="251">
      <c r="A251" s="5" t="inlineStr">
        <is>
          <t xml:space="preserve">ATM</t>
        </is>
      </c>
      <c r="B251" s="49" t="n">
        <v>46085</v>
      </c>
      <c r="C251" s="5" t="inlineStr">
        <is>
          <t xml:space="preserve">Thoracic</t>
        </is>
      </c>
      <c r="D251" s="5" t="inlineStr">
        <is>
          <t xml:space="preserve">9972 · Laceration/Cut</t>
        </is>
      </c>
      <c r="E251" s="6" t="n">
        <v>2</v>
      </c>
      <c r="F251" s="5" t="inlineStr">
        <is>
          <t xml:space="preserve">Quality</t>
        </is>
      </c>
    </row>
    <row r="252">
      <c r="A252" s="5" t="inlineStr">
        <is>
          <t xml:space="preserve">ATM</t>
        </is>
      </c>
      <c r="B252" s="49" t="n">
        <v>46090</v>
      </c>
      <c r="C252" s="5" t="inlineStr">
        <is>
          <t xml:space="preserve">Thoracic</t>
        </is>
      </c>
      <c r="D252" s="5" t="inlineStr">
        <is>
          <t xml:space="preserve">9972 · Laceration/Cut</t>
        </is>
      </c>
      <c r="E252" s="6" t="n">
        <v>6</v>
      </c>
      <c r="F252" s="5" t="inlineStr">
        <is>
          <t xml:space="preserve">Quality</t>
        </is>
      </c>
    </row>
    <row r="253">
      <c r="A253" s="5" t="inlineStr">
        <is>
          <t xml:space="preserve">ATM</t>
        </is>
      </c>
      <c r="B253" s="49" t="n">
        <v>46091</v>
      </c>
      <c r="C253" s="5" t="inlineStr">
        <is>
          <t xml:space="preserve">Thoracic</t>
        </is>
      </c>
      <c r="D253" s="5" t="inlineStr">
        <is>
          <t xml:space="preserve">9972 · Laceration/Cut</t>
        </is>
      </c>
      <c r="E253" s="6" t="n">
        <v>1</v>
      </c>
      <c r="F253" s="5" t="inlineStr">
        <is>
          <t xml:space="preserve">Quality</t>
        </is>
      </c>
    </row>
    <row r="254">
      <c r="A254" s="5" t="inlineStr">
        <is>
          <t xml:space="preserve">ATM</t>
        </is>
      </c>
      <c r="B254" s="49" t="n">
        <v>46091</v>
      </c>
      <c r="C254" s="5" t="inlineStr">
        <is>
          <t xml:space="preserve">Thoracic</t>
        </is>
      </c>
      <c r="D254" s="5" t="inlineStr">
        <is>
          <t xml:space="preserve">9985 · Tech Damaged</t>
        </is>
      </c>
      <c r="E254" s="6" t="n">
        <v>2</v>
      </c>
      <c r="F254" s="5" t="inlineStr">
        <is>
          <t xml:space="preserve">Quality</t>
        </is>
      </c>
    </row>
    <row r="255">
      <c r="A255" s="5" t="inlineStr">
        <is>
          <t xml:space="preserve">ATM</t>
        </is>
      </c>
      <c r="B255" s="49" t="n">
        <v>46091</v>
      </c>
      <c r="C255" s="5" t="inlineStr">
        <is>
          <t xml:space="preserve">Pelvic</t>
        </is>
      </c>
      <c r="D255" s="5" t="inlineStr">
        <is>
          <t xml:space="preserve">9972 · Laceration/Cut</t>
        </is>
      </c>
      <c r="E255" s="6" t="n">
        <v>13</v>
      </c>
      <c r="F255" s="5" t="inlineStr">
        <is>
          <t xml:space="preserve">Quality</t>
        </is>
      </c>
    </row>
    <row r="256">
      <c r="A256" s="5" t="inlineStr">
        <is>
          <t xml:space="preserve">ATM</t>
        </is>
      </c>
      <c r="B256" s="49" t="n">
        <v>46091</v>
      </c>
      <c r="C256" s="5" t="inlineStr">
        <is>
          <t xml:space="preserve">Pelvic</t>
        </is>
      </c>
      <c r="D256" s="5" t="inlineStr">
        <is>
          <t xml:space="preserve">9986 · Bladder Length</t>
        </is>
      </c>
      <c r="E256" s="6" t="n">
        <v>9</v>
      </c>
      <c r="F256" s="5" t="inlineStr">
        <is>
          <t xml:space="preserve">Quality</t>
        </is>
      </c>
    </row>
    <row r="257">
      <c r="A257" s="5" t="inlineStr">
        <is>
          <t xml:space="preserve">ATM</t>
        </is>
      </c>
      <c r="B257" s="49" t="n">
        <v>46091</v>
      </c>
      <c r="C257" s="5" t="inlineStr">
        <is>
          <t xml:space="preserve">Pelvic</t>
        </is>
      </c>
      <c r="D257" s="5" t="inlineStr">
        <is>
          <t xml:space="preserve">9987 · Blood Clots</t>
        </is>
      </c>
      <c r="E257" s="6" t="n">
        <v>9</v>
      </c>
      <c r="F257" s="5" t="inlineStr">
        <is>
          <t xml:space="preserve">Quality</t>
        </is>
      </c>
    </row>
    <row r="258">
      <c r="A258" s="5" t="inlineStr">
        <is>
          <t xml:space="preserve">ATM</t>
        </is>
      </c>
      <c r="B258" s="49" t="n">
        <v>46091</v>
      </c>
      <c r="C258" s="5" t="inlineStr">
        <is>
          <t xml:space="preserve">Pelvic</t>
        </is>
      </c>
      <c r="D258" s="5" t="inlineStr">
        <is>
          <t xml:space="preserve">9995 · Received Damage</t>
        </is>
      </c>
      <c r="E258" s="6" t="n">
        <v>6</v>
      </c>
      <c r="F258" s="5" t="inlineStr">
        <is>
          <t xml:space="preserve">Quality</t>
        </is>
      </c>
    </row>
    <row r="259">
      <c r="A259" s="5" t="inlineStr">
        <is>
          <t xml:space="preserve">ATM</t>
        </is>
      </c>
      <c r="B259" s="49" t="n">
        <v>46094</v>
      </c>
      <c r="C259" s="5" t="inlineStr">
        <is>
          <t xml:space="preserve">Thoracic</t>
        </is>
      </c>
      <c r="D259" s="5" t="inlineStr">
        <is>
          <t xml:space="preserve">9972 · Laceration/Cut</t>
        </is>
      </c>
      <c r="E259" s="6" t="n">
        <v>6</v>
      </c>
      <c r="F259" s="5" t="inlineStr">
        <is>
          <t xml:space="preserve">Quality</t>
        </is>
      </c>
    </row>
    <row r="260">
      <c r="A260" s="5" t="inlineStr">
        <is>
          <t xml:space="preserve">ATM</t>
        </is>
      </c>
      <c r="B260" s="49" t="n">
        <v>46098</v>
      </c>
      <c r="C260" s="5" t="inlineStr">
        <is>
          <t xml:space="preserve">Thoracic</t>
        </is>
      </c>
      <c r="D260" s="5" t="inlineStr">
        <is>
          <t xml:space="preserve">7 · Others</t>
        </is>
      </c>
      <c r="E260" s="6" t="n">
        <v>16</v>
      </c>
      <c r="F260" s="5" t="inlineStr">
        <is>
          <t xml:space="preserve">Quality</t>
        </is>
      </c>
    </row>
    <row r="261">
      <c r="A261" s="5" t="inlineStr">
        <is>
          <t xml:space="preserve">ATM</t>
        </is>
      </c>
      <c r="B261" s="49" t="n">
        <v>46098</v>
      </c>
      <c r="C261" s="5" t="inlineStr">
        <is>
          <t xml:space="preserve">Thoracic</t>
        </is>
      </c>
      <c r="D261" s="5" t="inlineStr">
        <is>
          <t xml:space="preserve">9972 · Laceration/Cut</t>
        </is>
      </c>
      <c r="E261" s="6" t="n">
        <v>30</v>
      </c>
      <c r="F261" s="5" t="inlineStr">
        <is>
          <t xml:space="preserve">Quality</t>
        </is>
      </c>
    </row>
    <row r="262">
      <c r="A262" s="5" t="inlineStr">
        <is>
          <t xml:space="preserve">ATM</t>
        </is>
      </c>
      <c r="B262" s="49" t="n">
        <v>46099</v>
      </c>
      <c r="C262" s="5" t="inlineStr">
        <is>
          <t xml:space="preserve">Thoracic</t>
        </is>
      </c>
      <c r="D262" s="5" t="inlineStr">
        <is>
          <t xml:space="preserve">1220 · Destructive Testing (eng/R&amp;D)</t>
        </is>
      </c>
      <c r="E262" s="6" t="n">
        <v>3</v>
      </c>
      <c r="F262" s="5" t="inlineStr">
        <is>
          <t xml:space="preserve">Planned</t>
        </is>
      </c>
    </row>
    <row r="263">
      <c r="A263" s="5" t="inlineStr">
        <is>
          <t xml:space="preserve">ATM</t>
        </is>
      </c>
      <c r="B263" s="49" t="n">
        <v>46099</v>
      </c>
      <c r="C263" s="5" t="inlineStr">
        <is>
          <t xml:space="preserve">Thoracic</t>
        </is>
      </c>
      <c r="D263" s="5" t="inlineStr">
        <is>
          <t xml:space="preserve">9972 · Laceration/Cut</t>
        </is>
      </c>
      <c r="E263" s="6" t="n">
        <v>1</v>
      </c>
      <c r="F263" s="5" t="inlineStr">
        <is>
          <t xml:space="preserve">Quality</t>
        </is>
      </c>
    </row>
    <row r="264">
      <c r="A264" s="5" t="inlineStr">
        <is>
          <t xml:space="preserve">ATM</t>
        </is>
      </c>
      <c r="B264" s="49" t="n">
        <v>46099</v>
      </c>
      <c r="C264" s="5" t="inlineStr">
        <is>
          <t xml:space="preserve">Pelvic</t>
        </is>
      </c>
      <c r="D264" s="5" t="inlineStr">
        <is>
          <t xml:space="preserve">9972 · Laceration/Cut</t>
        </is>
      </c>
      <c r="E264" s="6" t="n">
        <v>23</v>
      </c>
      <c r="F264" s="5" t="inlineStr">
        <is>
          <t xml:space="preserve">Quality</t>
        </is>
      </c>
    </row>
    <row r="265">
      <c r="A265" s="5" t="inlineStr">
        <is>
          <t xml:space="preserve">ATM</t>
        </is>
      </c>
      <c r="B265" s="49" t="n">
        <v>46099</v>
      </c>
      <c r="C265" s="5" t="inlineStr">
        <is>
          <t xml:space="preserve">Pelvic</t>
        </is>
      </c>
      <c r="D265" s="5" t="inlineStr">
        <is>
          <t xml:space="preserve">9987 · Blood Clots</t>
        </is>
      </c>
      <c r="E265" s="6" t="n">
        <v>3</v>
      </c>
      <c r="F265" s="5" t="inlineStr">
        <is>
          <t xml:space="preserve">Quality</t>
        </is>
      </c>
    </row>
    <row r="266">
      <c r="A266" s="5" t="inlineStr">
        <is>
          <t xml:space="preserve">ATM</t>
        </is>
      </c>
      <c r="B266" s="49" t="n">
        <v>46100</v>
      </c>
      <c r="C266" s="5" t="inlineStr">
        <is>
          <t xml:space="preserve">Thoracic</t>
        </is>
      </c>
      <c r="D266" s="5" t="inlineStr">
        <is>
          <t xml:space="preserve">9972 · Laceration/Cut</t>
        </is>
      </c>
      <c r="E266" s="6" t="n">
        <v>2</v>
      </c>
      <c r="F266" s="5" t="inlineStr">
        <is>
          <t xml:space="preserve">Quality</t>
        </is>
      </c>
    </row>
    <row r="267">
      <c r="A267" s="5" t="inlineStr">
        <is>
          <t xml:space="preserve">ATM</t>
        </is>
      </c>
      <c r="B267" s="49" t="n">
        <v>46101</v>
      </c>
      <c r="C267" s="5" t="inlineStr">
        <is>
          <t xml:space="preserve">Thoracic</t>
        </is>
      </c>
      <c r="D267" s="5" t="inlineStr">
        <is>
          <t xml:space="preserve">9972 · Laceration/Cut</t>
        </is>
      </c>
      <c r="E267" s="6" t="n">
        <v>1</v>
      </c>
      <c r="F267" s="5" t="inlineStr">
        <is>
          <t xml:space="preserve">Quality</t>
        </is>
      </c>
    </row>
    <row r="268">
      <c r="A268" s="5" t="inlineStr">
        <is>
          <t xml:space="preserve">ATM</t>
        </is>
      </c>
      <c r="B268" s="49" t="n">
        <v>46104</v>
      </c>
      <c r="C268" s="5" t="inlineStr">
        <is>
          <t xml:space="preserve">Thoracic</t>
        </is>
      </c>
      <c r="D268" s="5" t="inlineStr">
        <is>
          <t xml:space="preserve">1220 · Destructive Testing (eng/R&amp;D)</t>
        </is>
      </c>
      <c r="E268" s="6" t="n">
        <v>15</v>
      </c>
      <c r="F268" s="5" t="inlineStr">
        <is>
          <t xml:space="preserve">Planned</t>
        </is>
      </c>
    </row>
    <row r="269">
      <c r="A269" s="5" t="inlineStr">
        <is>
          <t xml:space="preserve">ATM</t>
        </is>
      </c>
      <c r="B269" s="49" t="n">
        <v>46104</v>
      </c>
      <c r="C269" s="5" t="inlineStr">
        <is>
          <t xml:space="preserve">Thoracic</t>
        </is>
      </c>
      <c r="D269" s="5" t="inlineStr">
        <is>
          <t xml:space="preserve">9972 · Laceration/Cut</t>
        </is>
      </c>
      <c r="E269" s="6" t="n">
        <v>6</v>
      </c>
      <c r="F269" s="5" t="inlineStr">
        <is>
          <t xml:space="preserve">Quality</t>
        </is>
      </c>
    </row>
    <row r="270">
      <c r="A270" s="5" t="inlineStr">
        <is>
          <t xml:space="preserve">ATM</t>
        </is>
      </c>
      <c r="B270" s="49" t="n">
        <v>46107</v>
      </c>
      <c r="C270" s="5" t="inlineStr">
        <is>
          <t xml:space="preserve">Pelvic</t>
        </is>
      </c>
      <c r="D270" s="5" t="inlineStr">
        <is>
          <t xml:space="preserve">9972 · Laceration/Cut</t>
        </is>
      </c>
      <c r="E270" s="6" t="n">
        <v>31</v>
      </c>
      <c r="F270" s="5" t="inlineStr">
        <is>
          <t xml:space="preserve">Quality</t>
        </is>
      </c>
    </row>
    <row r="271">
      <c r="A271" s="5" t="inlineStr">
        <is>
          <t xml:space="preserve">ATM</t>
        </is>
      </c>
      <c r="B271" s="49" t="n">
        <v>46107</v>
      </c>
      <c r="C271" s="5" t="inlineStr">
        <is>
          <t xml:space="preserve">Pelvic</t>
        </is>
      </c>
      <c r="D271" s="5" t="inlineStr">
        <is>
          <t xml:space="preserve">9987 · Blood Clots</t>
        </is>
      </c>
      <c r="E271" s="6" t="n">
        <v>2</v>
      </c>
      <c r="F271" s="5" t="inlineStr">
        <is>
          <t xml:space="preserve">Quality</t>
        </is>
      </c>
    </row>
    <row r="272">
      <c r="A272" s="5" t="inlineStr">
        <is>
          <t xml:space="preserve">ATM</t>
        </is>
      </c>
      <c r="B272" s="49" t="n">
        <v>46108</v>
      </c>
      <c r="C272" s="5" t="inlineStr">
        <is>
          <t xml:space="preserve">Thoracic</t>
        </is>
      </c>
      <c r="D272" s="5" t="inlineStr">
        <is>
          <t xml:space="preserve">1220 · Destructive Testing (eng/R&amp;D)</t>
        </is>
      </c>
      <c r="E272" s="6" t="n">
        <v>12</v>
      </c>
      <c r="F272" s="5" t="inlineStr">
        <is>
          <t xml:space="preserve">Planned</t>
        </is>
      </c>
    </row>
    <row r="273">
      <c r="A273" s="5" t="inlineStr">
        <is>
          <t xml:space="preserve">ATM</t>
        </is>
      </c>
      <c r="B273" s="49" t="n">
        <v>46111</v>
      </c>
      <c r="C273" s="5" t="inlineStr">
        <is>
          <t xml:space="preserve">Thoracic</t>
        </is>
      </c>
      <c r="D273" s="5" t="inlineStr">
        <is>
          <t xml:space="preserve">9972 · Laceration/Cut</t>
        </is>
      </c>
      <c r="E273" s="6" t="n">
        <v>9</v>
      </c>
      <c r="F273" s="5" t="inlineStr">
        <is>
          <t xml:space="preserve">Quality</t>
        </is>
      </c>
    </row>
    <row r="274">
      <c r="A274" s="5" t="inlineStr">
        <is>
          <t xml:space="preserve">ATM</t>
        </is>
      </c>
      <c r="B274" s="49" t="n">
        <v>46112</v>
      </c>
      <c r="C274" s="5" t="inlineStr">
        <is>
          <t xml:space="preserve">Thoracic</t>
        </is>
      </c>
      <c r="D274" s="5" t="inlineStr">
        <is>
          <t xml:space="preserve">9972 · Laceration/Cut</t>
        </is>
      </c>
      <c r="E274" s="6" t="n">
        <v>5</v>
      </c>
      <c r="F274" s="5" t="inlineStr">
        <is>
          <t xml:space="preserve">Quality</t>
        </is>
      </c>
    </row>
    <row r="275">
      <c r="A275" s="5" t="inlineStr">
        <is>
          <t xml:space="preserve">ATM</t>
        </is>
      </c>
      <c r="B275" s="49" t="n">
        <v>46113</v>
      </c>
      <c r="C275" s="5" t="inlineStr">
        <is>
          <t xml:space="preserve">Pelvic</t>
        </is>
      </c>
      <c r="D275" s="5" t="inlineStr">
        <is>
          <t xml:space="preserve">9972 · Laceration/Cut</t>
        </is>
      </c>
      <c r="E275" s="6" t="n">
        <v>16</v>
      </c>
      <c r="F275" s="5" t="inlineStr">
        <is>
          <t xml:space="preserve">Quality</t>
        </is>
      </c>
    </row>
    <row r="276">
      <c r="A276" s="5" t="inlineStr">
        <is>
          <t xml:space="preserve">ATM</t>
        </is>
      </c>
      <c r="B276" s="49" t="n">
        <v>46113</v>
      </c>
      <c r="C276" s="5" t="inlineStr">
        <is>
          <t xml:space="preserve">Pelvic</t>
        </is>
      </c>
      <c r="D276" s="5" t="inlineStr">
        <is>
          <t xml:space="preserve">9987 · Blood Clots</t>
        </is>
      </c>
      <c r="E276" s="6" t="n">
        <v>3</v>
      </c>
      <c r="F276" s="5" t="inlineStr">
        <is>
          <t xml:space="preserve">Quality</t>
        </is>
      </c>
    </row>
    <row r="277">
      <c r="A277" s="5" t="inlineStr">
        <is>
          <t xml:space="preserve">ATM</t>
        </is>
      </c>
      <c r="B277" s="49" t="n">
        <v>46114</v>
      </c>
      <c r="C277" s="5" t="inlineStr">
        <is>
          <t xml:space="preserve">Thoracic</t>
        </is>
      </c>
      <c r="D277" s="5" t="inlineStr">
        <is>
          <t xml:space="preserve">9972 · Laceration/Cut</t>
        </is>
      </c>
      <c r="E277" s="6" t="n">
        <v>3</v>
      </c>
      <c r="F277" s="5" t="inlineStr">
        <is>
          <t xml:space="preserve">Quality</t>
        </is>
      </c>
    </row>
    <row r="278">
      <c r="A278" s="5" t="inlineStr">
        <is>
          <t xml:space="preserve">ATM</t>
        </is>
      </c>
      <c r="B278" s="49" t="n">
        <v>46115</v>
      </c>
      <c r="C278" s="5" t="inlineStr">
        <is>
          <t xml:space="preserve">Thoracic</t>
        </is>
      </c>
      <c r="D278" s="5" t="inlineStr">
        <is>
          <t xml:space="preserve">1220 · Destructive Testing (eng/R&amp;D)</t>
        </is>
      </c>
      <c r="E278" s="6" t="n">
        <v>3</v>
      </c>
      <c r="F278" s="5" t="inlineStr">
        <is>
          <t xml:space="preserve">Planned</t>
        </is>
      </c>
    </row>
    <row r="279">
      <c r="A279" s="5" t="inlineStr">
        <is>
          <t xml:space="preserve">ATM</t>
        </is>
      </c>
      <c r="B279" s="49" t="n">
        <v>46119</v>
      </c>
      <c r="C279" s="5" t="inlineStr">
        <is>
          <t xml:space="preserve">Thoracic</t>
        </is>
      </c>
      <c r="D279" s="5" t="inlineStr">
        <is>
          <t xml:space="preserve">1220 · Destructive Testing (eng/R&amp;D)</t>
        </is>
      </c>
      <c r="E279" s="6" t="n">
        <v>6</v>
      </c>
      <c r="F279" s="5" t="inlineStr">
        <is>
          <t xml:space="preserve">Planned</t>
        </is>
      </c>
    </row>
    <row r="280">
      <c r="A280" s="5" t="inlineStr">
        <is>
          <t xml:space="preserve">ATM</t>
        </is>
      </c>
      <c r="B280" s="49" t="n">
        <v>46119</v>
      </c>
      <c r="C280" s="5" t="inlineStr">
        <is>
          <t xml:space="preserve">Thoracic</t>
        </is>
      </c>
      <c r="D280" s="5" t="inlineStr">
        <is>
          <t xml:space="preserve">9972 · Laceration/Cut</t>
        </is>
      </c>
      <c r="E280" s="6" t="n">
        <v>7</v>
      </c>
      <c r="F280" s="5" t="inlineStr">
        <is>
          <t xml:space="preserve">Quality</t>
        </is>
      </c>
    </row>
    <row r="281">
      <c r="A281" s="5" t="inlineStr">
        <is>
          <t xml:space="preserve">ATM</t>
        </is>
      </c>
      <c r="B281" s="49" t="n">
        <v>46120</v>
      </c>
      <c r="C281" s="5" t="inlineStr">
        <is>
          <t xml:space="preserve">Pelvic</t>
        </is>
      </c>
      <c r="D281" s="5" t="inlineStr">
        <is>
          <t xml:space="preserve">9972 · Laceration/Cut</t>
        </is>
      </c>
      <c r="E281" s="6" t="n">
        <v>17</v>
      </c>
      <c r="F281" s="5" t="inlineStr">
        <is>
          <t xml:space="preserve">Quality</t>
        </is>
      </c>
    </row>
    <row r="282">
      <c r="A282" s="5" t="inlineStr">
        <is>
          <t xml:space="preserve">ATM</t>
        </is>
      </c>
      <c r="B282" s="49" t="n">
        <v>46120</v>
      </c>
      <c r="C282" s="5" t="inlineStr">
        <is>
          <t xml:space="preserve">Pelvic</t>
        </is>
      </c>
      <c r="D282" s="5" t="inlineStr">
        <is>
          <t xml:space="preserve">9976 · Spoilage</t>
        </is>
      </c>
      <c r="E282" s="6" t="n">
        <v>1</v>
      </c>
      <c r="F282" s="5" t="inlineStr">
        <is>
          <t xml:space="preserve">Quality</t>
        </is>
      </c>
    </row>
    <row r="283">
      <c r="A283" s="5" t="inlineStr">
        <is>
          <t xml:space="preserve">ATM</t>
        </is>
      </c>
      <c r="B283" s="49" t="n">
        <v>46120</v>
      </c>
      <c r="C283" s="5" t="inlineStr">
        <is>
          <t xml:space="preserve">Pelvic</t>
        </is>
      </c>
      <c r="D283" s="5" t="inlineStr">
        <is>
          <t xml:space="preserve">9987 · Blood Clots</t>
        </is>
      </c>
      <c r="E283" s="6" t="n">
        <v>2</v>
      </c>
      <c r="F283" s="5" t="inlineStr">
        <is>
          <t xml:space="preserve">Quality</t>
        </is>
      </c>
    </row>
    <row r="284">
      <c r="A284" s="5" t="inlineStr">
        <is>
          <t xml:space="preserve">ATM</t>
        </is>
      </c>
      <c r="B284" s="49" t="n">
        <v>46122</v>
      </c>
      <c r="C284" s="5" t="inlineStr">
        <is>
          <t xml:space="preserve">Thoracic</t>
        </is>
      </c>
      <c r="D284" s="5" t="inlineStr">
        <is>
          <t xml:space="preserve">9972 · Laceration/Cut</t>
        </is>
      </c>
      <c r="E284" s="6" t="n">
        <v>6</v>
      </c>
      <c r="F284" s="5" t="inlineStr">
        <is>
          <t xml:space="preserve">Quality</t>
        </is>
      </c>
    </row>
    <row r="285">
      <c r="A285" s="5" t="inlineStr">
        <is>
          <t xml:space="preserve">ATM</t>
        </is>
      </c>
      <c r="B285" s="49" t="n">
        <v>46126</v>
      </c>
      <c r="C285" s="5" t="inlineStr">
        <is>
          <t xml:space="preserve">Thoracic</t>
        </is>
      </c>
      <c r="D285" s="5" t="inlineStr">
        <is>
          <t xml:space="preserve">9972 · Laceration/Cut</t>
        </is>
      </c>
      <c r="E285" s="6" t="n">
        <v>4</v>
      </c>
      <c r="F285" s="5" t="inlineStr">
        <is>
          <t xml:space="preserve">Quality</t>
        </is>
      </c>
    </row>
    <row r="286">
      <c r="A286" s="5" t="inlineStr">
        <is>
          <t xml:space="preserve">ATM</t>
        </is>
      </c>
      <c r="B286" s="49" t="n">
        <v>46126</v>
      </c>
      <c r="C286" s="5" t="inlineStr">
        <is>
          <t xml:space="preserve">Thoracic</t>
        </is>
      </c>
      <c r="D286" s="5" t="inlineStr">
        <is>
          <t xml:space="preserve">9985 · Tech Damaged</t>
        </is>
      </c>
      <c r="E286" s="6" t="n">
        <v>1</v>
      </c>
      <c r="F286" s="5" t="inlineStr">
        <is>
          <t xml:space="preserve">Quality</t>
        </is>
      </c>
    </row>
    <row r="287">
      <c r="A287" s="5" t="inlineStr">
        <is>
          <t xml:space="preserve">ATM</t>
        </is>
      </c>
      <c r="B287" s="49" t="n">
        <v>46127</v>
      </c>
      <c r="C287" s="5" t="inlineStr">
        <is>
          <t xml:space="preserve">Thoracic</t>
        </is>
      </c>
      <c r="D287" s="5" t="inlineStr">
        <is>
          <t xml:space="preserve">9985 · Tech Damaged</t>
        </is>
      </c>
      <c r="E287" s="6" t="n">
        <v>1</v>
      </c>
      <c r="F287" s="5" t="inlineStr">
        <is>
          <t xml:space="preserve">Quality</t>
        </is>
      </c>
    </row>
    <row r="288">
      <c r="A288" s="5" t="inlineStr">
        <is>
          <t xml:space="preserve">ATM</t>
        </is>
      </c>
      <c r="B288" s="49" t="n">
        <v>46128</v>
      </c>
      <c r="C288" s="5" t="inlineStr">
        <is>
          <t xml:space="preserve">Thoracic</t>
        </is>
      </c>
      <c r="D288" s="5" t="inlineStr">
        <is>
          <t xml:space="preserve">1220 · Destructive Testing (eng/R&amp;D)</t>
        </is>
      </c>
      <c r="E288" s="6" t="n">
        <v>10</v>
      </c>
      <c r="F288" s="5" t="inlineStr">
        <is>
          <t xml:space="preserve">Planned</t>
        </is>
      </c>
    </row>
    <row r="289">
      <c r="A289" s="5" t="inlineStr">
        <is>
          <t xml:space="preserve">ATM</t>
        </is>
      </c>
      <c r="B289" s="49" t="n">
        <v>46128</v>
      </c>
      <c r="C289" s="5" t="inlineStr">
        <is>
          <t xml:space="preserve">Pelvic</t>
        </is>
      </c>
      <c r="D289" s="5" t="inlineStr">
        <is>
          <t xml:space="preserve">9972 · Laceration/Cut</t>
        </is>
      </c>
      <c r="E289" s="6" t="n">
        <v>10</v>
      </c>
      <c r="F289" s="5" t="inlineStr">
        <is>
          <t xml:space="preserve">Quality</t>
        </is>
      </c>
    </row>
    <row r="290">
      <c r="A290" s="5" t="inlineStr">
        <is>
          <t xml:space="preserve">ATM</t>
        </is>
      </c>
      <c r="B290" s="49" t="n">
        <v>46132</v>
      </c>
      <c r="C290" s="5" t="inlineStr">
        <is>
          <t xml:space="preserve">Thoracic</t>
        </is>
      </c>
      <c r="D290" s="5" t="inlineStr">
        <is>
          <t xml:space="preserve">9972 · Laceration/Cut</t>
        </is>
      </c>
      <c r="E290" s="6" t="n">
        <v>2</v>
      </c>
      <c r="F290" s="5" t="inlineStr">
        <is>
          <t xml:space="preserve">Quality</t>
        </is>
      </c>
    </row>
    <row r="291">
      <c r="A291" s="5" t="inlineStr">
        <is>
          <t xml:space="preserve">ATM</t>
        </is>
      </c>
      <c r="B291" s="49" t="n">
        <v>46133</v>
      </c>
      <c r="C291" s="5" t="inlineStr">
        <is>
          <t xml:space="preserve">Thoracic</t>
        </is>
      </c>
      <c r="D291" s="5" t="inlineStr">
        <is>
          <t xml:space="preserve">9972 · Laceration/Cut</t>
        </is>
      </c>
      <c r="E291" s="6" t="n">
        <v>5</v>
      </c>
      <c r="F291" s="5" t="inlineStr">
        <is>
          <t xml:space="preserve">Quality</t>
        </is>
      </c>
    </row>
    <row r="292">
      <c r="A292" s="5" t="inlineStr">
        <is>
          <t xml:space="preserve">ATM</t>
        </is>
      </c>
      <c r="B292" s="49" t="n">
        <v>46133</v>
      </c>
      <c r="C292" s="5" t="inlineStr">
        <is>
          <t xml:space="preserve">Thoracic</t>
        </is>
      </c>
      <c r="D292" s="5" t="inlineStr">
        <is>
          <t xml:space="preserve">9985 · Tech Damaged</t>
        </is>
      </c>
      <c r="E292" s="6" t="n">
        <v>1</v>
      </c>
      <c r="F292" s="5" t="inlineStr">
        <is>
          <t xml:space="preserve">Quality</t>
        </is>
      </c>
    </row>
    <row r="293">
      <c r="A293" s="5" t="inlineStr">
        <is>
          <t xml:space="preserve">ATM</t>
        </is>
      </c>
      <c r="B293" s="49" t="n">
        <v>46134</v>
      </c>
      <c r="C293" s="5" t="inlineStr">
        <is>
          <t xml:space="preserve">Thoracic</t>
        </is>
      </c>
      <c r="D293" s="5" t="inlineStr">
        <is>
          <t xml:space="preserve">9972 · Laceration/Cut</t>
        </is>
      </c>
      <c r="E293" s="6" t="n">
        <v>2</v>
      </c>
      <c r="F293" s="5" t="inlineStr">
        <is>
          <t xml:space="preserve">Quality</t>
        </is>
      </c>
    </row>
    <row r="294">
      <c r="A294" s="5" t="inlineStr">
        <is>
          <t xml:space="preserve">ATM</t>
        </is>
      </c>
      <c r="B294" s="49" t="n">
        <v>46135</v>
      </c>
      <c r="C294" s="5" t="inlineStr">
        <is>
          <t xml:space="preserve">Pelvic</t>
        </is>
      </c>
      <c r="D294" s="5" t="inlineStr">
        <is>
          <t xml:space="preserve">9972 · Laceration/Cut</t>
        </is>
      </c>
      <c r="E294" s="6" t="n">
        <v>18</v>
      </c>
      <c r="F294" s="5" t="inlineStr">
        <is>
          <t xml:space="preserve">Quality</t>
        </is>
      </c>
    </row>
    <row r="295">
      <c r="A295" s="5" t="inlineStr">
        <is>
          <t xml:space="preserve">ATM</t>
        </is>
      </c>
      <c r="B295" s="49" t="n">
        <v>46135</v>
      </c>
      <c r="C295" s="5" t="inlineStr">
        <is>
          <t xml:space="preserve">Pelvic</t>
        </is>
      </c>
      <c r="D295" s="5" t="inlineStr">
        <is>
          <t xml:space="preserve">9987 · Blood Clots</t>
        </is>
      </c>
      <c r="E295" s="6" t="n">
        <v>6</v>
      </c>
      <c r="F295" s="5" t="inlineStr">
        <is>
          <t xml:space="preserve">Quality</t>
        </is>
      </c>
    </row>
    <row r="296">
      <c r="A296" s="5" t="inlineStr">
        <is>
          <t xml:space="preserve">ATM</t>
        </is>
      </c>
      <c r="B296" s="49" t="n">
        <v>46139</v>
      </c>
      <c r="C296" s="5" t="inlineStr">
        <is>
          <t xml:space="preserve">Thoracic</t>
        </is>
      </c>
      <c r="D296" s="5" t="inlineStr">
        <is>
          <t xml:space="preserve">9972 · Laceration/Cut</t>
        </is>
      </c>
      <c r="E296" s="6" t="n">
        <v>14</v>
      </c>
      <c r="F296" s="5" t="inlineStr">
        <is>
          <t xml:space="preserve">Quality</t>
        </is>
      </c>
    </row>
    <row r="297">
      <c r="A297" s="5" t="inlineStr">
        <is>
          <t xml:space="preserve">ATM</t>
        </is>
      </c>
      <c r="B297" s="49" t="n">
        <v>46140</v>
      </c>
      <c r="C297" s="5" t="inlineStr">
        <is>
          <t xml:space="preserve">Thoracic</t>
        </is>
      </c>
      <c r="D297" s="5" t="inlineStr">
        <is>
          <t xml:space="preserve">9972 · Laceration/Cut</t>
        </is>
      </c>
      <c r="E297" s="6" t="n">
        <v>7</v>
      </c>
      <c r="F297" s="5" t="inlineStr">
        <is>
          <t xml:space="preserve">Quality</t>
        </is>
      </c>
    </row>
    <row r="298">
      <c r="A298" s="5" t="inlineStr">
        <is>
          <t xml:space="preserve">ATM</t>
        </is>
      </c>
      <c r="B298" s="49" t="n">
        <v>46141</v>
      </c>
      <c r="C298" s="5" t="inlineStr">
        <is>
          <t xml:space="preserve">Thoracic</t>
        </is>
      </c>
      <c r="D298" s="5" t="inlineStr">
        <is>
          <t xml:space="preserve">7 · Others</t>
        </is>
      </c>
      <c r="E298" s="6" t="n">
        <v>1</v>
      </c>
      <c r="F298" s="5" t="inlineStr">
        <is>
          <t xml:space="preserve">Quality</t>
        </is>
      </c>
    </row>
    <row r="299">
      <c r="A299" s="5" t="inlineStr">
        <is>
          <t xml:space="preserve">ATM</t>
        </is>
      </c>
      <c r="B299" s="49" t="n">
        <v>46141</v>
      </c>
      <c r="C299" s="5" t="inlineStr">
        <is>
          <t xml:space="preserve">Thoracic</t>
        </is>
      </c>
      <c r="D299" s="5" t="inlineStr">
        <is>
          <t xml:space="preserve">9972 · Laceration/Cut</t>
        </is>
      </c>
      <c r="E299" s="6" t="n">
        <v>5</v>
      </c>
      <c r="F299" s="5" t="inlineStr">
        <is>
          <t xml:space="preserve">Quality</t>
        </is>
      </c>
    </row>
    <row r="300">
      <c r="A300" s="5" t="inlineStr">
        <is>
          <t xml:space="preserve">ATM</t>
        </is>
      </c>
      <c r="B300" s="49" t="n">
        <v>46141</v>
      </c>
      <c r="C300" s="5" t="inlineStr">
        <is>
          <t xml:space="preserve">Thoracic</t>
        </is>
      </c>
      <c r="D300" s="5" t="inlineStr">
        <is>
          <t xml:space="preserve">9984 · Partial Qty</t>
        </is>
      </c>
      <c r="E300" s="6" t="n">
        <v>1</v>
      </c>
      <c r="F300" s="5" t="inlineStr">
        <is>
          <t xml:space="preserve">Quality</t>
        </is>
      </c>
    </row>
    <row r="301">
      <c r="A301" s="5" t="inlineStr">
        <is>
          <t xml:space="preserve">ATM</t>
        </is>
      </c>
      <c r="B301" s="49" t="n">
        <v>46141</v>
      </c>
      <c r="C301" s="5" t="inlineStr">
        <is>
          <t xml:space="preserve">Thoracic</t>
        </is>
      </c>
      <c r="D301" s="5" t="inlineStr">
        <is>
          <t xml:space="preserve">9985 · Tech Damaged</t>
        </is>
      </c>
      <c r="E301" s="6" t="n">
        <v>1</v>
      </c>
      <c r="F301" s="5" t="inlineStr">
        <is>
          <t xml:space="preserve">Quality</t>
        </is>
      </c>
    </row>
    <row r="302">
      <c r="A302" s="5" t="inlineStr">
        <is>
          <t xml:space="preserve">ATM</t>
        </is>
      </c>
      <c r="B302" s="49" t="n">
        <v>46143</v>
      </c>
      <c r="C302" s="5" t="inlineStr">
        <is>
          <t xml:space="preserve">Pelvic</t>
        </is>
      </c>
      <c r="D302" s="5" t="inlineStr">
        <is>
          <t xml:space="preserve">9972 · Laceration/Cut</t>
        </is>
      </c>
      <c r="E302" s="6" t="n">
        <v>10</v>
      </c>
      <c r="F302" s="5" t="inlineStr">
        <is>
          <t xml:space="preserve">Quality</t>
        </is>
      </c>
    </row>
    <row r="303">
      <c r="A303" s="5" t="inlineStr">
        <is>
          <t xml:space="preserve">ATM</t>
        </is>
      </c>
      <c r="B303" s="49" t="n">
        <v>46143</v>
      </c>
      <c r="C303" s="5" t="inlineStr">
        <is>
          <t xml:space="preserve">Pelvic</t>
        </is>
      </c>
      <c r="D303" s="5" t="inlineStr">
        <is>
          <t xml:space="preserve">9976 · Spoilage</t>
        </is>
      </c>
      <c r="E303" s="6" t="n">
        <v>1</v>
      </c>
      <c r="F303" s="5" t="inlineStr">
        <is>
          <t xml:space="preserve">Quality</t>
        </is>
      </c>
    </row>
    <row r="304">
      <c r="A304" s="5" t="inlineStr">
        <is>
          <t xml:space="preserve">ATM</t>
        </is>
      </c>
      <c r="B304" s="49" t="n">
        <v>46143</v>
      </c>
      <c r="C304" s="5" t="inlineStr">
        <is>
          <t xml:space="preserve">Pelvic</t>
        </is>
      </c>
      <c r="D304" s="5" t="inlineStr">
        <is>
          <t xml:space="preserve">9986 · Bladder Length</t>
        </is>
      </c>
      <c r="E304" s="6" t="n">
        <v>3</v>
      </c>
      <c r="F304" s="5" t="inlineStr">
        <is>
          <t xml:space="preserve">Quality</t>
        </is>
      </c>
    </row>
    <row r="305">
      <c r="A305" s="5" t="inlineStr">
        <is>
          <t xml:space="preserve">ATM</t>
        </is>
      </c>
      <c r="B305" s="49" t="n">
        <v>46148</v>
      </c>
      <c r="C305" s="5" t="inlineStr">
        <is>
          <t xml:space="preserve">Thoracic</t>
        </is>
      </c>
      <c r="D305" s="5" t="inlineStr">
        <is>
          <t xml:space="preserve">9972 · Laceration/Cut</t>
        </is>
      </c>
      <c r="E305" s="6" t="n">
        <v>8</v>
      </c>
      <c r="F305" s="5" t="inlineStr">
        <is>
          <t xml:space="preserve">Quality</t>
        </is>
      </c>
    </row>
    <row r="306">
      <c r="A306" s="5" t="inlineStr">
        <is>
          <t xml:space="preserve">ATM</t>
        </is>
      </c>
      <c r="B306" s="49" t="n">
        <v>46148</v>
      </c>
      <c r="C306" s="5" t="inlineStr">
        <is>
          <t xml:space="preserve">Thoracic</t>
        </is>
      </c>
      <c r="D306" s="5" t="inlineStr">
        <is>
          <t xml:space="preserve">9985 · Tech Damaged</t>
        </is>
      </c>
      <c r="E306" s="6" t="n">
        <v>4</v>
      </c>
      <c r="F306" s="5" t="inlineStr">
        <is>
          <t xml:space="preserve">Quality</t>
        </is>
      </c>
    </row>
    <row r="307">
      <c r="A307" s="5" t="inlineStr">
        <is>
          <t xml:space="preserve">ATM</t>
        </is>
      </c>
      <c r="B307" s="49" t="n">
        <v>46149</v>
      </c>
      <c r="C307" s="5" t="inlineStr">
        <is>
          <t xml:space="preserve">Pelvic</t>
        </is>
      </c>
      <c r="D307" s="5" t="inlineStr">
        <is>
          <t xml:space="preserve">9972 · Laceration/Cut</t>
        </is>
      </c>
      <c r="E307" s="6" t="n">
        <v>10</v>
      </c>
      <c r="F307" s="5" t="inlineStr">
        <is>
          <t xml:space="preserve">Quality</t>
        </is>
      </c>
    </row>
    <row r="308">
      <c r="A308" s="5" t="inlineStr">
        <is>
          <t xml:space="preserve">ATM</t>
        </is>
      </c>
      <c r="B308" s="49" t="n">
        <v>46149</v>
      </c>
      <c r="C308" s="5" t="inlineStr">
        <is>
          <t xml:space="preserve">Pelvic</t>
        </is>
      </c>
      <c r="D308" s="5" t="inlineStr">
        <is>
          <t xml:space="preserve">9976 · Spoilage</t>
        </is>
      </c>
      <c r="E308" s="6" t="n">
        <v>1</v>
      </c>
      <c r="F308" s="5" t="inlineStr">
        <is>
          <t xml:space="preserve">Quality</t>
        </is>
      </c>
    </row>
    <row r="309">
      <c r="A309" s="5" t="inlineStr">
        <is>
          <t xml:space="preserve">ATM</t>
        </is>
      </c>
      <c r="B309" s="49" t="n">
        <v>46149</v>
      </c>
      <c r="C309" s="5" t="inlineStr">
        <is>
          <t xml:space="preserve">Pelvic</t>
        </is>
      </c>
      <c r="D309" s="5" t="inlineStr">
        <is>
          <t xml:space="preserve">9987 · Blood Clots</t>
        </is>
      </c>
      <c r="E309" s="6" t="n">
        <v>3</v>
      </c>
      <c r="F309" s="5" t="inlineStr">
        <is>
          <t xml:space="preserve">Quality</t>
        </is>
      </c>
    </row>
    <row r="310">
      <c r="A310" s="5" t="inlineStr">
        <is>
          <t xml:space="preserve">ATM</t>
        </is>
      </c>
      <c r="B310" s="49" t="n">
        <v>46153</v>
      </c>
      <c r="C310" s="5" t="inlineStr">
        <is>
          <t xml:space="preserve">Thoracic</t>
        </is>
      </c>
      <c r="D310" s="5" t="inlineStr">
        <is>
          <t xml:space="preserve">9972 · Laceration/Cut</t>
        </is>
      </c>
      <c r="E310" s="6" t="n">
        <v>9</v>
      </c>
      <c r="F310" s="5" t="inlineStr">
        <is>
          <t xml:space="preserve">Quality</t>
        </is>
      </c>
    </row>
    <row r="311">
      <c r="A311" s="5" t="inlineStr">
        <is>
          <t xml:space="preserve">ATM</t>
        </is>
      </c>
      <c r="B311" s="49" t="n">
        <v>46154</v>
      </c>
      <c r="C311" s="5" t="inlineStr">
        <is>
          <t xml:space="preserve">Thoracic</t>
        </is>
      </c>
      <c r="D311" s="5" t="inlineStr">
        <is>
          <t xml:space="preserve">9972 · Laceration/Cut</t>
        </is>
      </c>
      <c r="E311" s="6" t="n">
        <v>3</v>
      </c>
      <c r="F311" s="5" t="inlineStr">
        <is>
          <t xml:space="preserve">Quality</t>
        </is>
      </c>
    </row>
    <row r="312">
      <c r="A312" s="5" t="inlineStr">
        <is>
          <t xml:space="preserve">ATM</t>
        </is>
      </c>
      <c r="B312" s="49" t="n">
        <v>46155</v>
      </c>
      <c r="C312" s="5" t="inlineStr">
        <is>
          <t xml:space="preserve">Thoracic</t>
        </is>
      </c>
      <c r="D312" s="5" t="inlineStr">
        <is>
          <t xml:space="preserve">9972 · Laceration/Cut</t>
        </is>
      </c>
      <c r="E312" s="6" t="n">
        <v>5</v>
      </c>
      <c r="F312" s="5" t="inlineStr">
        <is>
          <t xml:space="preserve">Quality</t>
        </is>
      </c>
    </row>
    <row r="313">
      <c r="A313" s="5" t="inlineStr">
        <is>
          <t xml:space="preserve">ATM</t>
        </is>
      </c>
      <c r="B313" s="49" t="n">
        <v>46155</v>
      </c>
      <c r="C313" s="5" t="inlineStr">
        <is>
          <t xml:space="preserve">Pelvic</t>
        </is>
      </c>
      <c r="D313" s="5" t="inlineStr">
        <is>
          <t xml:space="preserve">9972 · Laceration/Cut</t>
        </is>
      </c>
      <c r="E313" s="6" t="n">
        <v>2</v>
      </c>
      <c r="F313" s="5" t="inlineStr">
        <is>
          <t xml:space="preserve">Quality</t>
        </is>
      </c>
    </row>
    <row r="314">
      <c r="A314" s="5" t="inlineStr">
        <is>
          <t xml:space="preserve">ATM</t>
        </is>
      </c>
      <c r="B314" s="49" t="n">
        <v>46155</v>
      </c>
      <c r="C314" s="5" t="inlineStr">
        <is>
          <t xml:space="preserve">Pelvic</t>
        </is>
      </c>
      <c r="D314" s="5" t="inlineStr">
        <is>
          <t xml:space="preserve">9987 · Blood Clots</t>
        </is>
      </c>
      <c r="E314" s="6" t="n">
        <v>1</v>
      </c>
      <c r="F314" s="5" t="inlineStr">
        <is>
          <t xml:space="preserve">Quality</t>
        </is>
      </c>
    </row>
    <row r="315">
      <c r="A315" s="5" t="inlineStr">
        <is>
          <t xml:space="preserve">ATM</t>
        </is>
      </c>
      <c r="B315" s="49" t="n">
        <v>46156</v>
      </c>
      <c r="C315" s="5" t="inlineStr">
        <is>
          <t xml:space="preserve">Thoracic</t>
        </is>
      </c>
      <c r="D315" s="5" t="inlineStr">
        <is>
          <t xml:space="preserve">9985 · Tech Damaged</t>
        </is>
      </c>
      <c r="E315" s="6" t="n">
        <v>1</v>
      </c>
      <c r="F315" s="5" t="inlineStr">
        <is>
          <t xml:space="preserve">Quality</t>
        </is>
      </c>
    </row>
    <row r="316">
      <c r="A316" s="5" t="inlineStr">
        <is>
          <t xml:space="preserve">ATM</t>
        </is>
      </c>
      <c r="B316" s="49" t="n">
        <v>46160</v>
      </c>
      <c r="C316" s="5" t="inlineStr">
        <is>
          <t xml:space="preserve">Thoracic</t>
        </is>
      </c>
      <c r="D316" s="5" t="inlineStr">
        <is>
          <t xml:space="preserve">9972 · Laceration/Cut</t>
        </is>
      </c>
      <c r="E316" s="6" t="n">
        <v>11</v>
      </c>
      <c r="F316" s="5" t="inlineStr">
        <is>
          <t xml:space="preserve">Quality</t>
        </is>
      </c>
    </row>
    <row r="317">
      <c r="A317" s="5" t="inlineStr">
        <is>
          <t xml:space="preserve">ATM</t>
        </is>
      </c>
      <c r="B317" s="49" t="n">
        <v>46161</v>
      </c>
      <c r="C317" s="5" t="inlineStr">
        <is>
          <t xml:space="preserve">Thoracic</t>
        </is>
      </c>
      <c r="D317" s="5" t="inlineStr">
        <is>
          <t xml:space="preserve">9972 · Laceration/Cut</t>
        </is>
      </c>
      <c r="E317" s="6" t="n">
        <v>2</v>
      </c>
      <c r="F317" s="5" t="inlineStr">
        <is>
          <t xml:space="preserve">Quality</t>
        </is>
      </c>
    </row>
    <row r="318">
      <c r="A318" s="5" t="inlineStr">
        <is>
          <t xml:space="preserve">ATM</t>
        </is>
      </c>
      <c r="B318" s="49" t="n">
        <v>46162</v>
      </c>
      <c r="C318" s="5" t="inlineStr">
        <is>
          <t xml:space="preserve">Thoracic</t>
        </is>
      </c>
      <c r="D318" s="5" t="inlineStr">
        <is>
          <t xml:space="preserve">9972 · Laceration/Cut</t>
        </is>
      </c>
      <c r="E318" s="6" t="n">
        <v>1</v>
      </c>
      <c r="F318" s="5" t="inlineStr">
        <is>
          <t xml:space="preserve">Quality</t>
        </is>
      </c>
    </row>
    <row r="319">
      <c r="A319" s="5" t="inlineStr">
        <is>
          <t xml:space="preserve">ATM</t>
        </is>
      </c>
      <c r="B319" s="49" t="n">
        <v>46163</v>
      </c>
      <c r="C319" s="5" t="inlineStr">
        <is>
          <t xml:space="preserve">Thoracic</t>
        </is>
      </c>
      <c r="D319" s="5" t="inlineStr">
        <is>
          <t xml:space="preserve">9972 · Laceration/Cut</t>
        </is>
      </c>
      <c r="E319" s="6" t="n">
        <v>1</v>
      </c>
      <c r="F319" s="5" t="inlineStr">
        <is>
          <t xml:space="preserve">Quality</t>
        </is>
      </c>
    </row>
    <row r="320">
      <c r="A320" s="5" t="inlineStr">
        <is>
          <t xml:space="preserve">ATM</t>
        </is>
      </c>
      <c r="B320" s="49" t="n">
        <v>46163</v>
      </c>
      <c r="C320" s="5" t="inlineStr">
        <is>
          <t xml:space="preserve">Pelvic</t>
        </is>
      </c>
      <c r="D320" s="5" t="inlineStr">
        <is>
          <t xml:space="preserve">9972 · Laceration/Cut</t>
        </is>
      </c>
      <c r="E320" s="6" t="n">
        <v>7</v>
      </c>
      <c r="F320" s="5" t="inlineStr">
        <is>
          <t xml:space="preserve">Quality</t>
        </is>
      </c>
    </row>
    <row r="321">
      <c r="A321" s="5" t="inlineStr">
        <is>
          <t xml:space="preserve">ATM</t>
        </is>
      </c>
      <c r="B321" s="49" t="n">
        <v>46168</v>
      </c>
      <c r="C321" s="5" t="inlineStr">
        <is>
          <t xml:space="preserve">Thoracic</t>
        </is>
      </c>
      <c r="D321" s="5" t="inlineStr">
        <is>
          <t xml:space="preserve">9972 · Laceration/Cut</t>
        </is>
      </c>
      <c r="E321" s="6" t="n">
        <v>2</v>
      </c>
      <c r="F321" s="5" t="inlineStr">
        <is>
          <t xml:space="preserve">Quality</t>
        </is>
      </c>
    </row>
    <row r="322">
      <c r="A322" s="5" t="inlineStr">
        <is>
          <t xml:space="preserve">ATM</t>
        </is>
      </c>
      <c r="B322" s="49" t="n">
        <v>46168</v>
      </c>
      <c r="C322" s="5" t="inlineStr">
        <is>
          <t xml:space="preserve">Thoracic</t>
        </is>
      </c>
      <c r="D322" s="5" t="inlineStr">
        <is>
          <t xml:space="preserve">9985 · Tech Damaged</t>
        </is>
      </c>
      <c r="E322" s="6" t="n">
        <v>1</v>
      </c>
      <c r="F322" s="5" t="inlineStr">
        <is>
          <t xml:space="preserve">Quality</t>
        </is>
      </c>
    </row>
    <row r="323">
      <c r="A323" s="5" t="inlineStr">
        <is>
          <t xml:space="preserve">ATM</t>
        </is>
      </c>
      <c r="B323" s="49" t="n">
        <v>46169</v>
      </c>
      <c r="C323" s="5" t="inlineStr">
        <is>
          <t xml:space="preserve">Thoracic</t>
        </is>
      </c>
      <c r="D323" s="5" t="inlineStr">
        <is>
          <t xml:space="preserve">9972 · Laceration/Cut</t>
        </is>
      </c>
      <c r="E323" s="6" t="n">
        <v>2</v>
      </c>
      <c r="F323" s="5" t="inlineStr">
        <is>
          <t xml:space="preserve">Quality</t>
        </is>
      </c>
    </row>
    <row r="324">
      <c r="A324" s="5" t="inlineStr">
        <is>
          <t xml:space="preserve">ATM</t>
        </is>
      </c>
      <c r="B324" s="49" t="n">
        <v>46169</v>
      </c>
      <c r="C324" s="5" t="inlineStr">
        <is>
          <t xml:space="preserve">Thoracic</t>
        </is>
      </c>
      <c r="D324" s="5" t="inlineStr">
        <is>
          <t xml:space="preserve">9985 · Tech Damaged</t>
        </is>
      </c>
      <c r="E324" s="6" t="n">
        <v>1</v>
      </c>
      <c r="F324" s="5" t="inlineStr">
        <is>
          <t xml:space="preserve">Quality</t>
        </is>
      </c>
    </row>
    <row r="325">
      <c r="A325" s="5" t="inlineStr">
        <is>
          <t xml:space="preserve">ATM</t>
        </is>
      </c>
      <c r="B325" s="49" t="n">
        <v>46171</v>
      </c>
      <c r="C325" s="5" t="inlineStr">
        <is>
          <t xml:space="preserve">Pelvic</t>
        </is>
      </c>
      <c r="D325" s="5" t="inlineStr">
        <is>
          <t xml:space="preserve">9972 · Laceration/Cut</t>
        </is>
      </c>
      <c r="E325" s="6" t="n">
        <v>5</v>
      </c>
      <c r="F325" s="5" t="inlineStr">
        <is>
          <t xml:space="preserve">Quality</t>
        </is>
      </c>
    </row>
    <row r="326">
      <c r="A326" s="5" t="inlineStr">
        <is>
          <t xml:space="preserve">ATM</t>
        </is>
      </c>
      <c r="B326" s="49" t="n">
        <v>46174</v>
      </c>
      <c r="C326" s="5" t="inlineStr">
        <is>
          <t xml:space="preserve">Thoracic</t>
        </is>
      </c>
      <c r="D326" s="5" t="inlineStr">
        <is>
          <t xml:space="preserve">9972 · Laceration/Cut</t>
        </is>
      </c>
      <c r="E326" s="6" t="n">
        <v>3</v>
      </c>
      <c r="F326" s="5" t="inlineStr">
        <is>
          <t xml:space="preserve">Quality</t>
        </is>
      </c>
    </row>
    <row r="327">
      <c r="A327" s="5" t="inlineStr">
        <is>
          <t xml:space="preserve">ATM</t>
        </is>
      </c>
      <c r="B327" s="49" t="n">
        <v>46174</v>
      </c>
      <c r="C327" s="5" t="inlineStr">
        <is>
          <t xml:space="preserve">Thoracic</t>
        </is>
      </c>
      <c r="D327" s="5" t="inlineStr">
        <is>
          <t xml:space="preserve">9985 · Tech Damaged</t>
        </is>
      </c>
      <c r="E327" s="6" t="n">
        <v>1</v>
      </c>
      <c r="F327" s="5" t="inlineStr">
        <is>
          <t xml:space="preserve">Quality</t>
        </is>
      </c>
    </row>
    <row r="328">
      <c r="A328" s="5" t="inlineStr">
        <is>
          <t xml:space="preserve">ATM</t>
        </is>
      </c>
      <c r="B328" s="49" t="n">
        <v>46175</v>
      </c>
      <c r="C328" s="5" t="inlineStr">
        <is>
          <t xml:space="preserve">Thoracic</t>
        </is>
      </c>
      <c r="D328" s="5" t="inlineStr">
        <is>
          <t xml:space="preserve">9972 · Laceration/Cut</t>
        </is>
      </c>
      <c r="E328" s="6" t="n">
        <v>5</v>
      </c>
      <c r="F328" s="5" t="inlineStr">
        <is>
          <t xml:space="preserve">Quality</t>
        </is>
      </c>
    </row>
    <row r="329">
      <c r="A329" s="5" t="inlineStr">
        <is>
          <t xml:space="preserve">ATM</t>
        </is>
      </c>
      <c r="B329" s="49" t="n">
        <v>46176</v>
      </c>
      <c r="C329" s="5" t="inlineStr">
        <is>
          <t xml:space="preserve">Pelvic</t>
        </is>
      </c>
      <c r="D329" s="5" t="inlineStr">
        <is>
          <t xml:space="preserve">9972 · Laceration/Cut</t>
        </is>
      </c>
      <c r="E329" s="6" t="n">
        <v>9</v>
      </c>
      <c r="F329" s="5" t="inlineStr">
        <is>
          <t xml:space="preserve">Quality</t>
        </is>
      </c>
    </row>
    <row r="330">
      <c r="A330" s="5" t="inlineStr">
        <is>
          <t xml:space="preserve">ATM</t>
        </is>
      </c>
      <c r="B330" s="49" t="n">
        <v>46176</v>
      </c>
      <c r="C330" s="5" t="inlineStr">
        <is>
          <t xml:space="preserve">Pelvic</t>
        </is>
      </c>
      <c r="D330" s="5" t="inlineStr">
        <is>
          <t xml:space="preserve">9988 · Exposed Urethra</t>
        </is>
      </c>
      <c r="E330" s="6" t="n">
        <v>3</v>
      </c>
      <c r="F330" s="5" t="inlineStr">
        <is>
          <t xml:space="preserve">Quality</t>
        </is>
      </c>
    </row>
    <row r="331">
      <c r="A331" s="5" t="inlineStr">
        <is>
          <t xml:space="preserve">ATM</t>
        </is>
      </c>
      <c r="B331" s="49" t="n">
        <v>46177</v>
      </c>
      <c r="C331" s="5" t="inlineStr">
        <is>
          <t xml:space="preserve">Thoracic</t>
        </is>
      </c>
      <c r="D331" s="5" t="inlineStr">
        <is>
          <t xml:space="preserve">9972 · Laceration/Cut</t>
        </is>
      </c>
      <c r="E331" s="6" t="n">
        <v>1</v>
      </c>
      <c r="F331" s="5" t="inlineStr">
        <is>
          <t xml:space="preserve">Quality</t>
        </is>
      </c>
    </row>
    <row r="332">
      <c r="A332" s="5" t="inlineStr">
        <is>
          <t xml:space="preserve">ATM</t>
        </is>
      </c>
      <c r="B332" s="49" t="n">
        <v>46181</v>
      </c>
      <c r="C332" s="5" t="inlineStr">
        <is>
          <t xml:space="preserve">Thoracic</t>
        </is>
      </c>
      <c r="D332" s="5" t="inlineStr">
        <is>
          <t xml:space="preserve">9985 · Tech Damaged</t>
        </is>
      </c>
      <c r="E332" s="6" t="n">
        <v>2</v>
      </c>
      <c r="F332" s="5" t="inlineStr">
        <is>
          <t xml:space="preserve">Quality</t>
        </is>
      </c>
    </row>
    <row r="333">
      <c r="A333" s="5" t="inlineStr">
        <is>
          <t xml:space="preserve">ATM</t>
        </is>
      </c>
      <c r="B333" s="49" t="n">
        <v>46182</v>
      </c>
      <c r="C333" s="5" t="inlineStr">
        <is>
          <t xml:space="preserve">Thoracic</t>
        </is>
      </c>
      <c r="D333" s="5" t="inlineStr">
        <is>
          <t xml:space="preserve">1220 · Destructive Testing (eng/R&amp;D)</t>
        </is>
      </c>
      <c r="E333" s="6" t="n">
        <v>1</v>
      </c>
      <c r="F333" s="5" t="inlineStr">
        <is>
          <t xml:space="preserve">Planned</t>
        </is>
      </c>
    </row>
    <row r="334">
      <c r="A334" s="5" t="inlineStr">
        <is>
          <t xml:space="preserve">ATM</t>
        </is>
      </c>
      <c r="B334" s="49" t="n">
        <v>46182</v>
      </c>
      <c r="C334" s="5" t="inlineStr">
        <is>
          <t xml:space="preserve">Thoracic</t>
        </is>
      </c>
      <c r="D334" s="5" t="inlineStr">
        <is>
          <t xml:space="preserve">9972 · Laceration/Cut</t>
        </is>
      </c>
      <c r="E334" s="6" t="n">
        <v>1</v>
      </c>
      <c r="F334" s="5" t="inlineStr">
        <is>
          <t xml:space="preserve">Quality</t>
        </is>
      </c>
    </row>
    <row r="335">
      <c r="A335" s="5" t="inlineStr">
        <is>
          <t xml:space="preserve">ATM</t>
        </is>
      </c>
      <c r="B335" s="49" t="n">
        <v>46184</v>
      </c>
      <c r="C335" s="5" t="inlineStr">
        <is>
          <t xml:space="preserve">Pelvic</t>
        </is>
      </c>
      <c r="D335" s="5" t="inlineStr">
        <is>
          <t xml:space="preserve">9972 · Laceration/Cut</t>
        </is>
      </c>
      <c r="E335" s="6" t="n">
        <v>14</v>
      </c>
      <c r="F335" s="5" t="inlineStr">
        <is>
          <t xml:space="preserve">Quality</t>
        </is>
      </c>
    </row>
    <row r="336">
      <c r="A336" s="5" t="inlineStr">
        <is>
          <t xml:space="preserve">ATM</t>
        </is>
      </c>
      <c r="B336" s="49" t="n">
        <v>46188</v>
      </c>
      <c r="C336" s="5" t="inlineStr">
        <is>
          <t xml:space="preserve">Thoracic</t>
        </is>
      </c>
      <c r="D336" s="5" t="inlineStr">
        <is>
          <t xml:space="preserve">9972 · Laceration/Cut</t>
        </is>
      </c>
      <c r="E336" s="6" t="n">
        <v>3</v>
      </c>
      <c r="F336" s="5" t="inlineStr">
        <is>
          <t xml:space="preserve">Quality</t>
        </is>
      </c>
    </row>
    <row r="337">
      <c r="A337" s="5" t="inlineStr">
        <is>
          <t xml:space="preserve">ATM</t>
        </is>
      </c>
      <c r="B337" s="49" t="n">
        <v>46191</v>
      </c>
      <c r="C337" s="5" t="inlineStr">
        <is>
          <t xml:space="preserve">Pelvic</t>
        </is>
      </c>
      <c r="D337" s="5" t="inlineStr">
        <is>
          <t xml:space="preserve">9972 · Laceration/Cut</t>
        </is>
      </c>
      <c r="E337" s="6" t="n">
        <v>6</v>
      </c>
      <c r="F337" s="5" t="inlineStr">
        <is>
          <t xml:space="preserve">Quality</t>
        </is>
      </c>
    </row>
    <row r="338">
      <c r="A338" s="5" t="inlineStr">
        <is>
          <t xml:space="preserve">ATM</t>
        </is>
      </c>
      <c r="B338" s="49" t="n">
        <v>46197</v>
      </c>
      <c r="C338" s="5" t="inlineStr">
        <is>
          <t xml:space="preserve">Pelvic</t>
        </is>
      </c>
      <c r="D338" s="5" t="inlineStr">
        <is>
          <t xml:space="preserve">9972 · Laceration/Cut</t>
        </is>
      </c>
      <c r="E338" s="6" t="n">
        <v>1</v>
      </c>
      <c r="F338" s="5" t="inlineStr">
        <is>
          <t xml:space="preserve">Quality</t>
        </is>
      </c>
    </row>
    <row r="339">
      <c r="A339" s="5" t="inlineStr">
        <is>
          <t xml:space="preserve">ATM</t>
        </is>
      </c>
      <c r="B339" s="49" t="n">
        <v>46197</v>
      </c>
      <c r="C339" s="5" t="inlineStr">
        <is>
          <t xml:space="preserve">Pelvic</t>
        </is>
      </c>
      <c r="D339" s="5" t="inlineStr">
        <is>
          <t xml:space="preserve">9988 · Exposed Urethra</t>
        </is>
      </c>
      <c r="E339" s="6" t="n">
        <v>5</v>
      </c>
      <c r="F339" s="5" t="inlineStr">
        <is>
          <t xml:space="preserve">Quality</t>
        </is>
      </c>
    </row>
    <row r="340">
      <c r="A340" s="5" t="inlineStr">
        <is>
          <t xml:space="preserve">ATM</t>
        </is>
      </c>
      <c r="B340" s="49" t="n">
        <v>46202</v>
      </c>
      <c r="C340" s="5" t="inlineStr">
        <is>
          <t xml:space="preserve">Thoracic</t>
        </is>
      </c>
      <c r="D340" s="5" t="inlineStr">
        <is>
          <t xml:space="preserve">9972 · Laceration/Cut</t>
        </is>
      </c>
      <c r="E340" s="6" t="n">
        <v>4</v>
      </c>
      <c r="F340" s="5" t="inlineStr">
        <is>
          <t xml:space="preserve">Quality</t>
        </is>
      </c>
    </row>
    <row r="341">
      <c r="A341" s="5" t="inlineStr">
        <is>
          <t xml:space="preserve">ATM</t>
        </is>
      </c>
      <c r="B341" s="49" t="n">
        <v>46203</v>
      </c>
      <c r="C341" s="5" t="inlineStr">
        <is>
          <t xml:space="preserve">Pelvic</t>
        </is>
      </c>
      <c r="D341" s="5" t="inlineStr">
        <is>
          <t xml:space="preserve">1220 · Destructive Testing (eng/R&amp;D)</t>
        </is>
      </c>
      <c r="E341" s="6" t="n">
        <v>2</v>
      </c>
      <c r="F341" s="5" t="inlineStr">
        <is>
          <t xml:space="preserve">Planned</t>
        </is>
      </c>
    </row>
    <row r="342">
      <c r="A342" s="5" t="inlineStr">
        <is>
          <t xml:space="preserve">ATM</t>
        </is>
      </c>
      <c r="B342" s="49" t="n">
        <v>46203</v>
      </c>
      <c r="C342" s="5" t="inlineStr">
        <is>
          <t xml:space="preserve">Pelvic</t>
        </is>
      </c>
      <c r="D342" s="5" t="inlineStr">
        <is>
          <t xml:space="preserve">9972 · Laceration/Cut</t>
        </is>
      </c>
      <c r="E342" s="6" t="n">
        <v>7</v>
      </c>
      <c r="F342" s="5" t="inlineStr">
        <is>
          <t xml:space="preserve">Quality</t>
        </is>
      </c>
    </row>
    <row r="343">
      <c r="A343" s="5" t="inlineStr">
        <is>
          <t xml:space="preserve">ATM</t>
        </is>
      </c>
      <c r="B343" s="49" t="n">
        <v>46203</v>
      </c>
      <c r="C343" s="5" t="inlineStr">
        <is>
          <t xml:space="preserve">Pelvic</t>
        </is>
      </c>
      <c r="D343" s="5" t="inlineStr">
        <is>
          <t xml:space="preserve">9983 · Incorrect Dimensions</t>
        </is>
      </c>
      <c r="E343" s="6" t="n">
        <v>1</v>
      </c>
      <c r="F343" s="5" t="inlineStr">
        <is>
          <t xml:space="preserve">Quality</t>
        </is>
      </c>
    </row>
    <row r="344">
      <c r="A344" s="5" t="inlineStr">
        <is>
          <t xml:space="preserve">ATM</t>
        </is>
      </c>
      <c r="B344" s="49" t="n">
        <v>46203</v>
      </c>
      <c r="C344" s="5" t="inlineStr">
        <is>
          <t xml:space="preserve">Pelvic</t>
        </is>
      </c>
      <c r="D344" s="5" t="inlineStr">
        <is>
          <t xml:space="preserve">9986 · Bladder Length</t>
        </is>
      </c>
      <c r="E344" s="6" t="n">
        <v>1</v>
      </c>
      <c r="F344" s="5" t="inlineStr">
        <is>
          <t xml:space="preserve">Quality</t>
        </is>
      </c>
    </row>
    <row r="345">
      <c r="A345" s="5" t="inlineStr">
        <is>
          <t xml:space="preserve">ATM</t>
        </is>
      </c>
      <c r="B345" s="49" t="n">
        <v>46203</v>
      </c>
      <c r="C345" s="5" t="inlineStr">
        <is>
          <t xml:space="preserve">Pelvic</t>
        </is>
      </c>
      <c r="D345" s="5" t="inlineStr">
        <is>
          <t xml:space="preserve">9988 · Exposed Urethra</t>
        </is>
      </c>
      <c r="E345" s="6" t="n">
        <v>1</v>
      </c>
      <c r="F345" s="5" t="inlineStr">
        <is>
          <t xml:space="preserve">Quality</t>
        </is>
      </c>
    </row>
    <row r="346">
      <c r="A346" s="5" t="inlineStr">
        <is>
          <t xml:space="preserve">ATM</t>
        </is>
      </c>
      <c r="B346" s="49" t="n">
        <v>46204</v>
      </c>
      <c r="C346" s="5" t="inlineStr">
        <is>
          <t xml:space="preserve">Thoracic</t>
        </is>
      </c>
      <c r="D346" s="5" t="inlineStr">
        <is>
          <t xml:space="preserve">9972 · Laceration/Cut</t>
        </is>
      </c>
      <c r="E346" s="6" t="n">
        <v>3</v>
      </c>
      <c r="F346" s="5" t="inlineStr">
        <is>
          <t xml:space="preserve">Quality</t>
        </is>
      </c>
    </row>
    <row r="347">
      <c r="A347" s="5" t="inlineStr">
        <is>
          <t xml:space="preserve">ATM</t>
        </is>
      </c>
      <c r="B347" s="49" t="n">
        <v>46209</v>
      </c>
      <c r="C347" s="5" t="inlineStr">
        <is>
          <t xml:space="preserve">Thoracic</t>
        </is>
      </c>
      <c r="D347" s="5" t="inlineStr">
        <is>
          <t xml:space="preserve">9972 · Laceration/Cut</t>
        </is>
      </c>
      <c r="E347" s="6" t="n">
        <v>2</v>
      </c>
      <c r="F347" s="5" t="inlineStr">
        <is>
          <t xml:space="preserve">Quality</t>
        </is>
      </c>
    </row>
    <row r="348">
      <c r="A348" s="5" t="inlineStr">
        <is>
          <t xml:space="preserve">ATM</t>
        </is>
      </c>
      <c r="B348" s="49" t="n">
        <v>46211</v>
      </c>
      <c r="C348" s="5" t="inlineStr">
        <is>
          <t xml:space="preserve">Thoracic</t>
        </is>
      </c>
      <c r="D348" s="5" t="inlineStr">
        <is>
          <t xml:space="preserve">9972 · Laceration/Cut</t>
        </is>
      </c>
      <c r="E348" s="6" t="n">
        <v>1</v>
      </c>
      <c r="F348" s="5" t="inlineStr">
        <is>
          <t xml:space="preserve">Quality</t>
        </is>
      </c>
    </row>
    <row r="349">
      <c r="A349" s="5" t="inlineStr">
        <is>
          <t xml:space="preserve">ATM</t>
        </is>
      </c>
      <c r="B349" s="49" t="n">
        <v>46212</v>
      </c>
      <c r="C349" s="5" t="inlineStr">
        <is>
          <t xml:space="preserve">Thoracic</t>
        </is>
      </c>
      <c r="D349" s="5" t="inlineStr">
        <is>
          <t xml:space="preserve">9972 · Laceration/Cut</t>
        </is>
      </c>
      <c r="E349" s="6" t="n">
        <v>1</v>
      </c>
      <c r="F349" s="5" t="inlineStr">
        <is>
          <t xml:space="preserve">Quality</t>
        </is>
      </c>
    </row>
    <row r="350">
      <c r="A350" s="5" t="inlineStr">
        <is>
          <t xml:space="preserve">ATM</t>
        </is>
      </c>
      <c r="B350" s="49" t="n">
        <v>46212</v>
      </c>
      <c r="C350" s="5" t="inlineStr">
        <is>
          <t xml:space="preserve">Pelvic</t>
        </is>
      </c>
      <c r="D350" s="5" t="inlineStr">
        <is>
          <t xml:space="preserve">1220 · Destructive Testing (eng/R&amp;D)</t>
        </is>
      </c>
      <c r="E350" s="6" t="n">
        <v>5</v>
      </c>
      <c r="F350" s="5" t="inlineStr">
        <is>
          <t xml:space="preserve">Planned</t>
        </is>
      </c>
    </row>
    <row r="351">
      <c r="A351" s="5" t="inlineStr">
        <is>
          <t xml:space="preserve">ATM</t>
        </is>
      </c>
      <c r="B351" s="49" t="n">
        <v>46212</v>
      </c>
      <c r="C351" s="5" t="inlineStr">
        <is>
          <t xml:space="preserve">Pelvic</t>
        </is>
      </c>
      <c r="D351" s="5" t="inlineStr">
        <is>
          <t xml:space="preserve">9972 · Laceration/Cut</t>
        </is>
      </c>
      <c r="E351" s="6" t="n">
        <v>3</v>
      </c>
      <c r="F351" s="5" t="inlineStr">
        <is>
          <t xml:space="preserve">Quality</t>
        </is>
      </c>
    </row>
    <row r="352">
      <c r="A352" s="5" t="inlineStr">
        <is>
          <t xml:space="preserve">ATM</t>
        </is>
      </c>
      <c r="B352" s="49" t="n">
        <v>46213</v>
      </c>
      <c r="C352" s="5" t="inlineStr">
        <is>
          <t xml:space="preserve">Thoracic</t>
        </is>
      </c>
      <c r="D352" s="5" t="inlineStr">
        <is>
          <t xml:space="preserve">9972 · Laceration/Cut</t>
        </is>
      </c>
      <c r="E352" s="6" t="n">
        <v>6</v>
      </c>
      <c r="F352" s="5" t="inlineStr">
        <is>
          <t xml:space="preserve">Quality</t>
        </is>
      </c>
    </row>
    <row r="353">
      <c r="A353" s="5" t="inlineStr">
        <is>
          <t xml:space="preserve">ATM</t>
        </is>
      </c>
      <c r="B353" s="49" t="n">
        <v>46216</v>
      </c>
      <c r="C353" s="5" t="inlineStr">
        <is>
          <t xml:space="preserve">Thoracic</t>
        </is>
      </c>
      <c r="D353" s="5" t="inlineStr">
        <is>
          <t xml:space="preserve">1220 · Destructive Testing (eng/R&amp;D)</t>
        </is>
      </c>
      <c r="E353" s="6" t="n">
        <v>1</v>
      </c>
      <c r="F353" s="5" t="inlineStr">
        <is>
          <t xml:space="preserve">Planned</t>
        </is>
      </c>
    </row>
    <row r="354">
      <c r="A354" s="5" t="inlineStr">
        <is>
          <t xml:space="preserve">ATM</t>
        </is>
      </c>
      <c r="B354" s="49" t="n">
        <v>46216</v>
      </c>
      <c r="C354" s="5" t="inlineStr">
        <is>
          <t xml:space="preserve">Thoracic</t>
        </is>
      </c>
      <c r="D354" s="5" t="inlineStr">
        <is>
          <t xml:space="preserve">9972 · Laceration/Cut</t>
        </is>
      </c>
      <c r="E354" s="6" t="n">
        <v>6</v>
      </c>
      <c r="F354" s="5" t="inlineStr">
        <is>
          <t xml:space="preserve">Quality</t>
        </is>
      </c>
    </row>
    <row r="355">
      <c r="A355" s="5" t="inlineStr">
        <is>
          <t xml:space="preserve">ATM</t>
        </is>
      </c>
      <c r="B355" s="49" t="n">
        <v>46218</v>
      </c>
      <c r="C355" s="5" t="inlineStr">
        <is>
          <t xml:space="preserve">Thoracic</t>
        </is>
      </c>
      <c r="D355" s="5" t="inlineStr">
        <is>
          <t xml:space="preserve">9972 · Laceration/Cut</t>
        </is>
      </c>
      <c r="E355" s="6" t="n">
        <v>2</v>
      </c>
      <c r="F355" s="5" t="inlineStr">
        <is>
          <t xml:space="preserve">Quality</t>
        </is>
      </c>
    </row>
    <row r="356">
      <c r="A356" s="5" t="inlineStr">
        <is>
          <t xml:space="preserve">ATM</t>
        </is>
      </c>
      <c r="B356" s="49" t="n">
        <v>46219</v>
      </c>
      <c r="C356" s="5" t="inlineStr">
        <is>
          <t xml:space="preserve">Thoracic</t>
        </is>
      </c>
      <c r="D356" s="5" t="inlineStr">
        <is>
          <t xml:space="preserve">9972 · Laceration/Cut</t>
        </is>
      </c>
      <c r="E356" s="6" t="n">
        <v>3</v>
      </c>
      <c r="F356" s="5" t="inlineStr">
        <is>
          <t xml:space="preserve">Quality</t>
        </is>
      </c>
    </row>
    <row r="357">
      <c r="A357" s="5" t="inlineStr">
        <is>
          <t xml:space="preserve">ATM</t>
        </is>
      </c>
      <c r="B357" s="49" t="n">
        <v>46219</v>
      </c>
      <c r="C357" s="5" t="inlineStr">
        <is>
          <t xml:space="preserve">Pelvic</t>
        </is>
      </c>
      <c r="D357" s="5" t="inlineStr">
        <is>
          <t xml:space="preserve">9972 · Laceration/Cut</t>
        </is>
      </c>
      <c r="E357" s="6" t="n">
        <v>2</v>
      </c>
      <c r="F357" s="5" t="inlineStr">
        <is>
          <t xml:space="preserve">Quality</t>
        </is>
      </c>
    </row>
    <row r="358">
      <c r="A358" s="5" t="inlineStr">
        <is>
          <t xml:space="preserve">ATM</t>
        </is>
      </c>
      <c r="B358" s="49" t="n">
        <v>46219</v>
      </c>
      <c r="C358" s="5" t="inlineStr">
        <is>
          <t xml:space="preserve">Pelvic</t>
        </is>
      </c>
      <c r="D358" s="5" t="inlineStr">
        <is>
          <t xml:space="preserve">9976 · Spoilage</t>
        </is>
      </c>
      <c r="E358" s="6" t="n">
        <v>1</v>
      </c>
      <c r="F358" s="5" t="inlineStr">
        <is>
          <t xml:space="preserve">Quality</t>
        </is>
      </c>
    </row>
    <row r="359">
      <c r="A359" s="5" t="inlineStr">
        <is>
          <t xml:space="preserve">ATM</t>
        </is>
      </c>
      <c r="B359" s="49" t="n">
        <v>46219</v>
      </c>
      <c r="C359" s="5" t="inlineStr">
        <is>
          <t xml:space="preserve">Pelvic</t>
        </is>
      </c>
      <c r="D359" s="5" t="inlineStr">
        <is>
          <t xml:space="preserve">9987 · Blood Clots</t>
        </is>
      </c>
      <c r="E359" s="6" t="n">
        <v>6</v>
      </c>
      <c r="F359" s="5" t="inlineStr">
        <is>
          <t xml:space="preserve">Quality</t>
        </is>
      </c>
    </row>
    <row r="360">
      <c r="A360" s="5" t="inlineStr">
        <is>
          <t xml:space="preserve">ATM</t>
        </is>
      </c>
      <c r="B360" s="49" t="n">
        <v>46219</v>
      </c>
      <c r="C360" s="5" t="inlineStr">
        <is>
          <t xml:space="preserve">Pelvic</t>
        </is>
      </c>
      <c r="D360" s="5" t="inlineStr">
        <is>
          <t xml:space="preserve">9988 · Exposed Urethra</t>
        </is>
      </c>
      <c r="E360" s="6" t="n">
        <v>1</v>
      </c>
      <c r="F360" s="5" t="inlineStr">
        <is>
          <t xml:space="preserve">Quality</t>
        </is>
      </c>
    </row>
    <row r="361">
      <c r="A361" s="5" t="inlineStr">
        <is>
          <t xml:space="preserve">ATM</t>
        </is>
      </c>
      <c r="B361" s="49" t="n">
        <v>46220</v>
      </c>
      <c r="C361" s="5" t="inlineStr">
        <is>
          <t xml:space="preserve">Thoracic</t>
        </is>
      </c>
      <c r="D361" s="5" t="inlineStr">
        <is>
          <t xml:space="preserve">9972 · Laceration/Cut</t>
        </is>
      </c>
      <c r="E361" s="6" t="n">
        <v>8</v>
      </c>
      <c r="F361" s="5" t="inlineStr">
        <is>
          <t xml:space="preserve">Quality</t>
        </is>
      </c>
    </row>
    <row r="362">
      <c r="A362" s="5" t="inlineStr">
        <is>
          <t xml:space="preserve">ATM</t>
        </is>
      </c>
      <c r="B362" s="49" t="n">
        <v>46224</v>
      </c>
      <c r="C362" s="5" t="inlineStr">
        <is>
          <t xml:space="preserve">Thoracic</t>
        </is>
      </c>
      <c r="D362" s="5" t="inlineStr">
        <is>
          <t xml:space="preserve">9972 · Laceration/Cut</t>
        </is>
      </c>
      <c r="E362" s="6" t="n">
        <v>11</v>
      </c>
      <c r="F362" s="5" t="inlineStr">
        <is>
          <t xml:space="preserve">Quality</t>
        </is>
      </c>
    </row>
    <row r="363">
      <c r="A363" s="5" t="inlineStr">
        <is>
          <t xml:space="preserve">ATM</t>
        </is>
      </c>
      <c r="B363" s="49" t="n">
        <v>46226</v>
      </c>
      <c r="C363" s="5" t="inlineStr">
        <is>
          <t xml:space="preserve">Thoracic</t>
        </is>
      </c>
      <c r="D363" s="5" t="inlineStr">
        <is>
          <t xml:space="preserve">9972 · Laceration/Cut</t>
        </is>
      </c>
      <c r="E363" s="6" t="n">
        <v>4</v>
      </c>
      <c r="F363" s="5" t="inlineStr">
        <is>
          <t xml:space="preserve">Quality</t>
        </is>
      </c>
    </row>
    <row r="364">
      <c r="A364" s="5" t="inlineStr">
        <is>
          <t xml:space="preserve">ATM</t>
        </is>
      </c>
      <c r="B364" s="49" t="n">
        <v>46226</v>
      </c>
      <c r="C364" s="5" t="inlineStr">
        <is>
          <t xml:space="preserve">Pelvic</t>
        </is>
      </c>
      <c r="D364" s="5" t="inlineStr">
        <is>
          <t xml:space="preserve">9972 · Laceration/Cut</t>
        </is>
      </c>
      <c r="E364" s="6" t="n">
        <v>7</v>
      </c>
      <c r="F364" s="5" t="inlineStr">
        <is>
          <t xml:space="preserve">Quality</t>
        </is>
      </c>
    </row>
    <row r="365">
      <c r="A365" s="5" t="inlineStr">
        <is>
          <t xml:space="preserve">ATM</t>
        </is>
      </c>
      <c r="B365" s="49" t="n">
        <v>46226</v>
      </c>
      <c r="C365" s="5" t="inlineStr">
        <is>
          <t xml:space="preserve">Pelvic</t>
        </is>
      </c>
      <c r="D365" s="5" t="inlineStr">
        <is>
          <t xml:space="preserve">9986 · Bladder Length</t>
        </is>
      </c>
      <c r="E365" s="6" t="n">
        <v>1</v>
      </c>
      <c r="F365" s="5" t="inlineStr">
        <is>
          <t xml:space="preserve">Quality</t>
        </is>
      </c>
    </row>
    <row r="366">
      <c r="A366" s="5" t="inlineStr">
        <is>
          <t xml:space="preserve">ATM</t>
        </is>
      </c>
      <c r="B366" s="49" t="n">
        <v>46226</v>
      </c>
      <c r="C366" s="5" t="inlineStr">
        <is>
          <t xml:space="preserve">Pelvic</t>
        </is>
      </c>
      <c r="D366" s="5" t="inlineStr">
        <is>
          <t xml:space="preserve">9987 · Blood Clots</t>
        </is>
      </c>
      <c r="E366" s="6" t="n">
        <v>3</v>
      </c>
      <c r="F366" s="5" t="inlineStr">
        <is>
          <t xml:space="preserve">Quality</t>
        </is>
      </c>
    </row>
    <row r="367">
      <c r="A367" s="5" t="inlineStr">
        <is>
          <t xml:space="preserve">ATM</t>
        </is>
      </c>
      <c r="B367" s="49" t="n">
        <v>46230</v>
      </c>
      <c r="C367" s="5" t="inlineStr">
        <is>
          <t xml:space="preserve">Thoracic</t>
        </is>
      </c>
      <c r="D367" s="5" t="inlineStr">
        <is>
          <t xml:space="preserve">9972 · Laceration/Cut</t>
        </is>
      </c>
      <c r="E367" s="6" t="n">
        <v>9</v>
      </c>
      <c r="F367" s="5" t="inlineStr">
        <is>
          <t xml:space="preserve">Quality</t>
        </is>
      </c>
    </row>
    <row r="368">
      <c r="A368" s="5" t="inlineStr">
        <is>
          <t xml:space="preserve">ATM</t>
        </is>
      </c>
      <c r="B368" s="49" t="n">
        <v>46231</v>
      </c>
      <c r="C368" s="5" t="inlineStr">
        <is>
          <t xml:space="preserve">Thoracic</t>
        </is>
      </c>
      <c r="D368" s="5" t="inlineStr">
        <is>
          <t xml:space="preserve">9972 · Laceration/Cut</t>
        </is>
      </c>
      <c r="E368" s="6" t="n">
        <v>2</v>
      </c>
      <c r="F368" s="5" t="inlineStr">
        <is>
          <t xml:space="preserve">Quality</t>
        </is>
      </c>
    </row>
    <row r="369">
      <c r="A369" s="5" t="inlineStr">
        <is>
          <t xml:space="preserve">ATM</t>
        </is>
      </c>
      <c r="B369" s="49" t="n">
        <v>46232</v>
      </c>
      <c r="C369" s="5" t="inlineStr">
        <is>
          <t xml:space="preserve">Thoracic</t>
        </is>
      </c>
      <c r="D369" s="5" t="inlineStr">
        <is>
          <t xml:space="preserve">9972 · Laceration/Cut</t>
        </is>
      </c>
      <c r="E369" s="6" t="n">
        <v>2</v>
      </c>
      <c r="F369" s="5" t="inlineStr">
        <is>
          <t xml:space="preserve">Quality</t>
        </is>
      </c>
    </row>
    <row r="370">
      <c r="A370" s="5" t="inlineStr">
        <is>
          <t xml:space="preserve">ATM</t>
        </is>
      </c>
      <c r="B370" s="49" t="n">
        <v>46233</v>
      </c>
      <c r="C370" s="5" t="inlineStr">
        <is>
          <t xml:space="preserve">Pelvic</t>
        </is>
      </c>
      <c r="D370" s="5" t="inlineStr">
        <is>
          <t xml:space="preserve">9972 · Laceration/Cut</t>
        </is>
      </c>
      <c r="E370" s="6" t="n">
        <v>1</v>
      </c>
      <c r="F370" s="5" t="inlineStr">
        <is>
          <t xml:space="preserve">Quality</t>
        </is>
      </c>
    </row>
    <row r="371">
      <c r="A371" s="5" t="inlineStr">
        <is>
          <t xml:space="preserve">ATM</t>
        </is>
      </c>
      <c r="B371" s="49" t="n">
        <v>46233</v>
      </c>
      <c r="C371" s="5" t="inlineStr">
        <is>
          <t xml:space="preserve">Pelvic</t>
        </is>
      </c>
      <c r="D371" s="5" t="inlineStr">
        <is>
          <t xml:space="preserve">9988 · Exposed Urethra</t>
        </is>
      </c>
      <c r="E371" s="6" t="n">
        <v>3</v>
      </c>
      <c r="F371" s="5" t="inlineStr">
        <is>
          <t xml:space="preserve">Quality</t>
        </is>
      </c>
    </row>
    <row r="372">
      <c r="A372" s="5" t="inlineStr">
        <is>
          <t xml:space="preserve">ATM</t>
        </is>
      </c>
      <c r="B372" s="49" t="n">
        <v>46233</v>
      </c>
      <c r="C372" s="5" t="inlineStr">
        <is>
          <t xml:space="preserve">Pelvic</t>
        </is>
      </c>
      <c r="D372" s="5" t="inlineStr">
        <is>
          <t xml:space="preserve">9991 · R&amp;D/Testing</t>
        </is>
      </c>
      <c r="E372" s="6" t="n">
        <v>10</v>
      </c>
      <c r="F372" s="5" t="inlineStr">
        <is>
          <t xml:space="preserve">Planned</t>
        </is>
      </c>
    </row>
    <row r="373">
      <c r="A373" s="5" t="inlineStr">
        <is>
          <t xml:space="preserve">ATM</t>
        </is>
      </c>
      <c r="B373" s="49" t="n">
        <v>46240</v>
      </c>
      <c r="C373" s="5" t="inlineStr">
        <is>
          <t xml:space="preserve">Thoracic</t>
        </is>
      </c>
      <c r="D373" s="5" t="inlineStr">
        <is>
          <t xml:space="preserve">9972 · Laceration/Cut</t>
        </is>
      </c>
      <c r="E373" s="6" t="n">
        <v>4</v>
      </c>
      <c r="F373" s="5" t="inlineStr">
        <is>
          <t xml:space="preserve">Quality</t>
        </is>
      </c>
    </row>
    <row r="374">
      <c r="A374" s="5" t="inlineStr">
        <is>
          <t xml:space="preserve">ATM</t>
        </is>
      </c>
      <c r="B374" s="49" t="n">
        <v>46240</v>
      </c>
      <c r="C374" s="5" t="inlineStr">
        <is>
          <t xml:space="preserve">Pelvic</t>
        </is>
      </c>
      <c r="D374" s="5" t="inlineStr">
        <is>
          <t xml:space="preserve">9972 · Laceration/Cut</t>
        </is>
      </c>
      <c r="E374" s="6" t="n">
        <v>4</v>
      </c>
      <c r="F374" s="5" t="inlineStr">
        <is>
          <t xml:space="preserve">Quality</t>
        </is>
      </c>
    </row>
    <row r="375">
      <c r="A375" s="5" t="inlineStr">
        <is>
          <t xml:space="preserve">ATM</t>
        </is>
      </c>
      <c r="B375" s="49" t="n">
        <v>46240</v>
      </c>
      <c r="C375" s="5" t="inlineStr">
        <is>
          <t xml:space="preserve">Pelvic</t>
        </is>
      </c>
      <c r="D375" s="5" t="inlineStr">
        <is>
          <t xml:space="preserve">9994 · Line Clearance</t>
        </is>
      </c>
      <c r="E375" s="6" t="n">
        <v>6</v>
      </c>
      <c r="F375" s="5" t="inlineStr">
        <is>
          <t xml:space="preserve">Planned</t>
        </is>
      </c>
    </row>
    <row r="376">
      <c r="A376" s="5" t="inlineStr">
        <is>
          <t xml:space="preserve">ATM</t>
        </is>
      </c>
      <c r="B376" s="49" t="n">
        <v>46241</v>
      </c>
      <c r="C376" s="5" t="inlineStr">
        <is>
          <t xml:space="preserve">Thoracic</t>
        </is>
      </c>
      <c r="D376" s="5" t="inlineStr">
        <is>
          <t xml:space="preserve">9972 · Laceration/Cut</t>
        </is>
      </c>
      <c r="E376" s="6" t="n">
        <v>9</v>
      </c>
      <c r="F376" s="5" t="inlineStr">
        <is>
          <t xml:space="preserve">Quality</t>
        </is>
      </c>
    </row>
    <row r="377">
      <c r="A377" s="5" t="inlineStr">
        <is>
          <t xml:space="preserve">ATM</t>
        </is>
      </c>
      <c r="B377" s="49" t="n">
        <v>46244</v>
      </c>
      <c r="C377" s="5" t="inlineStr">
        <is>
          <t xml:space="preserve">Thoracic</t>
        </is>
      </c>
      <c r="D377" s="5" t="inlineStr">
        <is>
          <t xml:space="preserve">9972 · Laceration/Cut</t>
        </is>
      </c>
      <c r="E377" s="6" t="n">
        <v>11</v>
      </c>
      <c r="F377" s="5" t="inlineStr">
        <is>
          <t xml:space="preserve">Quality</t>
        </is>
      </c>
    </row>
    <row r="378">
      <c r="A378" s="5" t="inlineStr">
        <is>
          <t xml:space="preserve">ATM</t>
        </is>
      </c>
      <c r="B378" s="49" t="n">
        <v>46245</v>
      </c>
      <c r="C378" s="5" t="inlineStr">
        <is>
          <t xml:space="preserve">Thoracic</t>
        </is>
      </c>
      <c r="D378" s="5" t="inlineStr">
        <is>
          <t xml:space="preserve">9972 · Laceration/Cut</t>
        </is>
      </c>
      <c r="E378" s="6" t="n">
        <v>5</v>
      </c>
      <c r="F378" s="5" t="inlineStr">
        <is>
          <t xml:space="preserve">Quality</t>
        </is>
      </c>
    </row>
    <row r="379">
      <c r="A379" s="5" t="inlineStr">
        <is>
          <t xml:space="preserve">ATM</t>
        </is>
      </c>
      <c r="B379" s="49" t="n">
        <v>46246</v>
      </c>
      <c r="C379" s="5" t="inlineStr">
        <is>
          <t xml:space="preserve">Thoracic</t>
        </is>
      </c>
      <c r="D379" s="5" t="inlineStr">
        <is>
          <t xml:space="preserve">9972 · Laceration/Cut</t>
        </is>
      </c>
      <c r="E379" s="6" t="n">
        <v>2</v>
      </c>
      <c r="F379" s="5" t="inlineStr">
        <is>
          <t xml:space="preserve">Quality</t>
        </is>
      </c>
    </row>
    <row r="380">
      <c r="A380" s="5" t="inlineStr">
        <is>
          <t xml:space="preserve">ATM</t>
        </is>
      </c>
      <c r="B380" s="49" t="n">
        <v>46246</v>
      </c>
      <c r="C380" s="5" t="inlineStr">
        <is>
          <t xml:space="preserve">Pelvic</t>
        </is>
      </c>
      <c r="D380" s="5" t="inlineStr">
        <is>
          <t xml:space="preserve">9972 · Laceration/Cut</t>
        </is>
      </c>
      <c r="E380" s="6" t="n">
        <v>2</v>
      </c>
      <c r="F380" s="5" t="inlineStr">
        <is>
          <t xml:space="preserve">Quality</t>
        </is>
      </c>
    </row>
    <row r="381">
      <c r="A381" s="5" t="inlineStr">
        <is>
          <t xml:space="preserve">ATM</t>
        </is>
      </c>
      <c r="B381" s="49" t="n">
        <v>46246</v>
      </c>
      <c r="C381" s="5" t="inlineStr">
        <is>
          <t xml:space="preserve">Pelvic</t>
        </is>
      </c>
      <c r="D381" s="5" t="inlineStr">
        <is>
          <t xml:space="preserve">9988 · Exposed Urethra</t>
        </is>
      </c>
      <c r="E381" s="6" t="n">
        <v>3</v>
      </c>
      <c r="F381" s="5" t="inlineStr">
        <is>
          <t xml:space="preserve">Quality</t>
        </is>
      </c>
    </row>
    <row r="382">
      <c r="A382" s="5" t="inlineStr">
        <is>
          <t xml:space="preserve">ATM</t>
        </is>
      </c>
      <c r="B382" s="49" t="n">
        <v>46248</v>
      </c>
      <c r="C382" s="5" t="inlineStr">
        <is>
          <t xml:space="preserve">Thoracic</t>
        </is>
      </c>
      <c r="D382" s="5" t="inlineStr">
        <is>
          <t xml:space="preserve">9972 · Laceration/Cut</t>
        </is>
      </c>
      <c r="E382" s="6" t="n">
        <v>4</v>
      </c>
      <c r="F382" s="5" t="inlineStr">
        <is>
          <t xml:space="preserve">Quality</t>
        </is>
      </c>
    </row>
    <row r="383">
      <c r="A383" s="5" t="inlineStr">
        <is>
          <t xml:space="preserve">ATM</t>
        </is>
      </c>
      <c r="B383" s="49" t="n">
        <v>46251</v>
      </c>
      <c r="C383" s="5" t="inlineStr">
        <is>
          <t xml:space="preserve">Thoracic</t>
        </is>
      </c>
      <c r="D383" s="5" t="inlineStr">
        <is>
          <t xml:space="preserve">9972 · Laceration/Cut</t>
        </is>
      </c>
      <c r="E383" s="6" t="n">
        <v>16</v>
      </c>
      <c r="F383" s="5" t="inlineStr">
        <is>
          <t xml:space="preserve">Quality</t>
        </is>
      </c>
    </row>
    <row r="384">
      <c r="A384" s="5" t="inlineStr">
        <is>
          <t xml:space="preserve">ATM</t>
        </is>
      </c>
      <c r="B384" s="49" t="n">
        <v>46252</v>
      </c>
      <c r="C384" s="5" t="inlineStr">
        <is>
          <t xml:space="preserve">Thoracic</t>
        </is>
      </c>
      <c r="D384" s="5" t="inlineStr">
        <is>
          <t xml:space="preserve">9972 · Laceration/Cut</t>
        </is>
      </c>
      <c r="E384" s="6" t="n">
        <v>12</v>
      </c>
      <c r="F384" s="5" t="inlineStr">
        <is>
          <t xml:space="preserve">Quality</t>
        </is>
      </c>
    </row>
    <row r="385">
      <c r="A385" s="5" t="inlineStr">
        <is>
          <t xml:space="preserve">ATM</t>
        </is>
      </c>
      <c r="B385" s="49" t="n">
        <v>46252</v>
      </c>
      <c r="C385" s="5" t="inlineStr">
        <is>
          <t xml:space="preserve">Pelvic</t>
        </is>
      </c>
      <c r="D385" s="5" t="inlineStr">
        <is>
          <t xml:space="preserve">9972 · Laceration/Cut</t>
        </is>
      </c>
      <c r="E385" s="6" t="n">
        <v>6</v>
      </c>
      <c r="F385" s="5" t="inlineStr">
        <is>
          <t xml:space="preserve">Quality</t>
        </is>
      </c>
    </row>
    <row r="386">
      <c r="A386" s="5" t="inlineStr">
        <is>
          <t xml:space="preserve">ATM</t>
        </is>
      </c>
      <c r="B386" s="49" t="n">
        <v>46252</v>
      </c>
      <c r="C386" s="5" t="inlineStr">
        <is>
          <t xml:space="preserve">Pelvic</t>
        </is>
      </c>
      <c r="D386" s="5" t="inlineStr">
        <is>
          <t xml:space="preserve">9986 · Bladder Length</t>
        </is>
      </c>
      <c r="E386" s="6" t="n">
        <v>3</v>
      </c>
      <c r="F386" s="5" t="inlineStr">
        <is>
          <t xml:space="preserve">Quality</t>
        </is>
      </c>
    </row>
    <row r="387">
      <c r="A387" s="5" t="inlineStr">
        <is>
          <t xml:space="preserve">ATM</t>
        </is>
      </c>
      <c r="B387" s="49" t="n">
        <v>46252</v>
      </c>
      <c r="C387" s="5" t="inlineStr">
        <is>
          <t xml:space="preserve">Pelvic</t>
        </is>
      </c>
      <c r="D387" s="5" t="inlineStr">
        <is>
          <t xml:space="preserve">9988 · Exposed Urethra</t>
        </is>
      </c>
      <c r="E387" s="6" t="n">
        <v>2</v>
      </c>
      <c r="F387" s="5" t="inlineStr">
        <is>
          <t xml:space="preserve">Quality</t>
        </is>
      </c>
    </row>
    <row r="388">
      <c r="A388" s="5" t="inlineStr">
        <is>
          <t xml:space="preserve">ATM</t>
        </is>
      </c>
      <c r="B388" s="49" t="n">
        <v>46253</v>
      </c>
      <c r="C388" s="5" t="inlineStr">
        <is>
          <t xml:space="preserve">Thoracic</t>
        </is>
      </c>
      <c r="D388" s="5" t="inlineStr">
        <is>
          <t xml:space="preserve">9972 · Laceration/Cut</t>
        </is>
      </c>
      <c r="E388" s="6" t="n">
        <v>4</v>
      </c>
      <c r="F388" s="5" t="inlineStr">
        <is>
          <t xml:space="preserve">Quality</t>
        </is>
      </c>
    </row>
    <row r="389">
      <c r="A389" s="5" t="inlineStr">
        <is>
          <t xml:space="preserve">ATM</t>
        </is>
      </c>
      <c r="B389" s="49" t="n">
        <v>46253</v>
      </c>
      <c r="C389" s="5" t="inlineStr">
        <is>
          <t xml:space="preserve">Pelvic</t>
        </is>
      </c>
      <c r="D389" s="5" t="inlineStr">
        <is>
          <t xml:space="preserve">9972 · Laceration/Cut</t>
        </is>
      </c>
      <c r="E389" s="6" t="n">
        <v>1</v>
      </c>
      <c r="F389" s="5" t="inlineStr">
        <is>
          <t xml:space="preserve">Quality</t>
        </is>
      </c>
    </row>
    <row r="390">
      <c r="A390" s="5" t="inlineStr">
        <is>
          <t xml:space="preserve">ATM</t>
        </is>
      </c>
      <c r="B390" s="49" t="n">
        <v>46253</v>
      </c>
      <c r="C390" s="5" t="inlineStr">
        <is>
          <t xml:space="preserve">Pelvic</t>
        </is>
      </c>
      <c r="D390" s="5" t="inlineStr">
        <is>
          <t xml:space="preserve">9986 · Bladder Length</t>
        </is>
      </c>
      <c r="E390" s="6" t="n">
        <v>1</v>
      </c>
      <c r="F390" s="5" t="inlineStr">
        <is>
          <t xml:space="preserve">Quality</t>
        </is>
      </c>
    </row>
  </sheetData>
  <pageMargins left="0.5" right="0.5" top="0.6" bottom="0.6"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Slaughterhouse IQC</vt:lpstr>
      <vt:lpstr>Quality Dashboard</vt:lpstr>
      <vt:lpstr>Monthly Breakdown</vt:lpstr>
      <vt:lpstr>Apr 2026</vt:lpstr>
      <vt:lpstr>May 2026</vt:lpstr>
      <vt:lpstr>Jun 2026</vt:lpstr>
      <vt:lpstr>Jul 2026</vt:lpstr>
      <vt:lpstr>Aug 2026</vt:lpstr>
      <vt:lpstr>SmartAssessment</vt:lpstr>
      <vt:lpstr>Defect Atlas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Oscar Penny</dc:creator>
  <dc:description/>
  <cp:lastModifiedBy>Oscar Penny</cp:lastModifiedBy>
  <cp:revision>4</cp:revision>
  <cp:lastPrinted>2026-05-12T17:20:15Z</cp:lastPrinted>
  <dcterms:created xsi:type="dcterms:W3CDTF">2026-05-12T17:19:46Z</dcterms:created>
  <dcterms:modified xsi:type="dcterms:W3CDTF">2026-08-20T15:12:57Z</dcterms:modified>
  <dc:language>en-US</dc:language>
</cp:coreProperties>
</file>