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931E8B63-3557-4F0B-B79B-E2B82F5A1ED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kiRetail Data" sheetId="1" r:id="rId1"/>
    <sheet name="SkiRetail (2002-12) Analysi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T113" i="3"/>
  <c r="S113" i="3"/>
  <c r="T112" i="3"/>
  <c r="S112" i="3"/>
  <c r="T111" i="3"/>
  <c r="S111" i="3"/>
  <c r="T110" i="3"/>
  <c r="S110" i="3"/>
  <c r="T109" i="3"/>
  <c r="S109" i="3"/>
  <c r="T108" i="3"/>
  <c r="S108" i="3"/>
  <c r="T107" i="3"/>
  <c r="S107" i="3"/>
  <c r="T106" i="3"/>
  <c r="S106" i="3"/>
  <c r="T105" i="3"/>
  <c r="S105" i="3"/>
  <c r="T104" i="3"/>
  <c r="S104" i="3"/>
  <c r="T103" i="3"/>
  <c r="S103" i="3"/>
  <c r="T102" i="3"/>
  <c r="S102" i="3"/>
  <c r="N103" i="3"/>
  <c r="N104" i="3"/>
  <c r="N105" i="3"/>
  <c r="N106" i="3"/>
  <c r="N107" i="3"/>
  <c r="N108" i="3"/>
  <c r="N109" i="3"/>
  <c r="N110" i="3"/>
  <c r="N111" i="3"/>
  <c r="N112" i="3"/>
  <c r="N113" i="3"/>
  <c r="N102" i="3"/>
  <c r="D107" i="3"/>
  <c r="D106" i="3"/>
  <c r="S35" i="3" l="1"/>
  <c r="S36" i="3"/>
  <c r="S37" i="3"/>
  <c r="S38" i="3"/>
  <c r="S39" i="3"/>
  <c r="S40" i="3"/>
  <c r="S34" i="3"/>
  <c r="R35" i="3"/>
  <c r="R36" i="3"/>
  <c r="R37" i="3"/>
  <c r="R38" i="3"/>
  <c r="R39" i="3"/>
  <c r="R40" i="3"/>
  <c r="R34" i="3"/>
  <c r="F43" i="3"/>
  <c r="D37" i="3"/>
  <c r="D36" i="3"/>
  <c r="D35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73" i="3"/>
  <c r="N64" i="3"/>
  <c r="F101" i="3"/>
  <c r="F124" i="3"/>
  <c r="I124" i="3" s="1"/>
  <c r="F125" i="3"/>
  <c r="F126" i="3"/>
  <c r="F127" i="3"/>
  <c r="F128" i="3"/>
  <c r="F129" i="3"/>
  <c r="I129" i="3" s="1"/>
  <c r="F123" i="3"/>
  <c r="I123" i="3" s="1"/>
  <c r="F114" i="3"/>
  <c r="G114" i="3" s="1"/>
  <c r="F115" i="3"/>
  <c r="J115" i="3" s="1"/>
  <c r="F116" i="3"/>
  <c r="G116" i="3" s="1"/>
  <c r="F117" i="3"/>
  <c r="J117" i="3" s="1"/>
  <c r="F118" i="3"/>
  <c r="J118" i="3" s="1"/>
  <c r="F119" i="3"/>
  <c r="H119" i="3" s="1"/>
  <c r="F113" i="3"/>
  <c r="J113" i="3" s="1"/>
  <c r="F104" i="3"/>
  <c r="F87" i="3"/>
  <c r="I87" i="3" s="1"/>
  <c r="F88" i="3"/>
  <c r="I88" i="3" s="1"/>
  <c r="F89" i="3"/>
  <c r="I89" i="3" s="1"/>
  <c r="F90" i="3"/>
  <c r="I90" i="3" s="1"/>
  <c r="F91" i="3"/>
  <c r="I91" i="3" s="1"/>
  <c r="F92" i="3"/>
  <c r="I92" i="3" s="1"/>
  <c r="F86" i="3"/>
  <c r="G86" i="3" s="1"/>
  <c r="F77" i="3"/>
  <c r="J87" i="3" s="1"/>
  <c r="F78" i="3"/>
  <c r="J88" i="3" s="1"/>
  <c r="F79" i="3"/>
  <c r="J89" i="3" s="1"/>
  <c r="F80" i="3"/>
  <c r="J90" i="3" s="1"/>
  <c r="F81" i="3"/>
  <c r="J91" i="3" s="1"/>
  <c r="F82" i="3"/>
  <c r="J92" i="3" s="1"/>
  <c r="F76" i="3"/>
  <c r="H76" i="3" s="1"/>
  <c r="D70" i="3"/>
  <c r="D69" i="3"/>
  <c r="D15" i="3"/>
  <c r="F24" i="3" s="1"/>
  <c r="H24" i="3" s="1"/>
  <c r="D13" i="3"/>
  <c r="D12" i="3"/>
  <c r="C25" i="3"/>
  <c r="D24" i="3" s="1"/>
  <c r="E20" i="1"/>
  <c r="E21" i="1"/>
  <c r="E22" i="1" s="1"/>
  <c r="E23" i="1" s="1"/>
  <c r="E24" i="1" s="1"/>
  <c r="E19" i="1"/>
  <c r="E18" i="1"/>
  <c r="D19" i="1"/>
  <c r="D20" i="1"/>
  <c r="D21" i="1"/>
  <c r="D22" i="1"/>
  <c r="D23" i="1"/>
  <c r="D24" i="1"/>
  <c r="D18" i="1"/>
  <c r="C25" i="1"/>
  <c r="D71" i="3" l="1"/>
  <c r="H115" i="3"/>
  <c r="G129" i="3"/>
  <c r="G117" i="3"/>
  <c r="G115" i="3"/>
  <c r="J116" i="3"/>
  <c r="G126" i="3"/>
  <c r="H118" i="3"/>
  <c r="G125" i="3"/>
  <c r="G123" i="3"/>
  <c r="H123" i="3"/>
  <c r="G124" i="3"/>
  <c r="G128" i="3"/>
  <c r="H127" i="3"/>
  <c r="G127" i="3"/>
  <c r="G119" i="3"/>
  <c r="I119" i="3" s="1"/>
  <c r="H117" i="3"/>
  <c r="H129" i="3"/>
  <c r="G118" i="3"/>
  <c r="H116" i="3"/>
  <c r="J114" i="3"/>
  <c r="H128" i="3"/>
  <c r="I128" i="3"/>
  <c r="G113" i="3"/>
  <c r="I127" i="3"/>
  <c r="H114" i="3"/>
  <c r="I114" i="3" s="1"/>
  <c r="H126" i="3"/>
  <c r="H113" i="3"/>
  <c r="I126" i="3"/>
  <c r="J119" i="3"/>
  <c r="H125" i="3"/>
  <c r="I125" i="3"/>
  <c r="H124" i="3"/>
  <c r="D108" i="3"/>
  <c r="D14" i="3"/>
  <c r="H77" i="3"/>
  <c r="F51" i="3"/>
  <c r="G51" i="3" s="1"/>
  <c r="J79" i="3"/>
  <c r="H82" i="3"/>
  <c r="H81" i="3"/>
  <c r="H78" i="3"/>
  <c r="G76" i="3"/>
  <c r="J86" i="3"/>
  <c r="G90" i="3"/>
  <c r="K90" i="3" s="1"/>
  <c r="H80" i="3"/>
  <c r="I86" i="3"/>
  <c r="H79" i="3"/>
  <c r="J77" i="3"/>
  <c r="J78" i="3"/>
  <c r="J81" i="3"/>
  <c r="J82" i="3"/>
  <c r="F42" i="3"/>
  <c r="J42" i="3" s="1"/>
  <c r="G79" i="3"/>
  <c r="G78" i="3"/>
  <c r="G77" i="3"/>
  <c r="G81" i="3"/>
  <c r="J43" i="3"/>
  <c r="G43" i="3"/>
  <c r="H43" i="3"/>
  <c r="F52" i="3"/>
  <c r="F41" i="3"/>
  <c r="F53" i="3"/>
  <c r="F47" i="3"/>
  <c r="F54" i="3"/>
  <c r="F46" i="3"/>
  <c r="F55" i="3"/>
  <c r="F45" i="3"/>
  <c r="F56" i="3"/>
  <c r="F44" i="3"/>
  <c r="F57" i="3"/>
  <c r="F22" i="3"/>
  <c r="H22" i="3" s="1"/>
  <c r="F23" i="3"/>
  <c r="J23" i="3" s="1"/>
  <c r="F19" i="3"/>
  <c r="G24" i="3"/>
  <c r="I24" i="3" s="1"/>
  <c r="J24" i="3"/>
  <c r="F21" i="3"/>
  <c r="H21" i="3" s="1"/>
  <c r="F20" i="3"/>
  <c r="H20" i="3" s="1"/>
  <c r="F18" i="3"/>
  <c r="H18" i="3" s="1"/>
  <c r="D18" i="3"/>
  <c r="E18" i="3" s="1"/>
  <c r="D19" i="3"/>
  <c r="D20" i="3"/>
  <c r="D21" i="3"/>
  <c r="D22" i="3"/>
  <c r="D23" i="3"/>
  <c r="K124" i="3" l="1"/>
  <c r="I115" i="3"/>
  <c r="K115" i="3" s="1"/>
  <c r="K127" i="3"/>
  <c r="K129" i="3"/>
  <c r="K126" i="3"/>
  <c r="I118" i="3"/>
  <c r="K118" i="3" s="1"/>
  <c r="K123" i="3"/>
  <c r="K125" i="3"/>
  <c r="K128" i="3"/>
  <c r="J51" i="3"/>
  <c r="K51" i="3" s="1"/>
  <c r="K114" i="3"/>
  <c r="I113" i="3"/>
  <c r="K113" i="3" s="1"/>
  <c r="I117" i="3"/>
  <c r="K117" i="3" s="1"/>
  <c r="K119" i="3"/>
  <c r="G42" i="3"/>
  <c r="H42" i="3"/>
  <c r="K24" i="3"/>
  <c r="I116" i="3"/>
  <c r="K116" i="3" s="1"/>
  <c r="I77" i="3"/>
  <c r="K77" i="3" s="1"/>
  <c r="I81" i="3"/>
  <c r="K81" i="3" s="1"/>
  <c r="K86" i="3"/>
  <c r="I79" i="3"/>
  <c r="K79" i="3" s="1"/>
  <c r="J76" i="3"/>
  <c r="G87" i="3"/>
  <c r="K87" i="3" s="1"/>
  <c r="G91" i="3"/>
  <c r="K91" i="3" s="1"/>
  <c r="G89" i="3"/>
  <c r="K89" i="3" s="1"/>
  <c r="G80" i="3"/>
  <c r="J80" i="3"/>
  <c r="G92" i="3"/>
  <c r="K92" i="3" s="1"/>
  <c r="G82" i="3"/>
  <c r="I82" i="3" s="1"/>
  <c r="K82" i="3" s="1"/>
  <c r="G88" i="3"/>
  <c r="K88" i="3" s="1"/>
  <c r="I78" i="3"/>
  <c r="K78" i="3" s="1"/>
  <c r="J53" i="3"/>
  <c r="G53" i="3"/>
  <c r="G57" i="3"/>
  <c r="J57" i="3"/>
  <c r="J44" i="3"/>
  <c r="G44" i="3"/>
  <c r="H44" i="3"/>
  <c r="J52" i="3"/>
  <c r="G52" i="3"/>
  <c r="J47" i="3"/>
  <c r="G47" i="3"/>
  <c r="H47" i="3"/>
  <c r="H41" i="3"/>
  <c r="J41" i="3"/>
  <c r="G41" i="3"/>
  <c r="J56" i="3"/>
  <c r="G56" i="3"/>
  <c r="J45" i="3"/>
  <c r="G45" i="3"/>
  <c r="H45" i="3"/>
  <c r="J54" i="3"/>
  <c r="G54" i="3"/>
  <c r="J55" i="3"/>
  <c r="G55" i="3"/>
  <c r="J46" i="3"/>
  <c r="G46" i="3"/>
  <c r="H46" i="3"/>
  <c r="I43" i="3"/>
  <c r="K43" i="3" s="1"/>
  <c r="J22" i="3"/>
  <c r="G22" i="3"/>
  <c r="I22" i="3" s="1"/>
  <c r="G19" i="3"/>
  <c r="H19" i="3"/>
  <c r="G23" i="3"/>
  <c r="H23" i="3"/>
  <c r="J19" i="3"/>
  <c r="J21" i="3"/>
  <c r="G21" i="3"/>
  <c r="I21" i="3" s="1"/>
  <c r="G20" i="3"/>
  <c r="I20" i="3" s="1"/>
  <c r="J20" i="3"/>
  <c r="G18" i="3"/>
  <c r="I18" i="3" s="1"/>
  <c r="J18" i="3"/>
  <c r="E19" i="3"/>
  <c r="E20" i="3" s="1"/>
  <c r="E21" i="3" s="1"/>
  <c r="E22" i="3" s="1"/>
  <c r="E23" i="3" s="1"/>
  <c r="E24" i="3" s="1"/>
  <c r="K54" i="3" l="1"/>
  <c r="K55" i="3"/>
  <c r="I41" i="3"/>
  <c r="K41" i="3" s="1"/>
  <c r="I42" i="3"/>
  <c r="K42" i="3" s="1"/>
  <c r="I47" i="3"/>
  <c r="K47" i="3" s="1"/>
  <c r="K130" i="3"/>
  <c r="K22" i="3"/>
  <c r="K120" i="3"/>
  <c r="I46" i="3"/>
  <c r="K46" i="3" s="1"/>
  <c r="K57" i="3"/>
  <c r="K52" i="3"/>
  <c r="K56" i="3"/>
  <c r="I80" i="3"/>
  <c r="K80" i="3" s="1"/>
  <c r="I76" i="3"/>
  <c r="K76" i="3" s="1"/>
  <c r="I23" i="3"/>
  <c r="K23" i="3" s="1"/>
  <c r="I45" i="3"/>
  <c r="K45" i="3" s="1"/>
  <c r="I44" i="3"/>
  <c r="K44" i="3" s="1"/>
  <c r="K53" i="3"/>
  <c r="K20" i="3"/>
  <c r="K18" i="3"/>
  <c r="I19" i="3"/>
  <c r="K19" i="3" s="1"/>
  <c r="K21" i="3"/>
  <c r="K58" i="3" l="1"/>
  <c r="K48" i="3"/>
  <c r="H131" i="3"/>
  <c r="L130" i="3" s="1"/>
  <c r="K25" i="3"/>
  <c r="K83" i="3"/>
  <c r="K93" i="3"/>
  <c r="L120" i="3" l="1"/>
  <c r="H94" i="3"/>
  <c r="H59" i="3"/>
</calcChain>
</file>

<file path=xl/sharedStrings.xml><?xml version="1.0" encoding="utf-8"?>
<sst xmlns="http://schemas.openxmlformats.org/spreadsheetml/2006/main" count="171" uniqueCount="56">
  <si>
    <t>Selling Price</t>
  </si>
  <si>
    <t>Purchase Price</t>
  </si>
  <si>
    <t>Variable Cost</t>
  </si>
  <si>
    <t>Salvage Value</t>
  </si>
  <si>
    <t>Fixed Cost</t>
  </si>
  <si>
    <t>Demand</t>
  </si>
  <si>
    <t>Frequency</t>
  </si>
  <si>
    <t>SkiRetail ( The Retailer)</t>
  </si>
  <si>
    <t>Skiekz (The Manufacturer)</t>
  </si>
  <si>
    <t>TOTAL</t>
  </si>
  <si>
    <t>Year</t>
  </si>
  <si>
    <t>DATA: SkiRetail Case (Year 2002-2012)</t>
  </si>
  <si>
    <t>P</t>
  </si>
  <si>
    <t>CP</t>
  </si>
  <si>
    <t>R1</t>
  </si>
  <si>
    <t>Q</t>
  </si>
  <si>
    <t>R2</t>
  </si>
  <si>
    <t>TR</t>
  </si>
  <si>
    <t>Cost</t>
  </si>
  <si>
    <t>Profit</t>
  </si>
  <si>
    <t>TOTAL SUPPLY CHAIN PROFIT</t>
  </si>
  <si>
    <t>Firm's Shortage Cost</t>
  </si>
  <si>
    <t>Firm's Excess Cost</t>
  </si>
  <si>
    <t>Firm's Service Level</t>
  </si>
  <si>
    <t>Firm's Optimal Quantity</t>
  </si>
  <si>
    <t>Retailer's Shortage Cost</t>
  </si>
  <si>
    <t>Retailer's Excess Cost</t>
  </si>
  <si>
    <t>Retailer's Service Level</t>
  </si>
  <si>
    <t>Retiailer's Optimal Quantity</t>
  </si>
  <si>
    <t>Manufacturer's</t>
  </si>
  <si>
    <t>Retailer's</t>
  </si>
  <si>
    <t>BB PRICE</t>
  </si>
  <si>
    <t>C1</t>
  </si>
  <si>
    <t>C2</t>
  </si>
  <si>
    <t>SL</t>
  </si>
  <si>
    <t>Rev. Share</t>
  </si>
  <si>
    <t>New Pur. Price</t>
  </si>
  <si>
    <t>This is just a setup for a bb price of 140.</t>
  </si>
  <si>
    <t>This is just a setup. Detail analysis has been left as an exercise.</t>
  </si>
  <si>
    <t xml:space="preserve">Q 5: </t>
  </si>
  <si>
    <t>Use the above tables for detailed anaysis.</t>
  </si>
  <si>
    <t>BB price</t>
  </si>
  <si>
    <t>RP</t>
  </si>
  <si>
    <t>SP</t>
  </si>
  <si>
    <t>TP</t>
  </si>
  <si>
    <t>%RP</t>
  </si>
  <si>
    <t>%SP</t>
  </si>
  <si>
    <t>Order Qty</t>
  </si>
  <si>
    <t>Retailer's P</t>
  </si>
  <si>
    <t>Manuf. P</t>
  </si>
  <si>
    <t>Total P</t>
  </si>
  <si>
    <t>MP %</t>
  </si>
  <si>
    <t>RP%</t>
  </si>
  <si>
    <t>BB Price are evaluated at the breakpoints only.</t>
  </si>
  <si>
    <t>New PP</t>
  </si>
  <si>
    <t>New purchase price are evaluated at the breakpoints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</si>
</sst>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"/>
    <numFmt numFmtId="166" formatCode="0.000%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1" xfId="0" applyFont="1" applyFill="1" applyBorder="1" applyAlignment="1"/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center"/>
    </xf>
    <xf numFmtId="0" fontId="0" fillId="2" borderId="1" xfId="0" applyFont="1" applyFill="1" applyBorder="1"/>
    <xf numFmtId="0" fontId="3" fillId="0" borderId="0" xfId="0" applyFont="1" applyFill="1" applyBorder="1" applyAlignment="1">
      <alignment horizontal="right"/>
    </xf>
    <xf numFmtId="10" fontId="0" fillId="0" borderId="0" xfId="2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Font="1" applyBorder="1"/>
    <xf numFmtId="0" fontId="0" fillId="0" borderId="0" xfId="0" applyFont="1" applyBorder="1"/>
    <xf numFmtId="0" fontId="3" fillId="4" borderId="0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0" fillId="0" borderId="11" xfId="0" applyBorder="1"/>
    <xf numFmtId="0" fontId="0" fillId="0" borderId="8" xfId="0" applyFont="1" applyBorder="1"/>
    <xf numFmtId="0" fontId="0" fillId="2" borderId="0" xfId="0" applyFont="1" applyFill="1" applyBorder="1"/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Alignment="1">
      <alignment horizontal="center"/>
    </xf>
    <xf numFmtId="1" fontId="0" fillId="0" borderId="0" xfId="1" applyNumberFormat="1" applyFont="1" applyFill="1" applyBorder="1" applyAlignment="1">
      <alignment horizontal="right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2" borderId="13" xfId="0" applyFont="1" applyFill="1" applyBorder="1" applyAlignment="1"/>
    <xf numFmtId="0" fontId="0" fillId="2" borderId="13" xfId="0" applyFont="1" applyFill="1" applyBorder="1"/>
    <xf numFmtId="0" fontId="0" fillId="2" borderId="7" xfId="0" applyFont="1" applyFill="1" applyBorder="1"/>
    <xf numFmtId="164" fontId="0" fillId="0" borderId="0" xfId="0" applyNumberFormat="1" applyFont="1" applyBorder="1"/>
    <xf numFmtId="10" fontId="0" fillId="0" borderId="0" xfId="2" applyNumberFormat="1" applyFont="1" applyBorder="1"/>
    <xf numFmtId="0" fontId="3" fillId="4" borderId="7" xfId="0" applyFont="1" applyFill="1" applyBorder="1" applyAlignment="1">
      <alignment horizontal="right"/>
    </xf>
    <xf numFmtId="0" fontId="0" fillId="0" borderId="7" xfId="0" applyFont="1" applyFill="1" applyBorder="1" applyAlignment="1">
      <alignment horizontal="right"/>
    </xf>
    <xf numFmtId="164" fontId="0" fillId="0" borderId="8" xfId="0" applyNumberFormat="1" applyFont="1" applyBorder="1"/>
    <xf numFmtId="164" fontId="3" fillId="7" borderId="8" xfId="1" applyNumberFormat="1" applyFont="1" applyFill="1" applyBorder="1"/>
    <xf numFmtId="0" fontId="6" fillId="0" borderId="9" xfId="0" applyFont="1" applyBorder="1"/>
    <xf numFmtId="0" fontId="6" fillId="0" borderId="10" xfId="0" applyFont="1" applyBorder="1"/>
    <xf numFmtId="0" fontId="0" fillId="0" borderId="10" xfId="0" applyFont="1" applyBorder="1"/>
    <xf numFmtId="0" fontId="3" fillId="7" borderId="7" xfId="0" applyFont="1" applyFill="1" applyBorder="1"/>
    <xf numFmtId="0" fontId="3" fillId="7" borderId="0" xfId="0" applyFont="1" applyFill="1" applyBorder="1"/>
    <xf numFmtId="0" fontId="0" fillId="0" borderId="9" xfId="0" applyFont="1" applyBorder="1"/>
    <xf numFmtId="164" fontId="0" fillId="7" borderId="10" xfId="0" applyNumberFormat="1" applyFont="1" applyFill="1" applyBorder="1"/>
    <xf numFmtId="0" fontId="0" fillId="0" borderId="11" xfId="0" applyFont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3" fillId="6" borderId="0" xfId="0" applyFont="1" applyFill="1" applyBorder="1" applyAlignment="1">
      <alignment horizontal="right"/>
    </xf>
    <xf numFmtId="166" fontId="0" fillId="0" borderId="0" xfId="2" applyNumberFormat="1" applyFont="1" applyBorder="1"/>
    <xf numFmtId="9" fontId="5" fillId="0" borderId="0" xfId="2" applyFont="1" applyFill="1" applyBorder="1" applyAlignment="1">
      <alignment horizontal="center"/>
    </xf>
    <xf numFmtId="9" fontId="5" fillId="0" borderId="0" xfId="2" applyFont="1" applyFill="1" applyBorder="1" applyAlignment="1">
      <alignment horizontal="right"/>
    </xf>
    <xf numFmtId="10" fontId="0" fillId="0" borderId="0" xfId="2" applyNumberFormat="1" applyFont="1"/>
    <xf numFmtId="2" fontId="0" fillId="0" borderId="0" xfId="0" applyNumberFormat="1"/>
    <xf numFmtId="4" fontId="0" fillId="0" borderId="0" xfId="0" applyNumberFormat="1" applyBorder="1"/>
    <xf numFmtId="4" fontId="0" fillId="0" borderId="0" xfId="0" applyNumberFormat="1" applyFill="1" applyBorder="1"/>
    <xf numFmtId="44" fontId="5" fillId="7" borderId="1" xfId="1" applyNumberFormat="1" applyFont="1" applyFill="1" applyBorder="1" applyAlignment="1">
      <alignment horizontal="right"/>
    </xf>
    <xf numFmtId="0" fontId="0" fillId="7" borderId="13" xfId="0" applyFont="1" applyFill="1" applyBorder="1"/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9" fontId="0" fillId="0" borderId="0" xfId="2" applyFont="1" applyBorder="1"/>
    <xf numFmtId="167" fontId="0" fillId="0" borderId="0" xfId="2" applyNumberFormat="1" applyFont="1" applyBorder="1"/>
    <xf numFmtId="167" fontId="0" fillId="0" borderId="0" xfId="2" applyNumberFormat="1" applyFont="1"/>
    <xf numFmtId="4" fontId="0" fillId="7" borderId="14" xfId="0" applyNumberFormat="1" applyFill="1" applyBorder="1"/>
    <xf numFmtId="4" fontId="0" fillId="7" borderId="15" xfId="0" applyNumberFormat="1" applyFill="1" applyBorder="1"/>
    <xf numFmtId="3" fontId="0" fillId="7" borderId="15" xfId="0" applyNumberFormat="1" applyFill="1" applyBorder="1"/>
    <xf numFmtId="3" fontId="0" fillId="7" borderId="15" xfId="0" applyNumberFormat="1" applyFill="1" applyBorder="1" applyAlignment="1">
      <alignment horizontal="right"/>
    </xf>
    <xf numFmtId="167" fontId="0" fillId="7" borderId="15" xfId="2" applyNumberFormat="1" applyFont="1" applyFill="1" applyBorder="1"/>
    <xf numFmtId="167" fontId="0" fillId="7" borderId="16" xfId="2" applyNumberFormat="1" applyFont="1" applyFill="1" applyBorder="1"/>
    <xf numFmtId="4" fontId="0" fillId="7" borderId="4" xfId="0" applyNumberFormat="1" applyFill="1" applyBorder="1"/>
    <xf numFmtId="4" fontId="0" fillId="7" borderId="5" xfId="0" applyNumberFormat="1" applyFill="1" applyBorder="1"/>
    <xf numFmtId="3" fontId="0" fillId="7" borderId="5" xfId="0" applyNumberFormat="1" applyFill="1" applyBorder="1"/>
    <xf numFmtId="3" fontId="0" fillId="7" borderId="5" xfId="0" applyNumberFormat="1" applyFill="1" applyBorder="1" applyAlignment="1">
      <alignment horizontal="right"/>
    </xf>
    <xf numFmtId="167" fontId="0" fillId="7" borderId="5" xfId="2" applyNumberFormat="1" applyFont="1" applyFill="1" applyBorder="1"/>
    <xf numFmtId="167" fontId="0" fillId="7" borderId="6" xfId="2" applyNumberFormat="1" applyFont="1" applyFill="1" applyBorder="1"/>
    <xf numFmtId="3" fontId="0" fillId="0" borderId="7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3" fillId="7" borderId="0" xfId="0" applyNumberFormat="1" applyFont="1" applyFill="1" applyBorder="1" applyAlignment="1">
      <alignment horizontal="right"/>
    </xf>
    <xf numFmtId="0" fontId="7" fillId="6" borderId="4" xfId="0" applyFont="1" applyFill="1" applyBorder="1" applyAlignment="1">
      <alignment horizontal="right"/>
    </xf>
    <xf numFmtId="0" fontId="7" fillId="6" borderId="5" xfId="0" applyFont="1" applyFill="1" applyBorder="1" applyAlignment="1">
      <alignment horizontal="right"/>
    </xf>
    <xf numFmtId="0" fontId="7" fillId="6" borderId="6" xfId="0" applyFont="1" applyFill="1" applyBorder="1" applyAlignment="1">
      <alignment horizontal="right"/>
    </xf>
    <xf numFmtId="9" fontId="3" fillId="7" borderId="0" xfId="2" applyFont="1" applyFill="1" applyBorder="1"/>
    <xf numFmtId="9" fontId="3" fillId="7" borderId="8" xfId="2" applyFont="1" applyFill="1" applyBorder="1"/>
    <xf numFmtId="9" fontId="0" fillId="0" borderId="8" xfId="2" applyFont="1" applyBorder="1"/>
    <xf numFmtId="3" fontId="0" fillId="0" borderId="9" xfId="0" applyNumberFormat="1" applyFont="1" applyFill="1" applyBorder="1" applyAlignment="1">
      <alignment horizontal="right"/>
    </xf>
    <xf numFmtId="3" fontId="0" fillId="0" borderId="10" xfId="0" applyNumberFormat="1" applyBorder="1" applyAlignment="1">
      <alignment horizontal="right"/>
    </xf>
    <xf numFmtId="9" fontId="0" fillId="0" borderId="10" xfId="2" applyFont="1" applyBorder="1"/>
    <xf numFmtId="9" fontId="0" fillId="0" borderId="11" xfId="2" applyFont="1" applyBorder="1"/>
    <xf numFmtId="0" fontId="3" fillId="0" borderId="0" xfId="0" applyFont="1" applyBorder="1"/>
    <xf numFmtId="167" fontId="0" fillId="0" borderId="0" xfId="2" applyNumberFormat="1" applyFont="1" applyFill="1" applyBorder="1"/>
    <xf numFmtId="10" fontId="0" fillId="0" borderId="0" xfId="2" applyNumberFormat="1" applyFont="1" applyFill="1" applyBorder="1"/>
    <xf numFmtId="44" fontId="5" fillId="0" borderId="1" xfId="1" applyNumberFormat="1" applyFont="1" applyFill="1" applyBorder="1" applyAlignment="1">
      <alignment horizontal="center"/>
    </xf>
    <xf numFmtId="10" fontId="0" fillId="7" borderId="14" xfId="2" applyNumberFormat="1" applyFont="1" applyFill="1" applyBorder="1"/>
    <xf numFmtId="0" fontId="3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'SkiRetail (2002-12) Analysis'!$P$72</c:f>
              <c:strCache>
                <c:ptCount val="1"/>
                <c:pt idx="0">
                  <c:v>RP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'SkiRetail (2002-12) Analysis'!$N$73:$N$86</c:f>
              <c:numCache>
                <c:formatCode>#,##0.00</c:formatCode>
                <c:ptCount val="14"/>
                <c:pt idx="0">
                  <c:v>0</c:v>
                </c:pt>
                <c:pt idx="1">
                  <c:v>66.64</c:v>
                </c:pt>
                <c:pt idx="2">
                  <c:v>66.709999999999994</c:v>
                </c:pt>
                <c:pt idx="3">
                  <c:v>112.48</c:v>
                </c:pt>
                <c:pt idx="4">
                  <c:v>112.52</c:v>
                </c:pt>
                <c:pt idx="5">
                  <c:v>139.97999999999999</c:v>
                </c:pt>
                <c:pt idx="6">
                  <c:v>140.01</c:v>
                </c:pt>
                <c:pt idx="7">
                  <c:v>158.34</c:v>
                </c:pt>
                <c:pt idx="8">
                  <c:v>158.36000000000001</c:v>
                </c:pt>
                <c:pt idx="9">
                  <c:v>171.43</c:v>
                </c:pt>
                <c:pt idx="10">
                  <c:v>171.45</c:v>
                </c:pt>
                <c:pt idx="11">
                  <c:v>188.89</c:v>
                </c:pt>
                <c:pt idx="12">
                  <c:v>188.9</c:v>
                </c:pt>
                <c:pt idx="13">
                  <c:v>200</c:v>
                </c:pt>
              </c:numCache>
            </c:numRef>
          </c:xVal>
          <c:yVal>
            <c:numRef>
              <c:f>'SkiRetail (2002-12) Analysis'!$P$73:$P$86</c:f>
              <c:numCache>
                <c:formatCode>#,##0</c:formatCode>
                <c:ptCount val="14"/>
                <c:pt idx="0">
                  <c:v>450000</c:v>
                </c:pt>
                <c:pt idx="1">
                  <c:v>450000</c:v>
                </c:pt>
                <c:pt idx="2">
                  <c:v>450024</c:v>
                </c:pt>
                <c:pt idx="3">
                  <c:v>474989</c:v>
                </c:pt>
                <c:pt idx="4">
                  <c:v>475033</c:v>
                </c:pt>
                <c:pt idx="5">
                  <c:v>519967</c:v>
                </c:pt>
                <c:pt idx="6">
                  <c:v>520021</c:v>
                </c:pt>
                <c:pt idx="7">
                  <c:v>558347</c:v>
                </c:pt>
                <c:pt idx="8">
                  <c:v>558418</c:v>
                </c:pt>
                <c:pt idx="9">
                  <c:v>600005</c:v>
                </c:pt>
                <c:pt idx="10">
                  <c:v>600082</c:v>
                </c:pt>
                <c:pt idx="11">
                  <c:v>666671</c:v>
                </c:pt>
                <c:pt idx="12">
                  <c:v>666718</c:v>
                </c:pt>
                <c:pt idx="13">
                  <c:v>718182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2-4227-97DD-CAE17F0FF2CA}"/>
            </c:ext>
          </c:extLst>
        </c:ser>
        <c:ser>
          <c:idx val="2"/>
          <c:order val="1"/>
          <c:tx>
            <c:strRef>
              <c:f>'SkiRetail (2002-12) Analysis'!$Q$72</c:f>
              <c:strCache>
                <c:ptCount val="1"/>
                <c:pt idx="0">
                  <c:v>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'SkiRetail (2002-12) Analysis'!$N$73:$N$86</c:f>
              <c:numCache>
                <c:formatCode>#,##0.00</c:formatCode>
                <c:ptCount val="14"/>
                <c:pt idx="0">
                  <c:v>0</c:v>
                </c:pt>
                <c:pt idx="1">
                  <c:v>66.64</c:v>
                </c:pt>
                <c:pt idx="2">
                  <c:v>66.709999999999994</c:v>
                </c:pt>
                <c:pt idx="3">
                  <c:v>112.48</c:v>
                </c:pt>
                <c:pt idx="4">
                  <c:v>112.52</c:v>
                </c:pt>
                <c:pt idx="5">
                  <c:v>139.97999999999999</c:v>
                </c:pt>
                <c:pt idx="6">
                  <c:v>140.01</c:v>
                </c:pt>
                <c:pt idx="7">
                  <c:v>158.34</c:v>
                </c:pt>
                <c:pt idx="8">
                  <c:v>158.36000000000001</c:v>
                </c:pt>
                <c:pt idx="9">
                  <c:v>171.43</c:v>
                </c:pt>
                <c:pt idx="10">
                  <c:v>171.45</c:v>
                </c:pt>
                <c:pt idx="11">
                  <c:v>188.89</c:v>
                </c:pt>
                <c:pt idx="12">
                  <c:v>188.9</c:v>
                </c:pt>
                <c:pt idx="13">
                  <c:v>200</c:v>
                </c:pt>
              </c:numCache>
            </c:numRef>
          </c:xVal>
          <c:yVal>
            <c:numRef>
              <c:f>'SkiRetail (2002-12) Analysis'!$Q$73:$Q$86</c:f>
              <c:numCache>
                <c:formatCode>#,##0</c:formatCode>
                <c:ptCount val="14"/>
                <c:pt idx="0">
                  <c:v>470000</c:v>
                </c:pt>
                <c:pt idx="1">
                  <c:v>470000</c:v>
                </c:pt>
                <c:pt idx="2">
                  <c:v>553613</c:v>
                </c:pt>
                <c:pt idx="3">
                  <c:v>528647</c:v>
                </c:pt>
                <c:pt idx="4">
                  <c:v>585876</c:v>
                </c:pt>
                <c:pt idx="5">
                  <c:v>540942</c:v>
                </c:pt>
                <c:pt idx="6">
                  <c:v>537252</c:v>
                </c:pt>
                <c:pt idx="7">
                  <c:v>498925</c:v>
                </c:pt>
                <c:pt idx="8">
                  <c:v>446127</c:v>
                </c:pt>
                <c:pt idx="9">
                  <c:v>404541</c:v>
                </c:pt>
                <c:pt idx="10">
                  <c:v>355373</c:v>
                </c:pt>
                <c:pt idx="11">
                  <c:v>288784</c:v>
                </c:pt>
                <c:pt idx="12">
                  <c:v>194191</c:v>
                </c:pt>
                <c:pt idx="13">
                  <c:v>142727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32-4227-97DD-CAE17F0F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52792"/>
        <c:axId val="880353448"/>
      </c:scatterChart>
      <c:valAx>
        <c:axId val="88035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3448"/>
        <c:crosses val="autoZero"/>
        <c:crossBetween val="midCat"/>
      </c:valAx>
      <c:valAx>
        <c:axId val="88035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5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'SkiRetail (2002-12) Analysis'!$P$101</c:f>
              <c:strCache>
                <c:ptCount val="1"/>
                <c:pt idx="0">
                  <c:v>RP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'SkiRetail (2002-12) Analysis'!$N$102:$N$112</c:f>
              <c:numCache>
                <c:formatCode>#,##0.00</c:formatCode>
                <c:ptCount val="11"/>
                <c:pt idx="0">
                  <c:v>210.97499999999999</c:v>
                </c:pt>
                <c:pt idx="1">
                  <c:v>170.91325000000001</c:v>
                </c:pt>
                <c:pt idx="2">
                  <c:v>170.898</c:v>
                </c:pt>
                <c:pt idx="3">
                  <c:v>157.05099999999999</c:v>
                </c:pt>
                <c:pt idx="4">
                  <c:v>157.03575000000001</c:v>
                </c:pt>
                <c:pt idx="5">
                  <c:v>143.18875</c:v>
                </c:pt>
                <c:pt idx="6">
                  <c:v>143.17349999999999</c:v>
                </c:pt>
                <c:pt idx="7">
                  <c:v>129.31125</c:v>
                </c:pt>
                <c:pt idx="8">
                  <c:v>129.29599999999999</c:v>
                </c:pt>
                <c:pt idx="9">
                  <c:v>115.44900000000001</c:v>
                </c:pt>
                <c:pt idx="10">
                  <c:v>115.43375</c:v>
                </c:pt>
              </c:numCache>
            </c:numRef>
          </c:xVal>
          <c:yVal>
            <c:numRef>
              <c:f>'SkiRetail (2002-12) Analysis'!$P$102:$P$112</c:f>
              <c:numCache>
                <c:formatCode>#,##0</c:formatCode>
                <c:ptCount val="11"/>
                <c:pt idx="0">
                  <c:v>13680</c:v>
                </c:pt>
                <c:pt idx="1">
                  <c:v>374310</c:v>
                </c:pt>
                <c:pt idx="2">
                  <c:v>374418</c:v>
                </c:pt>
                <c:pt idx="3">
                  <c:v>526768</c:v>
                </c:pt>
                <c:pt idx="4">
                  <c:v>526895</c:v>
                </c:pt>
                <c:pt idx="5">
                  <c:v>720795</c:v>
                </c:pt>
                <c:pt idx="6">
                  <c:v>721086</c:v>
                </c:pt>
                <c:pt idx="7">
                  <c:v>928986</c:v>
                </c:pt>
                <c:pt idx="8">
                  <c:v>929173</c:v>
                </c:pt>
                <c:pt idx="9">
                  <c:v>1164623</c:v>
                </c:pt>
                <c:pt idx="10">
                  <c:v>1164987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A5-453B-9A38-194F7BB1C729}"/>
            </c:ext>
          </c:extLst>
        </c:ser>
        <c:ser>
          <c:idx val="2"/>
          <c:order val="1"/>
          <c:tx>
            <c:strRef>
              <c:f>'SkiRetail (2002-12) Analysis'!$Q$101</c:f>
              <c:strCache>
                <c:ptCount val="1"/>
                <c:pt idx="0">
                  <c:v>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'SkiRetail (2002-12) Analysis'!$N$102:$N$112</c:f>
              <c:numCache>
                <c:formatCode>#,##0.00</c:formatCode>
                <c:ptCount val="11"/>
                <c:pt idx="0">
                  <c:v>210.97499999999999</c:v>
                </c:pt>
                <c:pt idx="1">
                  <c:v>170.91325000000001</c:v>
                </c:pt>
                <c:pt idx="2">
                  <c:v>170.898</c:v>
                </c:pt>
                <c:pt idx="3">
                  <c:v>157.05099999999999</c:v>
                </c:pt>
                <c:pt idx="4">
                  <c:v>157.03575000000001</c:v>
                </c:pt>
                <c:pt idx="5">
                  <c:v>143.18875</c:v>
                </c:pt>
                <c:pt idx="6">
                  <c:v>143.17349999999999</c:v>
                </c:pt>
                <c:pt idx="7">
                  <c:v>129.31125</c:v>
                </c:pt>
                <c:pt idx="8">
                  <c:v>129.29599999999999</c:v>
                </c:pt>
                <c:pt idx="9">
                  <c:v>115.44900000000001</c:v>
                </c:pt>
                <c:pt idx="10">
                  <c:v>115.43375</c:v>
                </c:pt>
              </c:numCache>
            </c:numRef>
          </c:xVal>
          <c:yVal>
            <c:numRef>
              <c:f>'SkiRetail (2002-12) Analysis'!$Q$102:$Q$112</c:f>
              <c:numCache>
                <c:formatCode>#,##0</c:formatCode>
                <c:ptCount val="11"/>
                <c:pt idx="0">
                  <c:v>906320</c:v>
                </c:pt>
                <c:pt idx="1">
                  <c:v>545690</c:v>
                </c:pt>
                <c:pt idx="2">
                  <c:v>661945</c:v>
                </c:pt>
                <c:pt idx="3">
                  <c:v>509595</c:v>
                </c:pt>
                <c:pt idx="4">
                  <c:v>632196</c:v>
                </c:pt>
                <c:pt idx="5">
                  <c:v>438296</c:v>
                </c:pt>
                <c:pt idx="6">
                  <c:v>461641</c:v>
                </c:pt>
                <c:pt idx="7">
                  <c:v>253741</c:v>
                </c:pt>
                <c:pt idx="8">
                  <c:v>266282</c:v>
                </c:pt>
                <c:pt idx="9">
                  <c:v>30832</c:v>
                </c:pt>
                <c:pt idx="10">
                  <c:v>19558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A5-453B-9A38-194F7BB1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11864"/>
        <c:axId val="180239968"/>
      </c:scatterChart>
      <c:valAx>
        <c:axId val="67691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9968"/>
        <c:crosses val="autoZero"/>
        <c:crossBetween val="midCat"/>
      </c:valAx>
      <c:valAx>
        <c:axId val="1802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28286</xdr:colOff>
      <xdr:row>2</xdr:row>
      <xdr:rowOff>28281</xdr:rowOff>
    </xdr:from>
    <xdr:to>
      <xdr:col>9</xdr:col>
      <xdr:colOff>582361</xdr:colOff>
      <xdr:row>4</xdr:row>
      <xdr:rowOff>289902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0F18D8-FBC5-46A9-94DD-B7249A24D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6" y="433723"/>
          <a:ext cx="7381805" cy="62393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</xdr:pic>
    <xdr:clientData/>
  </xdr:twoCellAnchor>
  <xdr:twoCellAnchor editAs="oneCell">
    <xdr:from>
      <xdr:col>0</xdr:col>
      <xdr:colOff>47053</xdr:colOff>
      <xdr:row>27</xdr:row>
      <xdr:rowOff>31369</xdr:rowOff>
    </xdr:from>
    <xdr:to>
      <xdr:col>9</xdr:col>
      <xdr:colOff>138916</xdr:colOff>
      <xdr:row>27</xdr:row>
      <xdr:rowOff>1851543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FA2905-71D7-4BE1-8DF0-5F3BCFA8D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" y="5301324"/>
          <a:ext cx="6907046" cy="182017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</xdr:pic>
    <xdr:clientData/>
  </xdr:twoCellAnchor>
  <xdr:twoCellAnchor editAs="oneCell">
    <xdr:from>
      <xdr:col>0</xdr:col>
      <xdr:colOff>43197</xdr:colOff>
      <xdr:row>61</xdr:row>
      <xdr:rowOff>26740</xdr:rowOff>
    </xdr:from>
    <xdr:to>
      <xdr:col>8</xdr:col>
      <xdr:colOff>409112</xdr:colOff>
      <xdr:row>61</xdr:row>
      <xdr:rowOff>1872793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794476-836A-4C68-BC7B-9B355E8C5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97" y="13287893"/>
          <a:ext cx="6389037" cy="18460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8</xdr:col>
      <xdr:colOff>600221</xdr:colOff>
      <xdr:row>97</xdr:row>
      <xdr:rowOff>763832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31A0D0-5C63-48EF-AADD-8519825D1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19" y="20720649"/>
          <a:ext cx="6400800" cy="245852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</xdr:pic>
    <xdr:clientData/>
  </xdr:twoCellAnchor>
  <xdr:twoCellAnchor>
    <xdr:from>
      <xdr:col>12</xdr:col>
      <xdr:colOff>529348</xdr:colOff>
      <xdr:row>87</xdr:row>
      <xdr:rowOff>47837</xdr:rowOff>
    </xdr:from>
    <xdr:to>
      <xdr:col>19</xdr:col>
      <xdr:colOff>27447</xdr:colOff>
      <xdr:row>95</xdr:row>
      <xdr:rowOff>1301019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92D2E7-7FF4-4B92-81E4-3C3B2C414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207818</xdr:colOff>
      <xdr:row>114</xdr:row>
      <xdr:rowOff>149786</xdr:rowOff>
    </xdr:from>
    <xdr:to>
      <xdr:col>19</xdr:col>
      <xdr:colOff>329373</xdr:colOff>
      <xdr:row>130</xdr:row>
      <xdr:rowOff>7057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577196-C7B0-4B6E-BBB4-BD7546108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130" zoomScaleNormal="130" zoomScaleSheetLayoutView="209" workbookViewId="0">
      <selection activeCell="B3" sqref="B3:I14"/>
    </sheetView>
  </sheetViews>
  <sheetFormatPr defaultRowHeight="17.25" x14ac:dyDescent="0.35"/>
  <cols>
    <col min="1" max="1" width="8.85546875" style="3"/>
    <col min="2" max="2" width="8" style="3" bestFit="1" customWidth="1"/>
    <col min="3" max="4" width="9.7109375" style="3" bestFit="1" customWidth="1"/>
    <col min="5" max="5" width="15.5703125" style="3" customWidth="1"/>
    <col min="6" max="6" width="8.42578125" style="3" customWidth="1"/>
    <col min="7" max="7" width="5.42578125" style="3" customWidth="1"/>
    <col min="8" max="8" width="13.42578125" style="3" customWidth="1"/>
    <col min="9" max="9" width="11.28515625" customWidth="1"/>
  </cols>
  <sheetData>
    <row r="1" spans="1:13" s="1" customFormat="1" ht="15" x14ac:dyDescent="0.25">
      <c r="A1" s="100" t="s">
        <v>11</v>
      </c>
      <c r="B1" s="100"/>
      <c r="C1" s="100"/>
      <c r="D1" s="100"/>
      <c r="E1" s="100"/>
      <c r="F1" s="100"/>
      <c r="G1" s="100"/>
      <c r="H1" s="100"/>
      <c r="I1" s="17"/>
    </row>
    <row r="2" spans="1:13" s="2" customFormat="1" ht="14.25" customHeight="1" x14ac:dyDescent="0.25"/>
    <row r="3" spans="1:13" s="2" customFormat="1" ht="14.25" customHeight="1" x14ac:dyDescent="0.25">
      <c r="B3" s="14" t="s">
        <v>10</v>
      </c>
      <c r="C3" s="14" t="s">
        <v>5</v>
      </c>
      <c r="E3" s="101" t="s">
        <v>7</v>
      </c>
      <c r="F3" s="102"/>
      <c r="H3" s="101" t="s">
        <v>8</v>
      </c>
      <c r="I3" s="102"/>
    </row>
    <row r="4" spans="1:13" s="2" customFormat="1" ht="14.25" customHeight="1" x14ac:dyDescent="0.25">
      <c r="B4" s="13">
        <v>2002</v>
      </c>
      <c r="C4" s="13">
        <v>18000</v>
      </c>
      <c r="E4" s="4" t="s">
        <v>0</v>
      </c>
      <c r="F4" s="5">
        <v>250</v>
      </c>
      <c r="H4" s="4" t="s">
        <v>0</v>
      </c>
      <c r="I4" s="6">
        <v>200</v>
      </c>
    </row>
    <row r="5" spans="1:13" s="2" customFormat="1" ht="14.25" customHeight="1" x14ac:dyDescent="0.25">
      <c r="B5" s="13">
        <v>2003</v>
      </c>
      <c r="C5" s="13">
        <v>17000</v>
      </c>
      <c r="E5" s="7" t="s">
        <v>1</v>
      </c>
      <c r="F5" s="5">
        <v>200</v>
      </c>
      <c r="H5" s="7" t="s">
        <v>2</v>
      </c>
      <c r="I5" s="6">
        <v>140</v>
      </c>
    </row>
    <row r="6" spans="1:13" s="2" customFormat="1" ht="14.25" customHeight="1" x14ac:dyDescent="0.25">
      <c r="B6" s="13">
        <v>2004</v>
      </c>
      <c r="C6" s="13">
        <v>11000</v>
      </c>
      <c r="E6" s="7" t="s">
        <v>3</v>
      </c>
      <c r="F6" s="5">
        <v>60</v>
      </c>
      <c r="H6" s="7" t="s">
        <v>4</v>
      </c>
      <c r="I6" s="6">
        <v>70000</v>
      </c>
    </row>
    <row r="7" spans="1:13" s="2" customFormat="1" ht="14.25" customHeight="1" x14ac:dyDescent="0.25">
      <c r="B7" s="13">
        <v>2005</v>
      </c>
      <c r="C7" s="13">
        <v>15000</v>
      </c>
    </row>
    <row r="8" spans="1:13" s="2" customFormat="1" ht="14.25" customHeight="1" x14ac:dyDescent="0.25">
      <c r="B8" s="13">
        <v>2006</v>
      </c>
      <c r="C8" s="13">
        <v>9000</v>
      </c>
    </row>
    <row r="9" spans="1:13" s="2" customFormat="1" ht="14.25" customHeight="1" x14ac:dyDescent="0.25">
      <c r="B9" s="13">
        <v>2007</v>
      </c>
      <c r="C9" s="13">
        <v>18000</v>
      </c>
    </row>
    <row r="10" spans="1:13" s="2" customFormat="1" ht="14.25" customHeight="1" x14ac:dyDescent="0.25">
      <c r="B10" s="13">
        <v>2008</v>
      </c>
      <c r="C10" s="13">
        <v>9000</v>
      </c>
    </row>
    <row r="11" spans="1:13" s="2" customFormat="1" ht="14.25" customHeight="1" x14ac:dyDescent="0.25">
      <c r="B11" s="13">
        <v>2009</v>
      </c>
      <c r="C11" s="13">
        <v>9000</v>
      </c>
      <c r="K11" s="2">
        <v>450000</v>
      </c>
      <c r="L11" s="2">
        <v>470000</v>
      </c>
    </row>
    <row r="12" spans="1:13" s="2" customFormat="1" ht="14.25" customHeight="1" x14ac:dyDescent="0.25">
      <c r="B12" s="13">
        <v>2010</v>
      </c>
      <c r="C12" s="13">
        <v>14000</v>
      </c>
      <c r="K12" s="2">
        <f>0.5*M12</f>
        <v>597727.5</v>
      </c>
      <c r="L12" s="2">
        <f>M12-K12</f>
        <v>597727.5</v>
      </c>
      <c r="M12" s="2">
        <v>1195455</v>
      </c>
    </row>
    <row r="13" spans="1:13" s="2" customFormat="1" ht="14.25" customHeight="1" x14ac:dyDescent="0.25">
      <c r="B13" s="13">
        <v>2011</v>
      </c>
      <c r="C13" s="13">
        <v>19000</v>
      </c>
    </row>
    <row r="14" spans="1:13" s="2" customFormat="1" ht="14.25" customHeight="1" x14ac:dyDescent="0.25">
      <c r="B14" s="13">
        <v>2012</v>
      </c>
      <c r="C14" s="13">
        <v>19000</v>
      </c>
    </row>
    <row r="15" spans="1:13" s="2" customFormat="1" ht="14.25" customHeight="1" x14ac:dyDescent="0.25"/>
    <row r="16" spans="1:13" s="2" customFormat="1" ht="14.25" customHeight="1" x14ac:dyDescent="0.25"/>
    <row r="17" spans="1:9" s="2" customFormat="1" ht="14.25" customHeight="1" x14ac:dyDescent="0.35">
      <c r="B17" s="16" t="s">
        <v>5</v>
      </c>
      <c r="C17" s="16" t="s">
        <v>6</v>
      </c>
      <c r="D17" s="8"/>
      <c r="E17" s="8"/>
      <c r="F17" s="8"/>
      <c r="I17" s="3"/>
    </row>
    <row r="18" spans="1:9" s="2" customFormat="1" ht="14.25" customHeight="1" x14ac:dyDescent="0.35">
      <c r="B18" s="15">
        <v>9000</v>
      </c>
      <c r="C18" s="15">
        <v>3</v>
      </c>
      <c r="D18" s="9">
        <f>C18/$C$25</f>
        <v>0.27272727272727271</v>
      </c>
      <c r="E18" s="9">
        <f>D18</f>
        <v>0.27272727272727271</v>
      </c>
      <c r="F18" s="10"/>
      <c r="I18" s="3"/>
    </row>
    <row r="19" spans="1:9" s="2" customFormat="1" ht="14.25" customHeight="1" x14ac:dyDescent="0.35">
      <c r="B19" s="15">
        <v>11000</v>
      </c>
      <c r="C19" s="15">
        <v>1</v>
      </c>
      <c r="D19" s="9">
        <f t="shared" ref="D19:D24" si="0">C19/$C$25</f>
        <v>9.0909090909090912E-2</v>
      </c>
      <c r="E19" s="9">
        <f>E18+D19</f>
        <v>0.36363636363636365</v>
      </c>
      <c r="F19" s="10"/>
      <c r="I19" s="3"/>
    </row>
    <row r="20" spans="1:9" s="2" customFormat="1" ht="14.25" customHeight="1" x14ac:dyDescent="0.35">
      <c r="B20" s="15">
        <v>14000</v>
      </c>
      <c r="C20" s="15">
        <v>1</v>
      </c>
      <c r="D20" s="9">
        <f t="shared" si="0"/>
        <v>9.0909090909090912E-2</v>
      </c>
      <c r="E20" s="9">
        <f t="shared" ref="E20:E24" si="1">E19+D20</f>
        <v>0.45454545454545459</v>
      </c>
      <c r="F20" s="10"/>
      <c r="I20" s="3"/>
    </row>
    <row r="21" spans="1:9" s="2" customFormat="1" ht="14.25" customHeight="1" x14ac:dyDescent="0.35">
      <c r="B21" s="15">
        <v>15000</v>
      </c>
      <c r="C21" s="15">
        <v>1</v>
      </c>
      <c r="D21" s="9">
        <f t="shared" si="0"/>
        <v>9.0909090909090912E-2</v>
      </c>
      <c r="E21" s="9">
        <f t="shared" si="1"/>
        <v>0.54545454545454553</v>
      </c>
      <c r="F21" s="10"/>
      <c r="I21" s="3"/>
    </row>
    <row r="22" spans="1:9" s="2" customFormat="1" ht="14.25" customHeight="1" x14ac:dyDescent="0.35">
      <c r="B22" s="15">
        <v>17000</v>
      </c>
      <c r="C22" s="15">
        <v>1</v>
      </c>
      <c r="D22" s="9">
        <f t="shared" si="0"/>
        <v>9.0909090909090912E-2</v>
      </c>
      <c r="E22" s="9">
        <f t="shared" si="1"/>
        <v>0.63636363636363646</v>
      </c>
      <c r="F22" s="10"/>
      <c r="I22" s="3"/>
    </row>
    <row r="23" spans="1:9" s="2" customFormat="1" ht="14.25" customHeight="1" x14ac:dyDescent="0.35">
      <c r="B23" s="15">
        <v>18000</v>
      </c>
      <c r="C23" s="15">
        <v>2</v>
      </c>
      <c r="D23" s="9">
        <f t="shared" si="0"/>
        <v>0.18181818181818182</v>
      </c>
      <c r="E23" s="9">
        <f t="shared" si="1"/>
        <v>0.81818181818181834</v>
      </c>
      <c r="F23" s="10"/>
      <c r="I23" s="3"/>
    </row>
    <row r="24" spans="1:9" s="2" customFormat="1" ht="14.25" customHeight="1" x14ac:dyDescent="0.35">
      <c r="B24" s="15">
        <v>19000</v>
      </c>
      <c r="C24" s="15">
        <v>2</v>
      </c>
      <c r="D24" s="9">
        <f t="shared" si="0"/>
        <v>0.18181818181818182</v>
      </c>
      <c r="E24" s="9">
        <f t="shared" si="1"/>
        <v>1.0000000000000002</v>
      </c>
      <c r="F24" s="10"/>
      <c r="I24" s="3"/>
    </row>
    <row r="25" spans="1:9" ht="14.25" customHeight="1" x14ac:dyDescent="0.35">
      <c r="A25" s="2"/>
      <c r="B25" s="15" t="s">
        <v>9</v>
      </c>
      <c r="C25" s="15">
        <f>SUM(C18:C24)</f>
        <v>11</v>
      </c>
      <c r="D25" s="11"/>
      <c r="E25" s="11"/>
      <c r="F25" s="12"/>
      <c r="G25" s="2"/>
      <c r="H25" s="2"/>
      <c r="I25" s="3"/>
    </row>
    <row r="26" spans="1:9" ht="15" x14ac:dyDescent="0.25">
      <c r="A26" s="2"/>
      <c r="B26" s="2"/>
      <c r="C26" s="2"/>
      <c r="D26" s="2"/>
      <c r="E26" s="2"/>
      <c r="F26" s="2"/>
      <c r="G26" s="2"/>
      <c r="H26" s="2"/>
    </row>
    <row r="27" spans="1:9" ht="15" x14ac:dyDescent="0.25">
      <c r="A27" s="2"/>
      <c r="B27" s="2"/>
      <c r="C27" s="2"/>
      <c r="D27" s="2"/>
      <c r="E27" s="2"/>
      <c r="F27" s="2"/>
      <c r="G27" s="2"/>
      <c r="H27" s="2"/>
    </row>
    <row r="28" spans="1:9" ht="15" x14ac:dyDescent="0.25">
      <c r="A28" s="2"/>
      <c r="B28" s="2"/>
      <c r="C28" s="2"/>
      <c r="D28" s="2"/>
      <c r="E28" s="2"/>
      <c r="F28" s="2"/>
      <c r="G28" s="2"/>
      <c r="H28" s="2"/>
    </row>
    <row r="29" spans="1:9" ht="15" x14ac:dyDescent="0.25">
      <c r="A29" s="2"/>
      <c r="B29" s="2"/>
      <c r="C29" s="2"/>
      <c r="D29" s="2"/>
      <c r="E29" s="2"/>
      <c r="F29" s="2"/>
      <c r="G29" s="2"/>
      <c r="H29" s="2"/>
    </row>
    <row r="30" spans="1:9" ht="15" x14ac:dyDescent="0.25">
      <c r="A30" s="2"/>
      <c r="B30" s="2"/>
      <c r="C30" s="2"/>
      <c r="D30" s="2"/>
      <c r="E30" s="2"/>
      <c r="F30" s="2"/>
      <c r="G30" s="2"/>
      <c r="H30" s="2"/>
    </row>
    <row r="31" spans="1:9" ht="15" x14ac:dyDescent="0.25">
      <c r="A31" s="2"/>
      <c r="B31" s="2"/>
      <c r="C31" s="2"/>
      <c r="D31" s="2"/>
      <c r="E31" s="2"/>
      <c r="F31" s="2"/>
      <c r="G31" s="2"/>
      <c r="H31" s="2"/>
    </row>
  </sheetData>
  <mergeCells count="3">
    <mergeCell ref="A1:H1"/>
    <mergeCell ref="E3:F3"/>
    <mergeCell ref="H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2F6D-F8E1-4219-9111-6B546CB8E53B}">
  <dimension ref="A2:U134"/>
  <sheetViews>
    <sheetView tabSelected="1" topLeftCell="A97" zoomScale="84" zoomScaleNormal="84" zoomScaleSheetLayoutView="209" workbookViewId="0">
      <selection activeCell="V108" sqref="V108"/>
    </sheetView>
  </sheetViews>
  <sheetFormatPr defaultColWidth="9" defaultRowHeight="17.25" x14ac:dyDescent="0.35"/>
  <cols>
    <col min="1" max="1" width="3.85546875" style="3" customWidth="1"/>
    <col min="2" max="2" width="15.5703125" style="3" customWidth="1"/>
    <col min="3" max="3" width="11.5703125" style="3" customWidth="1"/>
    <col min="4" max="4" width="8.7109375" style="3" customWidth="1"/>
    <col min="5" max="5" width="13.140625" style="3" customWidth="1"/>
    <col min="6" max="6" width="10.42578125" style="3" customWidth="1"/>
    <col min="7" max="7" width="12.85546875" style="3" customWidth="1"/>
    <col min="8" max="9" width="11.42578125" style="3" customWidth="1"/>
    <col min="10" max="10" width="13.42578125" style="3" customWidth="1"/>
    <col min="11" max="11" width="12.42578125" style="1" bestFit="1" customWidth="1"/>
    <col min="12" max="13" width="9" style="1"/>
    <col min="14" max="14" width="11.7109375" style="1" customWidth="1"/>
    <col min="15" max="16" width="10.7109375" style="1" customWidth="1"/>
    <col min="17" max="18" width="11.140625" style="1" customWidth="1"/>
    <col min="19" max="16384" width="9" style="1"/>
  </cols>
  <sheetData>
    <row r="2" spans="1:11" ht="15" x14ac:dyDescent="0.25">
      <c r="A2" s="100" t="s">
        <v>11</v>
      </c>
      <c r="B2" s="100"/>
      <c r="C2" s="100"/>
      <c r="D2" s="100"/>
      <c r="E2" s="100"/>
      <c r="F2" s="100"/>
      <c r="G2" s="100"/>
      <c r="H2" s="100"/>
      <c r="I2" s="100"/>
      <c r="J2" s="100"/>
      <c r="K2" s="28"/>
    </row>
    <row r="3" spans="1:11" ht="1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8"/>
    </row>
    <row r="4" spans="1:11" ht="1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8"/>
    </row>
    <row r="5" spans="1:11" ht="41.45" customHeight="1" thickBot="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28"/>
    </row>
    <row r="6" spans="1:11" s="2" customFormat="1" ht="14.2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2"/>
    </row>
    <row r="7" spans="1:11" s="2" customFormat="1" ht="14.25" customHeight="1" x14ac:dyDescent="0.25">
      <c r="B7" s="106" t="s">
        <v>7</v>
      </c>
      <c r="C7" s="102"/>
      <c r="D7" s="20"/>
      <c r="E7" s="101" t="s">
        <v>8</v>
      </c>
      <c r="F7" s="102"/>
      <c r="G7" s="20"/>
      <c r="H7" s="20"/>
      <c r="I7" s="20"/>
      <c r="J7" s="20"/>
      <c r="K7" s="24"/>
    </row>
    <row r="8" spans="1:11" s="2" customFormat="1" ht="14.25" customHeight="1" x14ac:dyDescent="0.25">
      <c r="B8" s="33" t="s">
        <v>0</v>
      </c>
      <c r="C8" s="5">
        <v>250</v>
      </c>
      <c r="D8" s="20"/>
      <c r="E8" s="4" t="s">
        <v>0</v>
      </c>
      <c r="F8" s="6">
        <v>200</v>
      </c>
      <c r="G8" s="20"/>
      <c r="H8" s="20"/>
      <c r="I8" s="20"/>
      <c r="J8" s="20"/>
      <c r="K8" s="24"/>
    </row>
    <row r="9" spans="1:11" s="2" customFormat="1" ht="14.25" customHeight="1" x14ac:dyDescent="0.25">
      <c r="B9" s="34" t="s">
        <v>1</v>
      </c>
      <c r="C9" s="5">
        <v>200</v>
      </c>
      <c r="D9" s="20"/>
      <c r="E9" s="7" t="s">
        <v>2</v>
      </c>
      <c r="F9" s="6">
        <v>140</v>
      </c>
      <c r="G9" s="20"/>
      <c r="H9" s="20"/>
      <c r="I9" s="20"/>
      <c r="J9" s="20"/>
      <c r="K9" s="24"/>
    </row>
    <row r="10" spans="1:11" s="2" customFormat="1" ht="14.25" customHeight="1" x14ac:dyDescent="0.25">
      <c r="B10" s="34" t="s">
        <v>3</v>
      </c>
      <c r="C10" s="5">
        <v>60</v>
      </c>
      <c r="D10" s="20"/>
      <c r="E10" s="7" t="s">
        <v>4</v>
      </c>
      <c r="F10" s="6">
        <v>70000</v>
      </c>
      <c r="G10" s="20"/>
      <c r="H10" s="20"/>
      <c r="I10" s="20"/>
      <c r="J10" s="20"/>
      <c r="K10" s="24"/>
    </row>
    <row r="11" spans="1:11" s="2" customFormat="1" ht="14.25" customHeight="1" x14ac:dyDescent="0.25">
      <c r="B11" s="19"/>
      <c r="C11" s="20"/>
      <c r="D11" s="20"/>
      <c r="E11" s="20"/>
      <c r="F11" s="20"/>
      <c r="G11" s="20"/>
      <c r="H11" s="20"/>
      <c r="I11" s="20"/>
      <c r="J11" s="20"/>
      <c r="K11" s="24"/>
    </row>
    <row r="12" spans="1:11" s="2" customFormat="1" ht="14.25" customHeight="1" x14ac:dyDescent="0.25">
      <c r="B12" s="35" t="s">
        <v>21</v>
      </c>
      <c r="C12" s="20"/>
      <c r="D12" s="36">
        <f>C8-F9</f>
        <v>110</v>
      </c>
      <c r="E12" s="20"/>
      <c r="F12" s="20"/>
      <c r="G12" s="20"/>
      <c r="H12" s="20"/>
      <c r="I12" s="20"/>
      <c r="J12" s="20"/>
      <c r="K12" s="24"/>
    </row>
    <row r="13" spans="1:11" s="2" customFormat="1" ht="14.25" customHeight="1" x14ac:dyDescent="0.25">
      <c r="B13" s="35" t="s">
        <v>22</v>
      </c>
      <c r="C13" s="20"/>
      <c r="D13" s="36">
        <f>F9-C10</f>
        <v>80</v>
      </c>
      <c r="E13" s="20"/>
      <c r="F13" s="20"/>
      <c r="G13" s="20"/>
      <c r="H13" s="20"/>
      <c r="I13" s="20"/>
      <c r="J13" s="20"/>
      <c r="K13" s="24"/>
    </row>
    <row r="14" spans="1:11" s="2" customFormat="1" ht="14.25" customHeight="1" x14ac:dyDescent="0.25">
      <c r="B14" s="35" t="s">
        <v>23</v>
      </c>
      <c r="C14" s="20"/>
      <c r="D14" s="37">
        <f>D12/(D12+D13)</f>
        <v>0.57894736842105265</v>
      </c>
      <c r="E14" s="20"/>
      <c r="F14" s="20"/>
      <c r="G14" s="20"/>
      <c r="H14" s="20"/>
      <c r="I14" s="20"/>
      <c r="J14" s="20"/>
      <c r="K14" s="24"/>
    </row>
    <row r="15" spans="1:11" s="2" customFormat="1" ht="14.25" customHeight="1" x14ac:dyDescent="0.25">
      <c r="B15" s="45" t="s">
        <v>24</v>
      </c>
      <c r="C15" s="46"/>
      <c r="D15" s="46">
        <f>B22</f>
        <v>17000</v>
      </c>
      <c r="E15" s="20"/>
      <c r="F15" s="20"/>
      <c r="G15" s="20"/>
      <c r="H15" s="20"/>
      <c r="I15" s="20"/>
      <c r="J15" s="20"/>
      <c r="K15" s="24"/>
    </row>
    <row r="16" spans="1:11" s="2" customFormat="1" ht="14.25" customHeight="1" x14ac:dyDescent="0.25">
      <c r="B16" s="19"/>
      <c r="C16" s="20"/>
      <c r="D16" s="20"/>
      <c r="E16" s="20"/>
      <c r="F16" s="20"/>
      <c r="G16" s="20"/>
      <c r="H16" s="20"/>
      <c r="I16" s="20"/>
      <c r="J16" s="20"/>
      <c r="K16" s="24"/>
    </row>
    <row r="17" spans="1:11" s="2" customFormat="1" ht="14.25" customHeight="1" x14ac:dyDescent="0.25">
      <c r="B17" s="38" t="s">
        <v>5</v>
      </c>
      <c r="C17" s="21" t="s">
        <v>6</v>
      </c>
      <c r="D17" s="21" t="s">
        <v>12</v>
      </c>
      <c r="E17" s="21" t="s">
        <v>13</v>
      </c>
      <c r="F17" s="21" t="s">
        <v>15</v>
      </c>
      <c r="G17" s="21" t="s">
        <v>14</v>
      </c>
      <c r="H17" s="21" t="s">
        <v>16</v>
      </c>
      <c r="I17" s="21" t="s">
        <v>17</v>
      </c>
      <c r="J17" s="21" t="s">
        <v>18</v>
      </c>
      <c r="K17" s="22" t="s">
        <v>19</v>
      </c>
    </row>
    <row r="18" spans="1:11" s="2" customFormat="1" ht="14.25" customHeight="1" x14ac:dyDescent="0.25">
      <c r="B18" s="39">
        <v>9000</v>
      </c>
      <c r="C18" s="15">
        <v>3</v>
      </c>
      <c r="D18" s="9">
        <f>C18/$C$25</f>
        <v>0.27272727272727271</v>
      </c>
      <c r="E18" s="9">
        <f>D18</f>
        <v>0.27272727272727271</v>
      </c>
      <c r="F18" s="29">
        <f>$D$15</f>
        <v>17000</v>
      </c>
      <c r="G18" s="36">
        <f>MIN(B18,F18)*$C$8</f>
        <v>2250000</v>
      </c>
      <c r="H18" s="36">
        <f>$C$10*MAX(0,F18-B18)</f>
        <v>480000</v>
      </c>
      <c r="I18" s="36">
        <f>G18+H18</f>
        <v>2730000</v>
      </c>
      <c r="J18" s="36">
        <f>(F18*$F$9)+$F$10</f>
        <v>2450000</v>
      </c>
      <c r="K18" s="40">
        <f>I18-J18</f>
        <v>280000</v>
      </c>
    </row>
    <row r="19" spans="1:11" s="2" customFormat="1" ht="14.25" customHeight="1" x14ac:dyDescent="0.25">
      <c r="B19" s="39">
        <v>11000</v>
      </c>
      <c r="C19" s="15">
        <v>1</v>
      </c>
      <c r="D19" s="9">
        <f t="shared" ref="D19:D24" si="0">C19/$C$25</f>
        <v>9.0909090909090912E-2</v>
      </c>
      <c r="E19" s="9">
        <f>E18+D19</f>
        <v>0.36363636363636365</v>
      </c>
      <c r="F19" s="29">
        <f t="shared" ref="F19:F24" si="1">$D$15</f>
        <v>17000</v>
      </c>
      <c r="G19" s="36">
        <f t="shared" ref="G19:G24" si="2">MIN(B19,F19)*$C$8</f>
        <v>2750000</v>
      </c>
      <c r="H19" s="36">
        <f t="shared" ref="H19:H24" si="3">$C$10*MAX(0,F19-B19)</f>
        <v>360000</v>
      </c>
      <c r="I19" s="36">
        <f t="shared" ref="I19:I24" si="4">G19+H19</f>
        <v>3110000</v>
      </c>
      <c r="J19" s="36">
        <f t="shared" ref="J19:J24" si="5">(F19*$F$9)+$F$10</f>
        <v>2450000</v>
      </c>
      <c r="K19" s="40">
        <f t="shared" ref="K19:K24" si="6">I19-J19</f>
        <v>660000</v>
      </c>
    </row>
    <row r="20" spans="1:11" s="2" customFormat="1" ht="14.25" customHeight="1" x14ac:dyDescent="0.25">
      <c r="B20" s="39">
        <v>14000</v>
      </c>
      <c r="C20" s="15">
        <v>1</v>
      </c>
      <c r="D20" s="9">
        <f t="shared" si="0"/>
        <v>9.0909090909090912E-2</v>
      </c>
      <c r="E20" s="9">
        <f t="shared" ref="E20:E24" si="7">E19+D20</f>
        <v>0.45454545454545459</v>
      </c>
      <c r="F20" s="29">
        <f t="shared" si="1"/>
        <v>17000</v>
      </c>
      <c r="G20" s="36">
        <f t="shared" si="2"/>
        <v>3500000</v>
      </c>
      <c r="H20" s="36">
        <f t="shared" si="3"/>
        <v>180000</v>
      </c>
      <c r="I20" s="36">
        <f t="shared" si="4"/>
        <v>3680000</v>
      </c>
      <c r="J20" s="36">
        <f t="shared" si="5"/>
        <v>2450000</v>
      </c>
      <c r="K20" s="40">
        <f t="shared" si="6"/>
        <v>1230000</v>
      </c>
    </row>
    <row r="21" spans="1:11" s="2" customFormat="1" ht="14.25" customHeight="1" x14ac:dyDescent="0.25">
      <c r="B21" s="39">
        <v>15000</v>
      </c>
      <c r="C21" s="15">
        <v>1</v>
      </c>
      <c r="D21" s="9">
        <f t="shared" si="0"/>
        <v>9.0909090909090912E-2</v>
      </c>
      <c r="E21" s="9">
        <f t="shared" si="7"/>
        <v>0.54545454545454553</v>
      </c>
      <c r="F21" s="29">
        <f t="shared" si="1"/>
        <v>17000</v>
      </c>
      <c r="G21" s="36">
        <f t="shared" si="2"/>
        <v>3750000</v>
      </c>
      <c r="H21" s="36">
        <f t="shared" si="3"/>
        <v>120000</v>
      </c>
      <c r="I21" s="36">
        <f t="shared" si="4"/>
        <v>3870000</v>
      </c>
      <c r="J21" s="36">
        <f t="shared" si="5"/>
        <v>2450000</v>
      </c>
      <c r="K21" s="40">
        <f t="shared" si="6"/>
        <v>1420000</v>
      </c>
    </row>
    <row r="22" spans="1:11" s="2" customFormat="1" ht="14.25" customHeight="1" x14ac:dyDescent="0.25">
      <c r="B22" s="39">
        <v>17000</v>
      </c>
      <c r="C22" s="15">
        <v>1</v>
      </c>
      <c r="D22" s="9">
        <f t="shared" si="0"/>
        <v>9.0909090909090912E-2</v>
      </c>
      <c r="E22" s="9">
        <f t="shared" si="7"/>
        <v>0.63636363636363646</v>
      </c>
      <c r="F22" s="29">
        <f t="shared" si="1"/>
        <v>17000</v>
      </c>
      <c r="G22" s="36">
        <f t="shared" si="2"/>
        <v>4250000</v>
      </c>
      <c r="H22" s="36">
        <f t="shared" si="3"/>
        <v>0</v>
      </c>
      <c r="I22" s="36">
        <f t="shared" si="4"/>
        <v>4250000</v>
      </c>
      <c r="J22" s="36">
        <f t="shared" si="5"/>
        <v>2450000</v>
      </c>
      <c r="K22" s="40">
        <f t="shared" si="6"/>
        <v>1800000</v>
      </c>
    </row>
    <row r="23" spans="1:11" s="2" customFormat="1" ht="14.25" customHeight="1" x14ac:dyDescent="0.25">
      <c r="B23" s="39">
        <v>18000</v>
      </c>
      <c r="C23" s="15">
        <v>2</v>
      </c>
      <c r="D23" s="9">
        <f t="shared" si="0"/>
        <v>0.18181818181818182</v>
      </c>
      <c r="E23" s="9">
        <f t="shared" si="7"/>
        <v>0.81818181818181834</v>
      </c>
      <c r="F23" s="29">
        <f t="shared" si="1"/>
        <v>17000</v>
      </c>
      <c r="G23" s="36">
        <f t="shared" si="2"/>
        <v>4250000</v>
      </c>
      <c r="H23" s="36">
        <f t="shared" si="3"/>
        <v>0</v>
      </c>
      <c r="I23" s="36">
        <f t="shared" si="4"/>
        <v>4250000</v>
      </c>
      <c r="J23" s="36">
        <f t="shared" si="5"/>
        <v>2450000</v>
      </c>
      <c r="K23" s="40">
        <f t="shared" si="6"/>
        <v>1800000</v>
      </c>
    </row>
    <row r="24" spans="1:11" s="2" customFormat="1" ht="14.25" customHeight="1" x14ac:dyDescent="0.25">
      <c r="B24" s="39">
        <v>19000</v>
      </c>
      <c r="C24" s="15">
        <v>2</v>
      </c>
      <c r="D24" s="9">
        <f t="shared" si="0"/>
        <v>0.18181818181818182</v>
      </c>
      <c r="E24" s="9">
        <f t="shared" si="7"/>
        <v>1.0000000000000002</v>
      </c>
      <c r="F24" s="29">
        <f t="shared" si="1"/>
        <v>17000</v>
      </c>
      <c r="G24" s="36">
        <f t="shared" si="2"/>
        <v>4250000</v>
      </c>
      <c r="H24" s="36">
        <f t="shared" si="3"/>
        <v>0</v>
      </c>
      <c r="I24" s="36">
        <f t="shared" si="4"/>
        <v>4250000</v>
      </c>
      <c r="J24" s="36">
        <f t="shared" si="5"/>
        <v>2450000</v>
      </c>
      <c r="K24" s="40">
        <f t="shared" si="6"/>
        <v>1800000</v>
      </c>
    </row>
    <row r="25" spans="1:11" ht="14.25" customHeight="1" x14ac:dyDescent="0.25">
      <c r="A25" s="2"/>
      <c r="B25" s="39" t="s">
        <v>9</v>
      </c>
      <c r="C25" s="15">
        <f>SUM(C18:C24)</f>
        <v>11</v>
      </c>
      <c r="D25" s="11"/>
      <c r="E25" s="11"/>
      <c r="F25" s="12"/>
      <c r="G25" s="20"/>
      <c r="H25" s="20"/>
      <c r="I25" s="20"/>
      <c r="J25" s="20"/>
      <c r="K25" s="41">
        <f>SUMPRODUCT(D18:D24,K18:K24)</f>
        <v>1195454.5454545454</v>
      </c>
    </row>
    <row r="26" spans="1:11" ht="15.75" thickBot="1" x14ac:dyDescent="0.3">
      <c r="A26" s="2"/>
      <c r="B26" s="42"/>
      <c r="C26" s="43"/>
      <c r="D26" s="43"/>
      <c r="E26" s="43"/>
      <c r="F26" s="43"/>
      <c r="G26" s="44"/>
      <c r="H26" s="44"/>
      <c r="I26" s="44"/>
      <c r="J26" s="44"/>
      <c r="K26" s="23"/>
    </row>
    <row r="27" spans="1:11" ht="15" x14ac:dyDescent="0.25">
      <c r="A27" s="2"/>
      <c r="B27" s="27"/>
      <c r="C27" s="27"/>
      <c r="D27" s="27"/>
      <c r="E27" s="27"/>
      <c r="F27" s="27"/>
      <c r="G27" s="2"/>
      <c r="H27" s="2"/>
      <c r="I27" s="2"/>
      <c r="J27" s="2"/>
    </row>
    <row r="28" spans="1:11" ht="163.15" customHeight="1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ht="15" x14ac:dyDescent="0.25">
      <c r="A29" s="2"/>
      <c r="B29" s="30"/>
      <c r="C29" s="31"/>
      <c r="D29" s="31"/>
      <c r="E29" s="31"/>
      <c r="F29" s="31"/>
      <c r="G29" s="31"/>
      <c r="H29" s="31"/>
      <c r="I29" s="31"/>
      <c r="J29" s="31"/>
      <c r="K29" s="32"/>
    </row>
    <row r="30" spans="1:11" ht="15" x14ac:dyDescent="0.25">
      <c r="A30" s="2"/>
      <c r="B30" s="106" t="s">
        <v>7</v>
      </c>
      <c r="C30" s="102"/>
      <c r="D30" s="20"/>
      <c r="E30" s="101" t="s">
        <v>8</v>
      </c>
      <c r="F30" s="102"/>
      <c r="G30" s="20"/>
      <c r="H30" s="20"/>
      <c r="I30" s="20"/>
      <c r="J30" s="20"/>
      <c r="K30" s="24"/>
    </row>
    <row r="31" spans="1:11" ht="15" x14ac:dyDescent="0.25">
      <c r="A31" s="2"/>
      <c r="B31" s="33" t="s">
        <v>0</v>
      </c>
      <c r="C31" s="5">
        <v>250</v>
      </c>
      <c r="D31" s="20"/>
      <c r="E31" s="4" t="s">
        <v>0</v>
      </c>
      <c r="F31" s="6">
        <v>200</v>
      </c>
      <c r="G31" s="20"/>
      <c r="H31" s="20"/>
      <c r="I31" s="20"/>
      <c r="J31" s="20"/>
      <c r="K31" s="24"/>
    </row>
    <row r="32" spans="1:11" ht="15.75" thickBot="1" x14ac:dyDescent="0.3">
      <c r="A32" s="2"/>
      <c r="B32" s="34" t="s">
        <v>1</v>
      </c>
      <c r="C32" s="5">
        <v>200</v>
      </c>
      <c r="D32" s="20"/>
      <c r="E32" s="7" t="s">
        <v>2</v>
      </c>
      <c r="F32" s="6">
        <v>140</v>
      </c>
      <c r="G32" s="20"/>
      <c r="H32" s="20"/>
      <c r="I32" s="20"/>
      <c r="J32" s="20"/>
      <c r="K32" s="24"/>
    </row>
    <row r="33" spans="1:19" ht="15" x14ac:dyDescent="0.25">
      <c r="A33" s="2"/>
      <c r="B33" s="34" t="s">
        <v>3</v>
      </c>
      <c r="C33" s="5">
        <v>60</v>
      </c>
      <c r="D33" s="20"/>
      <c r="E33" s="7" t="s">
        <v>4</v>
      </c>
      <c r="F33" s="6">
        <v>70000</v>
      </c>
      <c r="G33" s="20"/>
      <c r="H33" s="20"/>
      <c r="I33" s="20"/>
      <c r="J33" s="20"/>
      <c r="K33" s="24"/>
      <c r="N33" s="85" t="s">
        <v>47</v>
      </c>
      <c r="O33" s="86" t="s">
        <v>48</v>
      </c>
      <c r="P33" s="86" t="s">
        <v>49</v>
      </c>
      <c r="Q33" s="86" t="s">
        <v>50</v>
      </c>
      <c r="R33" s="86" t="s">
        <v>52</v>
      </c>
      <c r="S33" s="87" t="s">
        <v>51</v>
      </c>
    </row>
    <row r="34" spans="1:19" ht="15" x14ac:dyDescent="0.25">
      <c r="A34" s="2"/>
      <c r="B34" s="19"/>
      <c r="C34" s="20"/>
      <c r="D34" s="20"/>
      <c r="E34" s="20"/>
      <c r="F34" s="20"/>
      <c r="G34" s="20"/>
      <c r="H34" s="20"/>
      <c r="I34" s="20"/>
      <c r="J34" s="20"/>
      <c r="K34" s="24"/>
      <c r="N34" s="82">
        <v>9000</v>
      </c>
      <c r="O34" s="65">
        <v>450000</v>
      </c>
      <c r="P34" s="65">
        <v>470000</v>
      </c>
      <c r="Q34" s="83">
        <v>920000</v>
      </c>
      <c r="R34" s="88">
        <f>O34/Q34</f>
        <v>0.4891304347826087</v>
      </c>
      <c r="S34" s="89">
        <f>P34/Q34</f>
        <v>0.51086956521739135</v>
      </c>
    </row>
    <row r="35" spans="1:19" ht="15" x14ac:dyDescent="0.25">
      <c r="A35" s="2"/>
      <c r="B35" s="35" t="s">
        <v>25</v>
      </c>
      <c r="C35" s="20"/>
      <c r="D35" s="36">
        <f>C31-C32</f>
        <v>50</v>
      </c>
      <c r="E35" s="20"/>
      <c r="F35" s="20"/>
      <c r="G35" s="20"/>
      <c r="H35" s="20"/>
      <c r="I35" s="20"/>
      <c r="J35" s="20"/>
      <c r="K35" s="24"/>
      <c r="N35" s="82">
        <v>11000</v>
      </c>
      <c r="O35" s="65">
        <v>446364</v>
      </c>
      <c r="P35" s="65">
        <v>590000</v>
      </c>
      <c r="Q35" s="83">
        <v>1036364</v>
      </c>
      <c r="R35" s="67">
        <f t="shared" ref="R35:R40" si="8">O35/Q35</f>
        <v>0.43070195413966522</v>
      </c>
      <c r="S35" s="90">
        <f t="shared" ref="S35:S40" si="9">P35/Q35</f>
        <v>0.56929804586033483</v>
      </c>
    </row>
    <row r="36" spans="1:19" ht="15" x14ac:dyDescent="0.25">
      <c r="A36" s="2"/>
      <c r="B36" s="35" t="s">
        <v>26</v>
      </c>
      <c r="C36" s="20"/>
      <c r="D36" s="36">
        <f>C32-C33</f>
        <v>140</v>
      </c>
      <c r="E36" s="20"/>
      <c r="F36" s="20"/>
      <c r="G36" s="20"/>
      <c r="H36" s="20"/>
      <c r="I36" s="20"/>
      <c r="J36" s="20"/>
      <c r="K36" s="24"/>
      <c r="N36" s="82">
        <v>14000</v>
      </c>
      <c r="O36" s="65">
        <v>389091</v>
      </c>
      <c r="P36" s="65">
        <v>770000</v>
      </c>
      <c r="Q36" s="83">
        <v>1159091</v>
      </c>
      <c r="R36" s="67">
        <f t="shared" si="8"/>
        <v>0.33568632661283715</v>
      </c>
      <c r="S36" s="90">
        <f t="shared" si="9"/>
        <v>0.66431367338716285</v>
      </c>
    </row>
    <row r="37" spans="1:19" ht="15" x14ac:dyDescent="0.25">
      <c r="A37" s="2"/>
      <c r="B37" s="35" t="s">
        <v>27</v>
      </c>
      <c r="C37" s="20"/>
      <c r="D37" s="37">
        <f>D35/(D35+D36)</f>
        <v>0.26315789473684209</v>
      </c>
      <c r="E37" s="20"/>
      <c r="F37" s="20"/>
      <c r="G37" s="20"/>
      <c r="H37" s="20"/>
      <c r="I37" s="20"/>
      <c r="J37" s="20"/>
      <c r="K37" s="24"/>
      <c r="N37" s="82">
        <v>15000</v>
      </c>
      <c r="O37" s="65">
        <v>352727</v>
      </c>
      <c r="P37" s="65">
        <v>830000</v>
      </c>
      <c r="Q37" s="83">
        <v>1182727</v>
      </c>
      <c r="R37" s="67">
        <f t="shared" si="8"/>
        <v>0.29823196730944673</v>
      </c>
      <c r="S37" s="90">
        <f t="shared" si="9"/>
        <v>0.70176803269055332</v>
      </c>
    </row>
    <row r="38" spans="1:19" ht="15" x14ac:dyDescent="0.25">
      <c r="A38" s="2"/>
      <c r="B38" s="45" t="s">
        <v>28</v>
      </c>
      <c r="C38" s="46"/>
      <c r="D38" s="46">
        <v>9000</v>
      </c>
      <c r="E38" s="20"/>
      <c r="F38" s="20"/>
      <c r="G38" s="20"/>
      <c r="H38" s="20"/>
      <c r="I38" s="20"/>
      <c r="J38" s="20"/>
      <c r="K38" s="24"/>
      <c r="N38" s="82">
        <v>17000</v>
      </c>
      <c r="O38" s="65">
        <v>245455</v>
      </c>
      <c r="P38" s="65">
        <v>950000</v>
      </c>
      <c r="Q38" s="84">
        <v>1195455</v>
      </c>
      <c r="R38" s="67">
        <f t="shared" si="8"/>
        <v>0.20532349607471631</v>
      </c>
      <c r="S38" s="90">
        <f t="shared" si="9"/>
        <v>0.79467650392528366</v>
      </c>
    </row>
    <row r="39" spans="1:19" ht="15" x14ac:dyDescent="0.25">
      <c r="A39" s="2"/>
      <c r="B39" s="103" t="s">
        <v>30</v>
      </c>
      <c r="C39" s="104"/>
      <c r="D39" s="104"/>
      <c r="E39" s="104"/>
      <c r="F39" s="104"/>
      <c r="G39" s="104"/>
      <c r="H39" s="104"/>
      <c r="I39" s="104"/>
      <c r="J39" s="104"/>
      <c r="K39" s="105"/>
      <c r="N39" s="82">
        <v>18000</v>
      </c>
      <c r="O39" s="65">
        <v>174545</v>
      </c>
      <c r="P39" s="65">
        <v>1010000</v>
      </c>
      <c r="Q39" s="83">
        <v>1184545</v>
      </c>
      <c r="R39" s="67">
        <f t="shared" si="8"/>
        <v>0.14735193681962272</v>
      </c>
      <c r="S39" s="90">
        <f t="shared" si="9"/>
        <v>0.85264806318037722</v>
      </c>
    </row>
    <row r="40" spans="1:19" ht="15.75" thickBot="1" x14ac:dyDescent="0.3">
      <c r="A40" s="2"/>
      <c r="B40" s="38" t="s">
        <v>5</v>
      </c>
      <c r="C40" s="21" t="s">
        <v>6</v>
      </c>
      <c r="D40" s="21" t="s">
        <v>12</v>
      </c>
      <c r="E40" s="21" t="s">
        <v>13</v>
      </c>
      <c r="F40" s="21" t="s">
        <v>15</v>
      </c>
      <c r="G40" s="21" t="s">
        <v>14</v>
      </c>
      <c r="H40" s="21" t="s">
        <v>16</v>
      </c>
      <c r="I40" s="21" t="s">
        <v>17</v>
      </c>
      <c r="J40" s="21" t="s">
        <v>18</v>
      </c>
      <c r="K40" s="22" t="s">
        <v>19</v>
      </c>
      <c r="N40" s="91">
        <v>19000</v>
      </c>
      <c r="O40" s="92">
        <v>69091</v>
      </c>
      <c r="P40" s="92">
        <v>1070000</v>
      </c>
      <c r="Q40" s="92">
        <v>1139091</v>
      </c>
      <c r="R40" s="93">
        <f t="shared" si="8"/>
        <v>6.0654504337230297E-2</v>
      </c>
      <c r="S40" s="94">
        <f t="shared" si="9"/>
        <v>0.9393454956627697</v>
      </c>
    </row>
    <row r="41" spans="1:19" ht="15" x14ac:dyDescent="0.25">
      <c r="A41" s="2"/>
      <c r="B41" s="39">
        <v>9000</v>
      </c>
      <c r="C41" s="15">
        <v>3</v>
      </c>
      <c r="D41" s="9">
        <v>0.27272727272727271</v>
      </c>
      <c r="E41" s="9">
        <v>0.27272727272727271</v>
      </c>
      <c r="F41" s="29">
        <f>$D$38</f>
        <v>9000</v>
      </c>
      <c r="G41" s="36">
        <f>MIN(B41,F41)*$C$31</f>
        <v>2250000</v>
      </c>
      <c r="H41" s="36">
        <f>$C$33*MAX(0,F41-B41)</f>
        <v>0</v>
      </c>
      <c r="I41" s="36">
        <f>G41+H41</f>
        <v>2250000</v>
      </c>
      <c r="J41" s="36">
        <f>(F41*$C$32)</f>
        <v>1800000</v>
      </c>
      <c r="K41" s="40">
        <f>I41-J41</f>
        <v>450000</v>
      </c>
    </row>
    <row r="42" spans="1:19" ht="15" x14ac:dyDescent="0.25">
      <c r="A42" s="2"/>
      <c r="B42" s="39">
        <v>11000</v>
      </c>
      <c r="C42" s="15">
        <v>1</v>
      </c>
      <c r="D42" s="9">
        <v>9.0909090909090912E-2</v>
      </c>
      <c r="E42" s="9">
        <v>0.36363636363636365</v>
      </c>
      <c r="F42" s="29">
        <f t="shared" ref="F42:F47" si="10">$D$38</f>
        <v>9000</v>
      </c>
      <c r="G42" s="36">
        <f t="shared" ref="G42:G47" si="11">MIN(B42,F42)*$C$31</f>
        <v>2250000</v>
      </c>
      <c r="H42" s="36">
        <f t="shared" ref="H42:H47" si="12">$C$33*MAX(0,F42-B42)</f>
        <v>0</v>
      </c>
      <c r="I42" s="36">
        <f t="shared" ref="I42:I47" si="13">G42+H42</f>
        <v>2250000</v>
      </c>
      <c r="J42" s="36">
        <f t="shared" ref="J42:J47" si="14">(F42*$C$32)</f>
        <v>1800000</v>
      </c>
      <c r="K42" s="40">
        <f t="shared" ref="K42:K47" si="15">I42-J42</f>
        <v>450000</v>
      </c>
    </row>
    <row r="43" spans="1:19" ht="15" x14ac:dyDescent="0.25">
      <c r="A43" s="2"/>
      <c r="B43" s="39">
        <v>14000</v>
      </c>
      <c r="C43" s="15">
        <v>1</v>
      </c>
      <c r="D43" s="9">
        <v>9.0909090909090912E-2</v>
      </c>
      <c r="E43" s="9">
        <v>0.45454545454545459</v>
      </c>
      <c r="F43" s="29">
        <f t="shared" si="10"/>
        <v>9000</v>
      </c>
      <c r="G43" s="36">
        <f t="shared" si="11"/>
        <v>2250000</v>
      </c>
      <c r="H43" s="36">
        <f t="shared" si="12"/>
        <v>0</v>
      </c>
      <c r="I43" s="36">
        <f t="shared" si="13"/>
        <v>2250000</v>
      </c>
      <c r="J43" s="36">
        <f t="shared" si="14"/>
        <v>1800000</v>
      </c>
      <c r="K43" s="40">
        <f t="shared" si="15"/>
        <v>450000</v>
      </c>
    </row>
    <row r="44" spans="1:19" ht="15" x14ac:dyDescent="0.25">
      <c r="A44" s="2"/>
      <c r="B44" s="39">
        <v>15000</v>
      </c>
      <c r="C44" s="15">
        <v>1</v>
      </c>
      <c r="D44" s="9">
        <v>9.0909090909090912E-2</v>
      </c>
      <c r="E44" s="9">
        <v>0.54545454545454553</v>
      </c>
      <c r="F44" s="29">
        <f t="shared" si="10"/>
        <v>9000</v>
      </c>
      <c r="G44" s="36">
        <f t="shared" si="11"/>
        <v>2250000</v>
      </c>
      <c r="H44" s="36">
        <f t="shared" si="12"/>
        <v>0</v>
      </c>
      <c r="I44" s="36">
        <f t="shared" si="13"/>
        <v>2250000</v>
      </c>
      <c r="J44" s="36">
        <f t="shared" si="14"/>
        <v>1800000</v>
      </c>
      <c r="K44" s="40">
        <f t="shared" si="15"/>
        <v>450000</v>
      </c>
    </row>
    <row r="45" spans="1:19" ht="15" x14ac:dyDescent="0.25">
      <c r="A45" s="2"/>
      <c r="B45" s="39">
        <v>17000</v>
      </c>
      <c r="C45" s="15">
        <v>1</v>
      </c>
      <c r="D45" s="9">
        <v>9.0909090909090912E-2</v>
      </c>
      <c r="E45" s="9">
        <v>0.63636363636363646</v>
      </c>
      <c r="F45" s="29">
        <f t="shared" si="10"/>
        <v>9000</v>
      </c>
      <c r="G45" s="36">
        <f t="shared" si="11"/>
        <v>2250000</v>
      </c>
      <c r="H45" s="36">
        <f t="shared" si="12"/>
        <v>0</v>
      </c>
      <c r="I45" s="36">
        <f t="shared" si="13"/>
        <v>2250000</v>
      </c>
      <c r="J45" s="36">
        <f t="shared" si="14"/>
        <v>1800000</v>
      </c>
      <c r="K45" s="40">
        <f t="shared" si="15"/>
        <v>450000</v>
      </c>
    </row>
    <row r="46" spans="1:19" ht="15" x14ac:dyDescent="0.25">
      <c r="A46" s="2"/>
      <c r="B46" s="39">
        <v>18000</v>
      </c>
      <c r="C46" s="15">
        <v>2</v>
      </c>
      <c r="D46" s="9">
        <v>0.18181818181818182</v>
      </c>
      <c r="E46" s="9">
        <v>0.81818181818181834</v>
      </c>
      <c r="F46" s="29">
        <f t="shared" si="10"/>
        <v>9000</v>
      </c>
      <c r="G46" s="36">
        <f t="shared" si="11"/>
        <v>2250000</v>
      </c>
      <c r="H46" s="36">
        <f t="shared" si="12"/>
        <v>0</v>
      </c>
      <c r="I46" s="36">
        <f t="shared" si="13"/>
        <v>2250000</v>
      </c>
      <c r="J46" s="36">
        <f t="shared" si="14"/>
        <v>1800000</v>
      </c>
      <c r="K46" s="40">
        <f t="shared" si="15"/>
        <v>450000</v>
      </c>
    </row>
    <row r="47" spans="1:19" ht="15" x14ac:dyDescent="0.25">
      <c r="A47" s="2"/>
      <c r="B47" s="39">
        <v>19000</v>
      </c>
      <c r="C47" s="15">
        <v>2</v>
      </c>
      <c r="D47" s="9">
        <v>0.18181818181818182</v>
      </c>
      <c r="E47" s="9">
        <v>1.0000000000000002</v>
      </c>
      <c r="F47" s="29">
        <f t="shared" si="10"/>
        <v>9000</v>
      </c>
      <c r="G47" s="36">
        <f t="shared" si="11"/>
        <v>2250000</v>
      </c>
      <c r="H47" s="36">
        <f t="shared" si="12"/>
        <v>0</v>
      </c>
      <c r="I47" s="36">
        <f t="shared" si="13"/>
        <v>2250000</v>
      </c>
      <c r="J47" s="36">
        <f t="shared" si="14"/>
        <v>1800000</v>
      </c>
      <c r="K47" s="40">
        <f t="shared" si="15"/>
        <v>450000</v>
      </c>
    </row>
    <row r="48" spans="1:19" ht="15" x14ac:dyDescent="0.25">
      <c r="A48" s="2"/>
      <c r="B48" s="39"/>
      <c r="C48" s="15"/>
      <c r="D48" s="11"/>
      <c r="E48" s="11"/>
      <c r="F48" s="12"/>
      <c r="G48" s="20"/>
      <c r="H48" s="20"/>
      <c r="I48" s="20"/>
      <c r="J48" s="20"/>
      <c r="K48" s="41">
        <f>SUMPRODUCT(D41:D47,K41:K47)</f>
        <v>450000</v>
      </c>
    </row>
    <row r="49" spans="1:14" ht="15" x14ac:dyDescent="0.25">
      <c r="A49" s="2"/>
      <c r="B49" s="103" t="s">
        <v>29</v>
      </c>
      <c r="C49" s="104"/>
      <c r="D49" s="104"/>
      <c r="E49" s="104"/>
      <c r="F49" s="104"/>
      <c r="G49" s="104"/>
      <c r="H49" s="104"/>
      <c r="I49" s="104"/>
      <c r="J49" s="104"/>
      <c r="K49" s="105"/>
    </row>
    <row r="50" spans="1:14" ht="14.25" customHeight="1" x14ac:dyDescent="0.35">
      <c r="B50" s="38" t="s">
        <v>5</v>
      </c>
      <c r="C50" s="21" t="s">
        <v>6</v>
      </c>
      <c r="D50" s="21" t="s">
        <v>12</v>
      </c>
      <c r="E50" s="21" t="s">
        <v>13</v>
      </c>
      <c r="F50" s="21" t="s">
        <v>15</v>
      </c>
      <c r="G50" s="21" t="s">
        <v>14</v>
      </c>
      <c r="H50" s="21"/>
      <c r="I50" s="21"/>
      <c r="J50" s="21" t="s">
        <v>18</v>
      </c>
      <c r="K50" s="22" t="s">
        <v>19</v>
      </c>
    </row>
    <row r="51" spans="1:14" ht="14.25" customHeight="1" x14ac:dyDescent="0.35">
      <c r="B51" s="39">
        <v>9000</v>
      </c>
      <c r="C51" s="15">
        <v>3</v>
      </c>
      <c r="D51" s="9">
        <v>0.27272727272727271</v>
      </c>
      <c r="E51" s="9">
        <v>0.27272727272727271</v>
      </c>
      <c r="F51" s="29">
        <f>$D$38</f>
        <v>9000</v>
      </c>
      <c r="G51" s="36">
        <f>F51*$F$31</f>
        <v>1800000</v>
      </c>
      <c r="H51" s="36"/>
      <c r="I51" s="36"/>
      <c r="J51" s="36">
        <f>(F51*$F$32)+$F$33</f>
        <v>1330000</v>
      </c>
      <c r="K51" s="40">
        <f>G51-J51</f>
        <v>470000</v>
      </c>
    </row>
    <row r="52" spans="1:14" ht="14.25" customHeight="1" x14ac:dyDescent="0.35">
      <c r="B52" s="39">
        <v>11000</v>
      </c>
      <c r="C52" s="15">
        <v>1</v>
      </c>
      <c r="D52" s="9">
        <v>9.0909090909090912E-2</v>
      </c>
      <c r="E52" s="9">
        <v>0.36363636363636365</v>
      </c>
      <c r="F52" s="29">
        <f t="shared" ref="F52:F57" si="16">$D$38</f>
        <v>9000</v>
      </c>
      <c r="G52" s="36">
        <f t="shared" ref="G52:G57" si="17">F52*$F$31</f>
        <v>1800000</v>
      </c>
      <c r="H52" s="36"/>
      <c r="I52" s="36"/>
      <c r="J52" s="36">
        <f t="shared" ref="J52:J57" si="18">(F52*$F$32)+$F$33</f>
        <v>1330000</v>
      </c>
      <c r="K52" s="40">
        <f t="shared" ref="K52:K57" si="19">G52-J52</f>
        <v>470000</v>
      </c>
    </row>
    <row r="53" spans="1:14" ht="14.25" customHeight="1" x14ac:dyDescent="0.35">
      <c r="B53" s="39">
        <v>14000</v>
      </c>
      <c r="C53" s="15">
        <v>1</v>
      </c>
      <c r="D53" s="9">
        <v>9.0909090909090912E-2</v>
      </c>
      <c r="E53" s="9">
        <v>0.45454545454545459</v>
      </c>
      <c r="F53" s="29">
        <f t="shared" si="16"/>
        <v>9000</v>
      </c>
      <c r="G53" s="36">
        <f t="shared" si="17"/>
        <v>1800000</v>
      </c>
      <c r="H53" s="36"/>
      <c r="I53" s="36"/>
      <c r="J53" s="36">
        <f t="shared" si="18"/>
        <v>1330000</v>
      </c>
      <c r="K53" s="40">
        <f t="shared" si="19"/>
        <v>470000</v>
      </c>
    </row>
    <row r="54" spans="1:14" ht="14.25" customHeight="1" x14ac:dyDescent="0.35">
      <c r="B54" s="39">
        <v>15000</v>
      </c>
      <c r="C54" s="15">
        <v>1</v>
      </c>
      <c r="D54" s="9">
        <v>9.0909090909090912E-2</v>
      </c>
      <c r="E54" s="9">
        <v>0.54545454545454553</v>
      </c>
      <c r="F54" s="29">
        <f t="shared" si="16"/>
        <v>9000</v>
      </c>
      <c r="G54" s="36">
        <f t="shared" si="17"/>
        <v>1800000</v>
      </c>
      <c r="H54" s="36"/>
      <c r="I54" s="36"/>
      <c r="J54" s="36">
        <f t="shared" si="18"/>
        <v>1330000</v>
      </c>
      <c r="K54" s="40">
        <f t="shared" si="19"/>
        <v>470000</v>
      </c>
    </row>
    <row r="55" spans="1:14" ht="14.25" customHeight="1" x14ac:dyDescent="0.35">
      <c r="B55" s="39">
        <v>17000</v>
      </c>
      <c r="C55" s="15">
        <v>1</v>
      </c>
      <c r="D55" s="9">
        <v>9.0909090909090912E-2</v>
      </c>
      <c r="E55" s="9">
        <v>0.63636363636363646</v>
      </c>
      <c r="F55" s="29">
        <f t="shared" si="16"/>
        <v>9000</v>
      </c>
      <c r="G55" s="36">
        <f t="shared" si="17"/>
        <v>1800000</v>
      </c>
      <c r="H55" s="36"/>
      <c r="I55" s="36"/>
      <c r="J55" s="36">
        <f t="shared" si="18"/>
        <v>1330000</v>
      </c>
      <c r="K55" s="40">
        <f t="shared" si="19"/>
        <v>470000</v>
      </c>
    </row>
    <row r="56" spans="1:14" ht="14.25" customHeight="1" x14ac:dyDescent="0.35">
      <c r="B56" s="39">
        <v>18000</v>
      </c>
      <c r="C56" s="15">
        <v>2</v>
      </c>
      <c r="D56" s="9">
        <v>0.18181818181818182</v>
      </c>
      <c r="E56" s="9">
        <v>0.81818181818181834</v>
      </c>
      <c r="F56" s="29">
        <f t="shared" si="16"/>
        <v>9000</v>
      </c>
      <c r="G56" s="36">
        <f t="shared" si="17"/>
        <v>1800000</v>
      </c>
      <c r="H56" s="36"/>
      <c r="I56" s="36"/>
      <c r="J56" s="36">
        <f t="shared" si="18"/>
        <v>1330000</v>
      </c>
      <c r="K56" s="40">
        <f t="shared" si="19"/>
        <v>470000</v>
      </c>
    </row>
    <row r="57" spans="1:14" ht="14.25" customHeight="1" x14ac:dyDescent="0.35">
      <c r="B57" s="39">
        <v>19000</v>
      </c>
      <c r="C57" s="15">
        <v>2</v>
      </c>
      <c r="D57" s="9">
        <v>0.18181818181818182</v>
      </c>
      <c r="E57" s="9">
        <v>1.0000000000000002</v>
      </c>
      <c r="F57" s="29">
        <f t="shared" si="16"/>
        <v>9000</v>
      </c>
      <c r="G57" s="36">
        <f t="shared" si="17"/>
        <v>1800000</v>
      </c>
      <c r="H57" s="36"/>
      <c r="I57" s="36"/>
      <c r="J57" s="36">
        <f t="shared" si="18"/>
        <v>1330000</v>
      </c>
      <c r="K57" s="40">
        <f t="shared" si="19"/>
        <v>470000</v>
      </c>
    </row>
    <row r="58" spans="1:14" x14ac:dyDescent="0.35">
      <c r="B58" s="39"/>
      <c r="C58" s="15"/>
      <c r="D58" s="11"/>
      <c r="E58" s="11"/>
      <c r="F58" s="12"/>
      <c r="G58" s="20"/>
      <c r="H58" s="20"/>
      <c r="I58" s="20"/>
      <c r="J58" s="20"/>
      <c r="K58" s="41">
        <f>SUMPRODUCT(D51:D57,K51:K57)</f>
        <v>470000.00000000006</v>
      </c>
    </row>
    <row r="59" spans="1:14" ht="18" thickBot="1" x14ac:dyDescent="0.4">
      <c r="B59" s="47"/>
      <c r="C59" s="44"/>
      <c r="D59" s="44"/>
      <c r="E59" s="44" t="s">
        <v>20</v>
      </c>
      <c r="F59" s="44"/>
      <c r="G59" s="44"/>
      <c r="H59" s="48">
        <f>K48+K58</f>
        <v>920000</v>
      </c>
      <c r="I59" s="44"/>
      <c r="J59" s="44"/>
      <c r="K59" s="49"/>
    </row>
    <row r="62" spans="1:14" ht="154.9" customHeight="1" thickBot="1" x14ac:dyDescent="0.4"/>
    <row r="63" spans="1:14" ht="15" x14ac:dyDescent="0.25">
      <c r="A63" s="2"/>
      <c r="B63" s="30" t="s">
        <v>37</v>
      </c>
      <c r="C63" s="31"/>
      <c r="D63" s="31"/>
      <c r="E63" s="31"/>
      <c r="F63" s="31"/>
      <c r="G63" s="31"/>
      <c r="H63" s="31"/>
      <c r="I63" s="31"/>
      <c r="J63" s="31"/>
      <c r="K63" s="32"/>
      <c r="M63" s="1" t="s">
        <v>34</v>
      </c>
      <c r="N63" s="1" t="s">
        <v>41</v>
      </c>
    </row>
    <row r="64" spans="1:14" ht="15" x14ac:dyDescent="0.25">
      <c r="A64" s="2"/>
      <c r="B64" s="106" t="s">
        <v>7</v>
      </c>
      <c r="C64" s="102"/>
      <c r="D64" s="20"/>
      <c r="E64" s="101" t="s">
        <v>8</v>
      </c>
      <c r="F64" s="102"/>
      <c r="G64" s="20"/>
      <c r="H64" s="20"/>
      <c r="I64" s="20"/>
      <c r="J64" s="20"/>
      <c r="K64" s="24"/>
      <c r="M64" s="57">
        <v>0.81830000000000003</v>
      </c>
      <c r="N64" s="58">
        <f>((M64*C65)-C65+C66)/M64</f>
        <v>188.89771477453257</v>
      </c>
    </row>
    <row r="65" spans="1:21" ht="15" x14ac:dyDescent="0.25">
      <c r="A65" s="2"/>
      <c r="B65" s="33" t="s">
        <v>0</v>
      </c>
      <c r="C65" s="5">
        <v>250</v>
      </c>
      <c r="D65" s="20"/>
      <c r="E65" s="4" t="s">
        <v>0</v>
      </c>
      <c r="F65" s="6">
        <v>200</v>
      </c>
      <c r="G65" s="20"/>
      <c r="H65" s="20"/>
      <c r="I65" s="20"/>
      <c r="J65" s="20"/>
      <c r="K65" s="24"/>
    </row>
    <row r="66" spans="1:21" ht="15" x14ac:dyDescent="0.25">
      <c r="A66" s="2"/>
      <c r="B66" s="34" t="s">
        <v>1</v>
      </c>
      <c r="C66" s="5">
        <v>200</v>
      </c>
      <c r="D66" s="20"/>
      <c r="E66" s="7" t="s">
        <v>2</v>
      </c>
      <c r="F66" s="6">
        <v>140</v>
      </c>
      <c r="G66" s="20"/>
      <c r="H66" s="20"/>
      <c r="I66" s="20"/>
      <c r="J66" s="20"/>
      <c r="K66" s="24"/>
    </row>
    <row r="67" spans="1:21" ht="15" x14ac:dyDescent="0.25">
      <c r="A67" s="2"/>
      <c r="B67" s="62" t="s">
        <v>31</v>
      </c>
      <c r="C67" s="61">
        <v>140</v>
      </c>
      <c r="D67" s="20"/>
      <c r="E67" s="7" t="s">
        <v>4</v>
      </c>
      <c r="F67" s="6">
        <v>70000</v>
      </c>
      <c r="G67" s="20"/>
      <c r="H67" s="20"/>
      <c r="I67" s="20"/>
      <c r="J67" s="20"/>
      <c r="K67" s="24"/>
    </row>
    <row r="68" spans="1:21" ht="15" x14ac:dyDescent="0.25">
      <c r="A68" s="2"/>
      <c r="B68" s="19"/>
      <c r="C68" s="20"/>
      <c r="D68" s="20"/>
      <c r="E68" s="20"/>
      <c r="F68" s="20"/>
      <c r="G68" s="20"/>
      <c r="H68" s="20"/>
      <c r="I68" s="20"/>
      <c r="J68" s="20"/>
      <c r="K68" s="24"/>
    </row>
    <row r="69" spans="1:21" ht="15" x14ac:dyDescent="0.25">
      <c r="A69" s="2"/>
      <c r="B69" s="35" t="s">
        <v>25</v>
      </c>
      <c r="C69" s="20"/>
      <c r="D69" s="36">
        <f>C65-C66</f>
        <v>50</v>
      </c>
      <c r="E69" s="20"/>
      <c r="F69" s="20"/>
      <c r="G69" s="20"/>
      <c r="H69" s="20"/>
      <c r="I69" s="20"/>
      <c r="J69" s="20"/>
      <c r="K69" s="24"/>
    </row>
    <row r="70" spans="1:21" ht="15" x14ac:dyDescent="0.25">
      <c r="A70" s="2"/>
      <c r="B70" s="35" t="s">
        <v>26</v>
      </c>
      <c r="C70" s="20"/>
      <c r="D70" s="36">
        <f>C66-C67</f>
        <v>60</v>
      </c>
      <c r="E70" s="20"/>
      <c r="F70" s="20"/>
      <c r="G70" s="20"/>
      <c r="H70" s="20"/>
      <c r="I70" s="20"/>
      <c r="J70" s="20"/>
      <c r="K70" s="24"/>
    </row>
    <row r="71" spans="1:21" ht="15" x14ac:dyDescent="0.25">
      <c r="A71" s="2"/>
      <c r="B71" s="35" t="s">
        <v>27</v>
      </c>
      <c r="C71" s="20"/>
      <c r="D71" s="37">
        <f>D69/(D69+D70)</f>
        <v>0.45454545454545453</v>
      </c>
      <c r="E71" s="20"/>
      <c r="F71" s="20"/>
      <c r="G71" s="20"/>
      <c r="H71" s="20"/>
      <c r="I71" s="20"/>
      <c r="J71" s="20"/>
      <c r="K71" s="24"/>
      <c r="M71" s="95" t="s">
        <v>53</v>
      </c>
      <c r="N71" s="95"/>
      <c r="O71" s="95"/>
      <c r="P71" s="95"/>
      <c r="Q71" s="63"/>
      <c r="R71" s="63"/>
      <c r="S71" s="63"/>
    </row>
    <row r="72" spans="1:21" ht="15" x14ac:dyDescent="0.25">
      <c r="A72" s="2"/>
      <c r="B72" s="45" t="s">
        <v>28</v>
      </c>
      <c r="C72" s="46"/>
      <c r="D72" s="46">
        <v>19000</v>
      </c>
      <c r="E72" s="20"/>
      <c r="F72" s="20"/>
      <c r="G72" s="20"/>
      <c r="H72" s="20"/>
      <c r="I72" s="20"/>
      <c r="J72" s="20"/>
      <c r="K72" s="24"/>
      <c r="M72" s="53" t="s">
        <v>34</v>
      </c>
      <c r="N72" s="53" t="s">
        <v>41</v>
      </c>
      <c r="O72" s="53" t="s">
        <v>15</v>
      </c>
      <c r="P72" s="53" t="s">
        <v>42</v>
      </c>
      <c r="Q72" s="53" t="s">
        <v>43</v>
      </c>
      <c r="R72" s="53" t="s">
        <v>44</v>
      </c>
      <c r="S72" s="53" t="s">
        <v>45</v>
      </c>
      <c r="T72" s="53" t="s">
        <v>46</v>
      </c>
    </row>
    <row r="73" spans="1:21" ht="15" x14ac:dyDescent="0.25">
      <c r="A73" s="2"/>
      <c r="B73" s="50"/>
      <c r="C73" s="51"/>
      <c r="D73" s="51"/>
      <c r="E73" s="20"/>
      <c r="F73" s="20"/>
      <c r="G73" s="20"/>
      <c r="H73" s="20"/>
      <c r="I73" s="20"/>
      <c r="J73" s="20"/>
      <c r="K73" s="24"/>
      <c r="M73" s="59">
        <v>20</v>
      </c>
      <c r="N73" s="59">
        <v>0</v>
      </c>
      <c r="O73" s="64">
        <v>9000</v>
      </c>
      <c r="P73" s="65">
        <v>450000</v>
      </c>
      <c r="Q73" s="65">
        <v>470000</v>
      </c>
      <c r="R73" s="65">
        <v>920000</v>
      </c>
      <c r="S73" s="68">
        <f>P73/R73</f>
        <v>0.4891304347826087</v>
      </c>
      <c r="T73" s="69">
        <f>Q73/R73</f>
        <v>0.51086956521739135</v>
      </c>
    </row>
    <row r="74" spans="1:21" ht="15" x14ac:dyDescent="0.25">
      <c r="A74" s="2"/>
      <c r="B74" s="103" t="s">
        <v>30</v>
      </c>
      <c r="C74" s="104"/>
      <c r="D74" s="104"/>
      <c r="E74" s="104"/>
      <c r="F74" s="104"/>
      <c r="G74" s="104"/>
      <c r="H74" s="104"/>
      <c r="I74" s="104"/>
      <c r="J74" s="104"/>
      <c r="K74" s="105"/>
      <c r="M74" s="59">
        <v>27.27</v>
      </c>
      <c r="N74" s="59">
        <v>66.64</v>
      </c>
      <c r="O74" s="64">
        <v>9000</v>
      </c>
      <c r="P74" s="65">
        <v>450000</v>
      </c>
      <c r="Q74" s="65">
        <v>470000</v>
      </c>
      <c r="R74" s="65">
        <v>920000</v>
      </c>
      <c r="S74" s="68">
        <f t="shared" ref="S74:S86" si="20">P74/R74</f>
        <v>0.4891304347826087</v>
      </c>
      <c r="T74" s="69">
        <f t="shared" ref="T74:T86" si="21">Q74/R74</f>
        <v>0.51086956521739135</v>
      </c>
    </row>
    <row r="75" spans="1:21" ht="15" x14ac:dyDescent="0.25">
      <c r="A75" s="2"/>
      <c r="B75" s="38" t="s">
        <v>5</v>
      </c>
      <c r="C75" s="21" t="s">
        <v>6</v>
      </c>
      <c r="D75" s="21" t="s">
        <v>12</v>
      </c>
      <c r="E75" s="21" t="s">
        <v>13</v>
      </c>
      <c r="F75" s="21" t="s">
        <v>15</v>
      </c>
      <c r="G75" s="21" t="s">
        <v>14</v>
      </c>
      <c r="H75" s="21" t="s">
        <v>16</v>
      </c>
      <c r="I75" s="21" t="s">
        <v>17</v>
      </c>
      <c r="J75" s="21" t="s">
        <v>18</v>
      </c>
      <c r="K75" s="22" t="s">
        <v>19</v>
      </c>
      <c r="M75" s="59">
        <v>27.28</v>
      </c>
      <c r="N75" s="59">
        <v>66.709999999999994</v>
      </c>
      <c r="O75" s="64">
        <v>11000</v>
      </c>
      <c r="P75" s="65">
        <v>450024</v>
      </c>
      <c r="Q75" s="65">
        <v>553613</v>
      </c>
      <c r="R75" s="65">
        <v>1003636</v>
      </c>
      <c r="S75" s="68">
        <f t="shared" si="20"/>
        <v>0.44839364072233362</v>
      </c>
      <c r="T75" s="69">
        <f t="shared" si="21"/>
        <v>0.55160735565483898</v>
      </c>
    </row>
    <row r="76" spans="1:21" ht="15" x14ac:dyDescent="0.25">
      <c r="A76" s="2"/>
      <c r="B76" s="39">
        <v>9000</v>
      </c>
      <c r="C76" s="15">
        <v>3</v>
      </c>
      <c r="D76" s="9">
        <v>0.27272727272727271</v>
      </c>
      <c r="E76" s="9">
        <v>0.27272727272727271</v>
      </c>
      <c r="F76" s="29">
        <f>$D$72</f>
        <v>19000</v>
      </c>
      <c r="G76" s="36">
        <f>MIN(B76,F76)*$C$31</f>
        <v>2250000</v>
      </c>
      <c r="H76" s="36">
        <f>$C$67*MAX(0,F76-B76)</f>
        <v>1400000</v>
      </c>
      <c r="I76" s="36">
        <f>G76+H76</f>
        <v>3650000</v>
      </c>
      <c r="J76" s="36">
        <f>(F76*$C$32)</f>
        <v>3800000</v>
      </c>
      <c r="K76" s="40">
        <f>I76-J76</f>
        <v>-150000</v>
      </c>
      <c r="M76" s="59">
        <v>36.36</v>
      </c>
      <c r="N76" s="59">
        <v>112.48</v>
      </c>
      <c r="O76" s="64">
        <v>11000</v>
      </c>
      <c r="P76" s="65">
        <v>474989</v>
      </c>
      <c r="Q76" s="65">
        <v>528647</v>
      </c>
      <c r="R76" s="65">
        <v>1003636</v>
      </c>
      <c r="S76" s="68">
        <f t="shared" si="20"/>
        <v>0.47326819683630322</v>
      </c>
      <c r="T76" s="69">
        <f t="shared" si="21"/>
        <v>0.52673180316369683</v>
      </c>
    </row>
    <row r="77" spans="1:21" ht="15.75" thickBot="1" x14ac:dyDescent="0.3">
      <c r="A77" s="2"/>
      <c r="B77" s="39">
        <v>11000</v>
      </c>
      <c r="C77" s="15">
        <v>1</v>
      </c>
      <c r="D77" s="9">
        <v>9.0909090909090912E-2</v>
      </c>
      <c r="E77" s="9">
        <v>0.36363636363636365</v>
      </c>
      <c r="F77" s="29">
        <f t="shared" ref="F77:F82" si="22">$D$72</f>
        <v>19000</v>
      </c>
      <c r="G77" s="36">
        <f t="shared" ref="G77:G82" si="23">MIN(B77,F77)*$C$31</f>
        <v>2750000</v>
      </c>
      <c r="H77" s="36">
        <f t="shared" ref="H77:H82" si="24">$C$67*MAX(0,F77-B77)</f>
        <v>1120000</v>
      </c>
      <c r="I77" s="36">
        <f t="shared" ref="I77:I82" si="25">G77+H77</f>
        <v>3870000</v>
      </c>
      <c r="J77" s="36">
        <f t="shared" ref="J77:J82" si="26">(F77*$C$32)</f>
        <v>3800000</v>
      </c>
      <c r="K77" s="40">
        <f t="shared" ref="K77:K82" si="27">I77-J77</f>
        <v>70000</v>
      </c>
      <c r="M77" s="59">
        <v>36.369999999999997</v>
      </c>
      <c r="N77" s="59">
        <v>112.52</v>
      </c>
      <c r="O77" s="64">
        <v>14000</v>
      </c>
      <c r="P77" s="65">
        <v>475033</v>
      </c>
      <c r="Q77" s="65">
        <v>585876</v>
      </c>
      <c r="R77" s="65">
        <v>1060909</v>
      </c>
      <c r="S77" s="68">
        <f t="shared" si="20"/>
        <v>0.44776036398974839</v>
      </c>
      <c r="T77" s="69">
        <f t="shared" si="21"/>
        <v>0.55223963601025161</v>
      </c>
      <c r="U77" s="52"/>
    </row>
    <row r="78" spans="1:21" ht="15.75" thickBot="1" x14ac:dyDescent="0.3">
      <c r="A78" s="2"/>
      <c r="B78" s="39">
        <v>14000</v>
      </c>
      <c r="C78" s="15">
        <v>1</v>
      </c>
      <c r="D78" s="9">
        <v>9.0909090909090912E-2</v>
      </c>
      <c r="E78" s="9">
        <v>0.45454545454545459</v>
      </c>
      <c r="F78" s="29">
        <f t="shared" si="22"/>
        <v>19000</v>
      </c>
      <c r="G78" s="36">
        <f t="shared" si="23"/>
        <v>3500000</v>
      </c>
      <c r="H78" s="36">
        <f t="shared" si="24"/>
        <v>700000</v>
      </c>
      <c r="I78" s="36">
        <f t="shared" si="25"/>
        <v>4200000</v>
      </c>
      <c r="J78" s="36">
        <f t="shared" si="26"/>
        <v>3800000</v>
      </c>
      <c r="K78" s="40">
        <f t="shared" si="27"/>
        <v>400000</v>
      </c>
      <c r="M78" s="76">
        <v>45.45</v>
      </c>
      <c r="N78" s="77">
        <v>139.97999999999999</v>
      </c>
      <c r="O78" s="78">
        <v>14000</v>
      </c>
      <c r="P78" s="79">
        <v>519967</v>
      </c>
      <c r="Q78" s="79">
        <v>540942</v>
      </c>
      <c r="R78" s="79">
        <v>1060909</v>
      </c>
      <c r="S78" s="80">
        <f t="shared" si="20"/>
        <v>0.49011460926431955</v>
      </c>
      <c r="T78" s="81">
        <f t="shared" si="21"/>
        <v>0.5098853907356804</v>
      </c>
      <c r="U78" s="52"/>
    </row>
    <row r="79" spans="1:21" ht="15.75" thickBot="1" x14ac:dyDescent="0.3">
      <c r="A79" s="2"/>
      <c r="B79" s="39">
        <v>15000</v>
      </c>
      <c r="C79" s="15">
        <v>1</v>
      </c>
      <c r="D79" s="9">
        <v>9.0909090909090912E-2</v>
      </c>
      <c r="E79" s="9">
        <v>0.54545454545454553</v>
      </c>
      <c r="F79" s="29">
        <f t="shared" si="22"/>
        <v>19000</v>
      </c>
      <c r="G79" s="36">
        <f t="shared" si="23"/>
        <v>3750000</v>
      </c>
      <c r="H79" s="36">
        <f t="shared" si="24"/>
        <v>560000</v>
      </c>
      <c r="I79" s="36">
        <f t="shared" si="25"/>
        <v>4310000</v>
      </c>
      <c r="J79" s="36">
        <f t="shared" si="26"/>
        <v>3800000</v>
      </c>
      <c r="K79" s="40">
        <f t="shared" si="27"/>
        <v>510000</v>
      </c>
      <c r="M79" s="70">
        <v>45.46</v>
      </c>
      <c r="N79" s="71">
        <v>140.01</v>
      </c>
      <c r="O79" s="72">
        <v>15000</v>
      </c>
      <c r="P79" s="73">
        <v>520021</v>
      </c>
      <c r="Q79" s="73">
        <v>537252</v>
      </c>
      <c r="R79" s="73">
        <v>1057273</v>
      </c>
      <c r="S79" s="74">
        <f t="shared" si="20"/>
        <v>0.49185120588532955</v>
      </c>
      <c r="T79" s="75">
        <f t="shared" si="21"/>
        <v>0.50814879411467051</v>
      </c>
      <c r="U79" s="52"/>
    </row>
    <row r="80" spans="1:21" ht="15" x14ac:dyDescent="0.25">
      <c r="A80" s="2"/>
      <c r="B80" s="39">
        <v>17000</v>
      </c>
      <c r="C80" s="15">
        <v>1</v>
      </c>
      <c r="D80" s="9">
        <v>9.0909090909090912E-2</v>
      </c>
      <c r="E80" s="9">
        <v>0.63636363636363646</v>
      </c>
      <c r="F80" s="29">
        <f t="shared" si="22"/>
        <v>19000</v>
      </c>
      <c r="G80" s="36">
        <f t="shared" si="23"/>
        <v>4250000</v>
      </c>
      <c r="H80" s="36">
        <f t="shared" si="24"/>
        <v>280000</v>
      </c>
      <c r="I80" s="36">
        <f t="shared" si="25"/>
        <v>4530000</v>
      </c>
      <c r="J80" s="36">
        <f t="shared" si="26"/>
        <v>3800000</v>
      </c>
      <c r="K80" s="40">
        <f t="shared" si="27"/>
        <v>730000</v>
      </c>
      <c r="M80" s="59">
        <v>54.55</v>
      </c>
      <c r="N80" s="59">
        <v>158.34</v>
      </c>
      <c r="O80" s="64">
        <v>15000</v>
      </c>
      <c r="P80" s="65">
        <v>558347</v>
      </c>
      <c r="Q80" s="65">
        <v>498925</v>
      </c>
      <c r="R80" s="65">
        <v>1057273</v>
      </c>
      <c r="S80" s="68">
        <f t="shared" si="20"/>
        <v>0.5281010675577642</v>
      </c>
      <c r="T80" s="69">
        <f t="shared" si="21"/>
        <v>0.47189798661272914</v>
      </c>
      <c r="U80" s="52"/>
    </row>
    <row r="81" spans="1:21" ht="15" x14ac:dyDescent="0.25">
      <c r="A81" s="2"/>
      <c r="B81" s="39">
        <v>18000</v>
      </c>
      <c r="C81" s="15">
        <v>2</v>
      </c>
      <c r="D81" s="9">
        <v>0.18181818181818182</v>
      </c>
      <c r="E81" s="9">
        <v>0.81818181818181834</v>
      </c>
      <c r="F81" s="29">
        <f t="shared" si="22"/>
        <v>19000</v>
      </c>
      <c r="G81" s="36">
        <f t="shared" si="23"/>
        <v>4500000</v>
      </c>
      <c r="H81" s="36">
        <f t="shared" si="24"/>
        <v>140000</v>
      </c>
      <c r="I81" s="36">
        <f t="shared" si="25"/>
        <v>4640000</v>
      </c>
      <c r="J81" s="36">
        <f t="shared" si="26"/>
        <v>3800000</v>
      </c>
      <c r="K81" s="40">
        <f t="shared" si="27"/>
        <v>840000</v>
      </c>
      <c r="M81" s="59">
        <v>54.56</v>
      </c>
      <c r="N81" s="59">
        <v>158.36000000000001</v>
      </c>
      <c r="O81" s="64">
        <v>17000</v>
      </c>
      <c r="P81" s="65">
        <v>558418</v>
      </c>
      <c r="Q81" s="65">
        <v>446127</v>
      </c>
      <c r="R81" s="65">
        <v>1004545</v>
      </c>
      <c r="S81" s="68">
        <f t="shared" si="20"/>
        <v>0.5558914732540603</v>
      </c>
      <c r="T81" s="69">
        <f t="shared" si="21"/>
        <v>0.4441085267459397</v>
      </c>
      <c r="U81" s="52"/>
    </row>
    <row r="82" spans="1:21" ht="15" x14ac:dyDescent="0.25">
      <c r="A82" s="2"/>
      <c r="B82" s="39">
        <v>19000</v>
      </c>
      <c r="C82" s="15">
        <v>2</v>
      </c>
      <c r="D82" s="9">
        <v>0.18181818181818182</v>
      </c>
      <c r="E82" s="9">
        <v>1.0000000000000002</v>
      </c>
      <c r="F82" s="29">
        <f t="shared" si="22"/>
        <v>19000</v>
      </c>
      <c r="G82" s="36">
        <f t="shared" si="23"/>
        <v>4750000</v>
      </c>
      <c r="H82" s="36">
        <f t="shared" si="24"/>
        <v>0</v>
      </c>
      <c r="I82" s="36">
        <f t="shared" si="25"/>
        <v>4750000</v>
      </c>
      <c r="J82" s="36">
        <f t="shared" si="26"/>
        <v>3800000</v>
      </c>
      <c r="K82" s="40">
        <f t="shared" si="27"/>
        <v>950000</v>
      </c>
      <c r="M82" s="59">
        <v>63.64</v>
      </c>
      <c r="N82" s="59">
        <v>171.43</v>
      </c>
      <c r="O82" s="64">
        <v>17000</v>
      </c>
      <c r="P82" s="65">
        <v>600005</v>
      </c>
      <c r="Q82" s="65">
        <v>404541</v>
      </c>
      <c r="R82" s="65">
        <v>1004545</v>
      </c>
      <c r="S82" s="68">
        <f t="shared" si="20"/>
        <v>0.59729031551597989</v>
      </c>
      <c r="T82" s="69">
        <f t="shared" si="21"/>
        <v>0.40271067995958371</v>
      </c>
      <c r="U82" s="52"/>
    </row>
    <row r="83" spans="1:21" ht="15" x14ac:dyDescent="0.25">
      <c r="A83" s="2"/>
      <c r="B83" s="39"/>
      <c r="C83" s="15"/>
      <c r="D83" s="11"/>
      <c r="E83" s="11"/>
      <c r="F83" s="12"/>
      <c r="G83" s="20"/>
      <c r="H83" s="20"/>
      <c r="I83" s="20"/>
      <c r="J83" s="20"/>
      <c r="K83" s="41">
        <f>SUMPRODUCT(D76:D82,K76:K82)</f>
        <v>440000</v>
      </c>
      <c r="M83" s="60">
        <v>63.65</v>
      </c>
      <c r="N83" s="60">
        <v>171.45</v>
      </c>
      <c r="O83" s="66">
        <v>18000</v>
      </c>
      <c r="P83" s="65">
        <v>600082</v>
      </c>
      <c r="Q83" s="65">
        <v>355373</v>
      </c>
      <c r="R83" s="65">
        <v>955455</v>
      </c>
      <c r="S83" s="68">
        <f t="shared" si="20"/>
        <v>0.62805888294058854</v>
      </c>
      <c r="T83" s="69">
        <f t="shared" si="21"/>
        <v>0.37194111705941146</v>
      </c>
    </row>
    <row r="84" spans="1:21" ht="14.25" customHeight="1" x14ac:dyDescent="0.25">
      <c r="A84" s="2"/>
      <c r="B84" s="103" t="s">
        <v>29</v>
      </c>
      <c r="C84" s="104"/>
      <c r="D84" s="104"/>
      <c r="E84" s="104"/>
      <c r="F84" s="104"/>
      <c r="G84" s="104"/>
      <c r="H84" s="104"/>
      <c r="I84" s="104"/>
      <c r="J84" s="104"/>
      <c r="K84" s="105"/>
      <c r="M84" s="59">
        <v>81.819999999999993</v>
      </c>
      <c r="N84" s="59">
        <v>188.89</v>
      </c>
      <c r="O84" s="64">
        <v>18000</v>
      </c>
      <c r="P84" s="65">
        <v>666671</v>
      </c>
      <c r="Q84" s="65">
        <v>288784</v>
      </c>
      <c r="R84" s="65">
        <v>955455</v>
      </c>
      <c r="S84" s="68">
        <f t="shared" si="20"/>
        <v>0.69775237975624183</v>
      </c>
      <c r="T84" s="69">
        <f t="shared" si="21"/>
        <v>0.30224762024375823</v>
      </c>
    </row>
    <row r="85" spans="1:21" ht="14.25" customHeight="1" x14ac:dyDescent="0.35">
      <c r="B85" s="38" t="s">
        <v>5</v>
      </c>
      <c r="C85" s="21" t="s">
        <v>6</v>
      </c>
      <c r="D85" s="21" t="s">
        <v>12</v>
      </c>
      <c r="E85" s="21" t="s">
        <v>13</v>
      </c>
      <c r="F85" s="21" t="s">
        <v>15</v>
      </c>
      <c r="G85" s="21" t="s">
        <v>14</v>
      </c>
      <c r="H85" s="21"/>
      <c r="I85" s="21" t="s">
        <v>32</v>
      </c>
      <c r="J85" s="21" t="s">
        <v>33</v>
      </c>
      <c r="K85" s="22" t="s">
        <v>19</v>
      </c>
      <c r="M85" s="60">
        <v>81.83</v>
      </c>
      <c r="N85" s="60">
        <v>188.9</v>
      </c>
      <c r="O85" s="66">
        <v>19000</v>
      </c>
      <c r="P85" s="65">
        <v>666718</v>
      </c>
      <c r="Q85" s="65">
        <v>194191</v>
      </c>
      <c r="R85" s="65">
        <v>860909</v>
      </c>
      <c r="S85" s="68">
        <f t="shared" si="20"/>
        <v>0.77443492866261121</v>
      </c>
      <c r="T85" s="69">
        <f t="shared" si="21"/>
        <v>0.22556507133738873</v>
      </c>
    </row>
    <row r="86" spans="1:21" ht="14.25" customHeight="1" x14ac:dyDescent="0.35">
      <c r="B86" s="39">
        <v>9000</v>
      </c>
      <c r="C86" s="15">
        <v>3</v>
      </c>
      <c r="D86" s="9">
        <v>0.27272727272727271</v>
      </c>
      <c r="E86" s="9">
        <v>0.27272727272727271</v>
      </c>
      <c r="F86" s="29">
        <f>$D$72</f>
        <v>19000</v>
      </c>
      <c r="G86" s="36">
        <f>F86*$F$31</f>
        <v>3800000</v>
      </c>
      <c r="H86" s="36"/>
      <c r="I86" s="36">
        <f>(F86*$F$66)+$F$67</f>
        <v>2730000</v>
      </c>
      <c r="J86" s="36">
        <f>$C$67*MAX(0,F76-B76)</f>
        <v>1400000</v>
      </c>
      <c r="K86" s="40">
        <f>G86-J86-I86</f>
        <v>-330000</v>
      </c>
      <c r="M86" s="59">
        <v>100</v>
      </c>
      <c r="N86" s="59">
        <v>200</v>
      </c>
      <c r="O86" s="64">
        <v>19000</v>
      </c>
      <c r="P86" s="65">
        <v>718182</v>
      </c>
      <c r="Q86" s="65">
        <v>142727</v>
      </c>
      <c r="R86" s="65">
        <v>860909</v>
      </c>
      <c r="S86" s="68">
        <f t="shared" si="20"/>
        <v>0.83421360445761394</v>
      </c>
      <c r="T86" s="69">
        <f t="shared" si="21"/>
        <v>0.165786395542386</v>
      </c>
    </row>
    <row r="87" spans="1:21" ht="14.25" customHeight="1" x14ac:dyDescent="0.35">
      <c r="B87" s="39">
        <v>11000</v>
      </c>
      <c r="C87" s="15">
        <v>1</v>
      </c>
      <c r="D87" s="9">
        <v>9.0909090909090912E-2</v>
      </c>
      <c r="E87" s="9">
        <v>0.36363636363636365</v>
      </c>
      <c r="F87" s="29">
        <f t="shared" ref="F87:F92" si="28">$D$72</f>
        <v>19000</v>
      </c>
      <c r="G87" s="36">
        <f t="shared" ref="G87:G92" si="29">F87*$F$31</f>
        <v>3800000</v>
      </c>
      <c r="H87" s="36"/>
      <c r="I87" s="36">
        <f t="shared" ref="I87:I92" si="30">(F87*$F$66)+$F$67</f>
        <v>2730000</v>
      </c>
      <c r="J87" s="36">
        <f t="shared" ref="J87:J92" si="31">$C$67*MAX(0,F77-B77)</f>
        <v>1120000</v>
      </c>
      <c r="K87" s="40">
        <f t="shared" ref="K87:K92" si="32">G87-J87-I87</f>
        <v>-50000</v>
      </c>
      <c r="M87" s="63"/>
      <c r="N87" s="63"/>
      <c r="O87" s="63"/>
      <c r="P87" s="63"/>
      <c r="Q87" s="63"/>
      <c r="R87" s="63"/>
      <c r="S87" s="63"/>
    </row>
    <row r="88" spans="1:21" ht="14.25" customHeight="1" x14ac:dyDescent="0.35">
      <c r="B88" s="39">
        <v>14000</v>
      </c>
      <c r="C88" s="15">
        <v>1</v>
      </c>
      <c r="D88" s="9">
        <v>9.0909090909090912E-2</v>
      </c>
      <c r="E88" s="9">
        <v>0.45454545454545459</v>
      </c>
      <c r="F88" s="29">
        <f t="shared" si="28"/>
        <v>19000</v>
      </c>
      <c r="G88" s="36">
        <f t="shared" si="29"/>
        <v>3800000</v>
      </c>
      <c r="H88" s="36"/>
      <c r="I88" s="36">
        <f t="shared" si="30"/>
        <v>2730000</v>
      </c>
      <c r="J88" s="36">
        <f t="shared" si="31"/>
        <v>700000</v>
      </c>
      <c r="K88" s="40">
        <f t="shared" si="32"/>
        <v>370000</v>
      </c>
      <c r="M88" s="63"/>
      <c r="N88" s="63"/>
      <c r="O88" s="63"/>
      <c r="P88" s="63"/>
      <c r="Q88" s="63"/>
      <c r="R88" s="63"/>
      <c r="S88" s="63"/>
    </row>
    <row r="89" spans="1:21" ht="14.25" customHeight="1" x14ac:dyDescent="0.35">
      <c r="B89" s="39">
        <v>15000</v>
      </c>
      <c r="C89" s="15">
        <v>1</v>
      </c>
      <c r="D89" s="9">
        <v>9.0909090909090912E-2</v>
      </c>
      <c r="E89" s="9">
        <v>0.54545454545454553</v>
      </c>
      <c r="F89" s="29">
        <f t="shared" si="28"/>
        <v>19000</v>
      </c>
      <c r="G89" s="36">
        <f t="shared" si="29"/>
        <v>3800000</v>
      </c>
      <c r="H89" s="36"/>
      <c r="I89" s="36">
        <f t="shared" si="30"/>
        <v>2730000</v>
      </c>
      <c r="J89" s="36">
        <f t="shared" si="31"/>
        <v>560000</v>
      </c>
      <c r="K89" s="40">
        <f t="shared" si="32"/>
        <v>510000</v>
      </c>
      <c r="M89" s="63"/>
      <c r="N89" s="63"/>
      <c r="O89" s="63"/>
      <c r="P89" s="63"/>
      <c r="Q89" s="63"/>
      <c r="R89" s="63"/>
      <c r="S89" s="63"/>
    </row>
    <row r="90" spans="1:21" ht="14.25" customHeight="1" x14ac:dyDescent="0.35">
      <c r="B90" s="39">
        <v>17000</v>
      </c>
      <c r="C90" s="15">
        <v>1</v>
      </c>
      <c r="D90" s="9">
        <v>9.0909090909090912E-2</v>
      </c>
      <c r="E90" s="9">
        <v>0.63636363636363646</v>
      </c>
      <c r="F90" s="29">
        <f t="shared" si="28"/>
        <v>19000</v>
      </c>
      <c r="G90" s="36">
        <f t="shared" si="29"/>
        <v>3800000</v>
      </c>
      <c r="H90" s="36"/>
      <c r="I90" s="36">
        <f t="shared" si="30"/>
        <v>2730000</v>
      </c>
      <c r="J90" s="36">
        <f t="shared" si="31"/>
        <v>280000</v>
      </c>
      <c r="K90" s="40">
        <f t="shared" si="32"/>
        <v>790000</v>
      </c>
    </row>
    <row r="91" spans="1:21" ht="14.25" customHeight="1" x14ac:dyDescent="0.35">
      <c r="B91" s="39">
        <v>18000</v>
      </c>
      <c r="C91" s="15">
        <v>2</v>
      </c>
      <c r="D91" s="9">
        <v>0.18181818181818182</v>
      </c>
      <c r="E91" s="9">
        <v>0.81818181818181834</v>
      </c>
      <c r="F91" s="29">
        <f t="shared" si="28"/>
        <v>19000</v>
      </c>
      <c r="G91" s="36">
        <f t="shared" si="29"/>
        <v>3800000</v>
      </c>
      <c r="H91" s="36"/>
      <c r="I91" s="36">
        <f t="shared" si="30"/>
        <v>2730000</v>
      </c>
      <c r="J91" s="36">
        <f t="shared" si="31"/>
        <v>140000</v>
      </c>
      <c r="K91" s="40">
        <f t="shared" si="32"/>
        <v>930000</v>
      </c>
    </row>
    <row r="92" spans="1:21" ht="14.25" customHeight="1" x14ac:dyDescent="0.35">
      <c r="B92" s="39">
        <v>19000</v>
      </c>
      <c r="C92" s="15">
        <v>2</v>
      </c>
      <c r="D92" s="9">
        <v>0.18181818181818182</v>
      </c>
      <c r="E92" s="9">
        <v>1.0000000000000002</v>
      </c>
      <c r="F92" s="29">
        <f t="shared" si="28"/>
        <v>19000</v>
      </c>
      <c r="G92" s="36">
        <f t="shared" si="29"/>
        <v>3800000</v>
      </c>
      <c r="H92" s="36"/>
      <c r="I92" s="36">
        <f t="shared" si="30"/>
        <v>2730000</v>
      </c>
      <c r="J92" s="36">
        <f t="shared" si="31"/>
        <v>0</v>
      </c>
      <c r="K92" s="40">
        <f t="shared" si="32"/>
        <v>1070000</v>
      </c>
    </row>
    <row r="93" spans="1:21" ht="14.25" customHeight="1" x14ac:dyDescent="0.35">
      <c r="B93" s="39"/>
      <c r="C93" s="15"/>
      <c r="D93" s="11"/>
      <c r="E93" s="11"/>
      <c r="F93" s="12"/>
      <c r="G93" s="20"/>
      <c r="H93" s="20"/>
      <c r="I93" s="20"/>
      <c r="J93" s="20"/>
      <c r="K93" s="41">
        <f>SUMPRODUCT(D86:D92,K86:K92)</f>
        <v>420909.09090909094</v>
      </c>
    </row>
    <row r="94" spans="1:21" ht="14.25" customHeight="1" thickBot="1" x14ac:dyDescent="0.4">
      <c r="B94" s="47"/>
      <c r="C94" s="44"/>
      <c r="D94" s="44"/>
      <c r="E94" s="44" t="s">
        <v>20</v>
      </c>
      <c r="F94" s="44"/>
      <c r="G94" s="44"/>
      <c r="H94" s="48">
        <f>K83+K93</f>
        <v>860909.09090909094</v>
      </c>
      <c r="I94" s="44"/>
      <c r="J94" s="44"/>
      <c r="K94" s="49"/>
    </row>
    <row r="96" spans="1:21" ht="115.5" customHeight="1" x14ac:dyDescent="0.35"/>
    <row r="98" spans="1:20" ht="74.849999999999994" customHeight="1" thickBot="1" x14ac:dyDescent="0.4">
      <c r="B98" s="3" t="s">
        <v>38</v>
      </c>
    </row>
    <row r="99" spans="1:20" ht="15" x14ac:dyDescent="0.25">
      <c r="A99" s="2"/>
      <c r="B99" s="30"/>
      <c r="C99" s="31"/>
      <c r="D99" s="31"/>
      <c r="E99" s="31"/>
      <c r="F99" s="31"/>
      <c r="G99" s="31"/>
      <c r="H99" s="31"/>
      <c r="I99" s="31"/>
      <c r="J99" s="31"/>
      <c r="K99" s="32"/>
    </row>
    <row r="100" spans="1:20" ht="15" x14ac:dyDescent="0.25">
      <c r="A100" s="2"/>
      <c r="B100" s="106" t="s">
        <v>7</v>
      </c>
      <c r="C100" s="102"/>
      <c r="D100" s="20"/>
      <c r="E100" s="101" t="s">
        <v>8</v>
      </c>
      <c r="F100" s="102"/>
      <c r="G100" s="20"/>
      <c r="H100" s="20"/>
      <c r="I100" s="20"/>
      <c r="J100" s="20"/>
      <c r="K100" s="24"/>
      <c r="M100" s="95" t="s">
        <v>55</v>
      </c>
      <c r="N100" s="95"/>
    </row>
    <row r="101" spans="1:20" ht="15" x14ac:dyDescent="0.25">
      <c r="A101" s="2"/>
      <c r="B101" s="33" t="s">
        <v>0</v>
      </c>
      <c r="C101" s="5">
        <v>250</v>
      </c>
      <c r="D101" s="20"/>
      <c r="E101" s="4" t="s">
        <v>0</v>
      </c>
      <c r="F101" s="98">
        <f>C102</f>
        <v>158</v>
      </c>
      <c r="G101" s="20"/>
      <c r="H101" s="20"/>
      <c r="I101" s="20"/>
      <c r="J101" s="20"/>
      <c r="K101" s="24"/>
      <c r="M101" s="53" t="s">
        <v>34</v>
      </c>
      <c r="N101" s="53" t="s">
        <v>54</v>
      </c>
      <c r="O101" s="53" t="s">
        <v>15</v>
      </c>
      <c r="P101" s="53" t="s">
        <v>42</v>
      </c>
      <c r="Q101" s="53" t="s">
        <v>43</v>
      </c>
      <c r="R101" s="53" t="s">
        <v>44</v>
      </c>
      <c r="S101" s="53" t="s">
        <v>45</v>
      </c>
      <c r="T101" s="53" t="s">
        <v>46</v>
      </c>
    </row>
    <row r="102" spans="1:20" ht="15" x14ac:dyDescent="0.25">
      <c r="A102" s="2"/>
      <c r="B102" s="34" t="s">
        <v>36</v>
      </c>
      <c r="C102" s="61">
        <v>158</v>
      </c>
      <c r="D102" s="20"/>
      <c r="E102" s="7" t="s">
        <v>2</v>
      </c>
      <c r="F102" s="6">
        <v>140</v>
      </c>
      <c r="G102" s="20"/>
      <c r="H102" s="20"/>
      <c r="I102" s="20"/>
      <c r="J102" s="20"/>
      <c r="K102" s="24"/>
      <c r="M102" s="97">
        <v>0.01</v>
      </c>
      <c r="N102" s="60">
        <f>($C$104*$C$101)-(M102*(($C$104*$C$101)-$C$103))</f>
        <v>210.97499999999999</v>
      </c>
      <c r="O102" s="66">
        <v>9000</v>
      </c>
      <c r="P102" s="83">
        <v>13680</v>
      </c>
      <c r="Q102" s="83">
        <v>906320</v>
      </c>
      <c r="R102" s="83">
        <v>920000</v>
      </c>
      <c r="S102" s="68">
        <f>P102/R102</f>
        <v>1.4869565217391304E-2</v>
      </c>
      <c r="T102" s="69">
        <f>Q102/R102</f>
        <v>0.98513043478260864</v>
      </c>
    </row>
    <row r="103" spans="1:20" ht="15" x14ac:dyDescent="0.25">
      <c r="A103" s="2"/>
      <c r="B103" s="34" t="s">
        <v>34</v>
      </c>
      <c r="C103" s="5">
        <v>60</v>
      </c>
      <c r="D103" s="20"/>
      <c r="E103" s="7" t="s">
        <v>4</v>
      </c>
      <c r="F103" s="6">
        <v>70000</v>
      </c>
      <c r="G103" s="20"/>
      <c r="H103" s="20"/>
      <c r="I103" s="20"/>
      <c r="J103" s="20"/>
      <c r="K103" s="24"/>
      <c r="M103" s="97">
        <v>0.2727</v>
      </c>
      <c r="N103" s="60">
        <f t="shared" ref="N103:N113" si="33">($C$104*$C$101)-(M103*(($C$104*$C$101)-$C$103))</f>
        <v>170.91325000000001</v>
      </c>
      <c r="O103" s="66">
        <v>9000</v>
      </c>
      <c r="P103" s="83">
        <v>374310</v>
      </c>
      <c r="Q103" s="83">
        <v>545690</v>
      </c>
      <c r="R103" s="83">
        <v>920000</v>
      </c>
      <c r="S103" s="68">
        <f t="shared" ref="S103:S113" si="34">P103/R103</f>
        <v>0.40685869565217392</v>
      </c>
      <c r="T103" s="69">
        <f t="shared" ref="T103:T113" si="35">Q103/R103</f>
        <v>0.59314130434782608</v>
      </c>
    </row>
    <row r="104" spans="1:20" ht="15.75" thickBot="1" x14ac:dyDescent="0.3">
      <c r="A104" s="2"/>
      <c r="B104" s="35" t="s">
        <v>35</v>
      </c>
      <c r="C104" s="56">
        <v>0.85</v>
      </c>
      <c r="D104" s="20"/>
      <c r="E104" s="25" t="s">
        <v>35</v>
      </c>
      <c r="F104" s="55">
        <f>1-C104</f>
        <v>0.15000000000000002</v>
      </c>
      <c r="G104" s="20"/>
      <c r="H104" s="20"/>
      <c r="I104" s="20"/>
      <c r="J104" s="20"/>
      <c r="K104" s="24"/>
      <c r="M104" s="97">
        <v>0.27279999999999999</v>
      </c>
      <c r="N104" s="60">
        <f t="shared" si="33"/>
        <v>170.898</v>
      </c>
      <c r="O104" s="66">
        <v>11000</v>
      </c>
      <c r="P104" s="83">
        <v>374418</v>
      </c>
      <c r="Q104" s="83">
        <v>661945</v>
      </c>
      <c r="R104" s="83">
        <v>1036364</v>
      </c>
      <c r="S104" s="68">
        <f t="shared" si="34"/>
        <v>0.36128039955073699</v>
      </c>
      <c r="T104" s="69">
        <f t="shared" si="35"/>
        <v>0.63871863553732089</v>
      </c>
    </row>
    <row r="105" spans="1:20" ht="15.75" thickBot="1" x14ac:dyDescent="0.3">
      <c r="A105" s="2"/>
      <c r="B105" s="19"/>
      <c r="C105" s="20"/>
      <c r="D105" s="20"/>
      <c r="E105" s="20"/>
      <c r="F105" s="20"/>
      <c r="G105" s="20"/>
      <c r="H105" s="20"/>
      <c r="I105" s="20"/>
      <c r="J105" s="20"/>
      <c r="K105" s="24"/>
      <c r="M105" s="99">
        <v>0.36359999999999998</v>
      </c>
      <c r="N105" s="71">
        <f t="shared" si="33"/>
        <v>157.05099999999999</v>
      </c>
      <c r="O105" s="72">
        <v>11000</v>
      </c>
      <c r="P105" s="73">
        <v>526768</v>
      </c>
      <c r="Q105" s="73">
        <v>509595</v>
      </c>
      <c r="R105" s="73">
        <v>1036364</v>
      </c>
      <c r="S105" s="74">
        <f t="shared" si="34"/>
        <v>0.50828473393518103</v>
      </c>
      <c r="T105" s="75">
        <f t="shared" si="35"/>
        <v>0.49171430115287679</v>
      </c>
    </row>
    <row r="106" spans="1:20" ht="15" x14ac:dyDescent="0.25">
      <c r="A106" s="2"/>
      <c r="B106" s="35" t="s">
        <v>25</v>
      </c>
      <c r="C106" s="20"/>
      <c r="D106" s="36">
        <f>(C101*C104)-C102</f>
        <v>54.5</v>
      </c>
      <c r="E106" s="20"/>
      <c r="F106" s="20"/>
      <c r="G106" s="20"/>
      <c r="H106" s="20"/>
      <c r="I106" s="20"/>
      <c r="J106" s="20"/>
      <c r="K106" s="24"/>
      <c r="M106" s="97">
        <v>0.36369999999999997</v>
      </c>
      <c r="N106" s="60">
        <f t="shared" si="33"/>
        <v>157.03575000000001</v>
      </c>
      <c r="O106" s="66">
        <v>14000</v>
      </c>
      <c r="P106" s="83">
        <v>526895</v>
      </c>
      <c r="Q106" s="83">
        <v>632196</v>
      </c>
      <c r="R106" s="83">
        <v>1159091</v>
      </c>
      <c r="S106" s="96">
        <f t="shared" si="34"/>
        <v>0.45457604277834956</v>
      </c>
      <c r="T106" s="96">
        <f t="shared" si="35"/>
        <v>0.54542395722165038</v>
      </c>
    </row>
    <row r="107" spans="1:20" ht="15" x14ac:dyDescent="0.25">
      <c r="A107" s="2"/>
      <c r="B107" s="35" t="s">
        <v>26</v>
      </c>
      <c r="C107" s="20"/>
      <c r="D107" s="36">
        <f>C102-C103</f>
        <v>98</v>
      </c>
      <c r="E107" s="20"/>
      <c r="F107" s="20"/>
      <c r="G107" s="20"/>
      <c r="H107" s="20"/>
      <c r="I107" s="20"/>
      <c r="J107" s="20"/>
      <c r="K107" s="24"/>
      <c r="M107" s="97">
        <v>0.45450000000000002</v>
      </c>
      <c r="N107" s="60">
        <f t="shared" si="33"/>
        <v>143.18875</v>
      </c>
      <c r="O107" s="66">
        <v>14000</v>
      </c>
      <c r="P107" s="83">
        <v>720795</v>
      </c>
      <c r="Q107" s="83">
        <v>438296</v>
      </c>
      <c r="R107" s="83">
        <v>1159091</v>
      </c>
      <c r="S107" s="96">
        <f t="shared" si="34"/>
        <v>0.62186230416766242</v>
      </c>
      <c r="T107" s="96">
        <f t="shared" si="35"/>
        <v>0.37813769583233758</v>
      </c>
    </row>
    <row r="108" spans="1:20" ht="15" x14ac:dyDescent="0.25">
      <c r="A108" s="2"/>
      <c r="B108" s="35" t="s">
        <v>27</v>
      </c>
      <c r="C108" s="20"/>
      <c r="D108" s="54">
        <f>D106/(D106+D107)</f>
        <v>0.35737704918032787</v>
      </c>
      <c r="E108" s="20"/>
      <c r="F108" s="20"/>
      <c r="G108" s="20"/>
      <c r="H108" s="20"/>
      <c r="I108" s="20"/>
      <c r="J108" s="20"/>
      <c r="K108" s="24"/>
      <c r="M108" s="97">
        <v>0.4546</v>
      </c>
      <c r="N108" s="60">
        <f t="shared" si="33"/>
        <v>143.17349999999999</v>
      </c>
      <c r="O108" s="66">
        <v>15000</v>
      </c>
      <c r="P108" s="83">
        <v>721086</v>
      </c>
      <c r="Q108" s="83">
        <v>461641</v>
      </c>
      <c r="R108" s="83">
        <v>1182727</v>
      </c>
      <c r="S108" s="96">
        <f t="shared" si="34"/>
        <v>0.60968084773578346</v>
      </c>
      <c r="T108" s="96">
        <f t="shared" si="35"/>
        <v>0.39031915226421648</v>
      </c>
    </row>
    <row r="109" spans="1:20" ht="15" x14ac:dyDescent="0.25">
      <c r="A109" s="2"/>
      <c r="B109" s="45" t="s">
        <v>28</v>
      </c>
      <c r="C109" s="46"/>
      <c r="D109" s="46">
        <v>11000</v>
      </c>
      <c r="E109" s="20"/>
      <c r="F109" s="20"/>
      <c r="G109" s="20"/>
      <c r="H109" s="20"/>
      <c r="I109" s="20"/>
      <c r="J109" s="20"/>
      <c r="K109" s="24"/>
      <c r="M109" s="97">
        <v>0.54549999999999998</v>
      </c>
      <c r="N109" s="60">
        <f t="shared" si="33"/>
        <v>129.31125</v>
      </c>
      <c r="O109" s="66">
        <v>15000</v>
      </c>
      <c r="P109" s="83">
        <v>928986</v>
      </c>
      <c r="Q109" s="83">
        <v>253741</v>
      </c>
      <c r="R109" s="83">
        <v>1182727</v>
      </c>
      <c r="S109" s="96">
        <f t="shared" si="34"/>
        <v>0.78546105736995941</v>
      </c>
      <c r="T109" s="96">
        <f t="shared" si="35"/>
        <v>0.21453894263004059</v>
      </c>
    </row>
    <row r="110" spans="1:20" ht="15" x14ac:dyDescent="0.25">
      <c r="A110" s="2"/>
      <c r="B110" s="50"/>
      <c r="C110" s="51"/>
      <c r="D110" s="51"/>
      <c r="E110" s="20"/>
      <c r="F110" s="20"/>
      <c r="G110" s="20"/>
      <c r="H110" s="20"/>
      <c r="I110" s="20"/>
      <c r="J110" s="20"/>
      <c r="K110" s="24"/>
      <c r="M110" s="97">
        <v>0.54559999999999997</v>
      </c>
      <c r="N110" s="60">
        <f t="shared" si="33"/>
        <v>129.29599999999999</v>
      </c>
      <c r="O110" s="66">
        <v>17000</v>
      </c>
      <c r="P110" s="83">
        <v>929173</v>
      </c>
      <c r="Q110" s="83">
        <v>266282</v>
      </c>
      <c r="R110" s="83">
        <v>1195455</v>
      </c>
      <c r="S110" s="96">
        <f t="shared" si="34"/>
        <v>0.77725468545449228</v>
      </c>
      <c r="T110" s="96">
        <f t="shared" si="35"/>
        <v>0.22274531454550778</v>
      </c>
    </row>
    <row r="111" spans="1:20" ht="15" x14ac:dyDescent="0.25">
      <c r="A111" s="2"/>
      <c r="B111" s="103" t="s">
        <v>30</v>
      </c>
      <c r="C111" s="104"/>
      <c r="D111" s="104"/>
      <c r="E111" s="104"/>
      <c r="F111" s="104"/>
      <c r="G111" s="104"/>
      <c r="H111" s="104"/>
      <c r="I111" s="104"/>
      <c r="J111" s="104"/>
      <c r="K111" s="105"/>
      <c r="M111" s="97">
        <v>0.63639999999999997</v>
      </c>
      <c r="N111" s="60">
        <f t="shared" si="33"/>
        <v>115.44900000000001</v>
      </c>
      <c r="O111" s="66">
        <v>17000</v>
      </c>
      <c r="P111" s="83">
        <v>1164623</v>
      </c>
      <c r="Q111" s="83">
        <v>30832</v>
      </c>
      <c r="R111" s="83">
        <v>1195455</v>
      </c>
      <c r="S111" s="68">
        <f t="shared" si="34"/>
        <v>0.97420898319050064</v>
      </c>
      <c r="T111" s="69">
        <f t="shared" si="35"/>
        <v>2.5791016809499311E-2</v>
      </c>
    </row>
    <row r="112" spans="1:20" ht="15" x14ac:dyDescent="0.25">
      <c r="A112" s="2"/>
      <c r="B112" s="38" t="s">
        <v>5</v>
      </c>
      <c r="C112" s="21" t="s">
        <v>6</v>
      </c>
      <c r="D112" s="21" t="s">
        <v>12</v>
      </c>
      <c r="E112" s="21" t="s">
        <v>13</v>
      </c>
      <c r="F112" s="21" t="s">
        <v>15</v>
      </c>
      <c r="G112" s="21" t="s">
        <v>14</v>
      </c>
      <c r="H112" s="21" t="s">
        <v>16</v>
      </c>
      <c r="I112" s="21" t="s">
        <v>17</v>
      </c>
      <c r="J112" s="21" t="s">
        <v>18</v>
      </c>
      <c r="K112" s="22" t="s">
        <v>19</v>
      </c>
      <c r="M112" s="97">
        <v>0.63649999999999995</v>
      </c>
      <c r="N112" s="60">
        <f t="shared" si="33"/>
        <v>115.43375</v>
      </c>
      <c r="O112" s="66">
        <v>18000</v>
      </c>
      <c r="P112" s="83">
        <v>1164987</v>
      </c>
      <c r="Q112" s="83">
        <v>19558</v>
      </c>
      <c r="R112" s="83">
        <v>1184545</v>
      </c>
      <c r="S112" s="68">
        <f t="shared" si="34"/>
        <v>0.98348901899041408</v>
      </c>
      <c r="T112" s="69">
        <f t="shared" si="35"/>
        <v>1.6510981009585958E-2</v>
      </c>
    </row>
    <row r="113" spans="1:20" ht="15" x14ac:dyDescent="0.25">
      <c r="A113" s="2"/>
      <c r="B113" s="39">
        <v>9000</v>
      </c>
      <c r="C113" s="15">
        <v>3</v>
      </c>
      <c r="D113" s="9">
        <v>0.27272727272727271</v>
      </c>
      <c r="E113" s="9">
        <v>0.27272727272727271</v>
      </c>
      <c r="F113" s="29">
        <f>$D$109</f>
        <v>11000</v>
      </c>
      <c r="G113" s="36">
        <f>MIN(B113,F113)*$C$101*$C$104</f>
        <v>1912500</v>
      </c>
      <c r="H113" s="36">
        <f>$C$103*MAX(0,F113-B113)</f>
        <v>120000</v>
      </c>
      <c r="I113" s="36">
        <f>G113+H113</f>
        <v>2032500</v>
      </c>
      <c r="J113" s="36">
        <f>(F113*$C$102)</f>
        <v>1738000</v>
      </c>
      <c r="K113" s="40">
        <f>I113-J113</f>
        <v>294500</v>
      </c>
      <c r="M113" s="97">
        <v>0.81819999999999993</v>
      </c>
      <c r="N113" s="60">
        <f t="shared" si="33"/>
        <v>87.724500000000006</v>
      </c>
      <c r="O113" s="66">
        <v>18000</v>
      </c>
      <c r="P113" s="83">
        <v>1663767</v>
      </c>
      <c r="Q113" s="83">
        <v>-479222</v>
      </c>
      <c r="R113" s="83">
        <v>1184545</v>
      </c>
      <c r="S113" s="68">
        <f t="shared" si="34"/>
        <v>1.4045620892410167</v>
      </c>
      <c r="T113" s="69">
        <f t="shared" si="35"/>
        <v>-0.40456208924101661</v>
      </c>
    </row>
    <row r="114" spans="1:20" ht="15" x14ac:dyDescent="0.25">
      <c r="A114" s="2"/>
      <c r="B114" s="39">
        <v>11000</v>
      </c>
      <c r="C114" s="15">
        <v>1</v>
      </c>
      <c r="D114" s="9">
        <v>9.0909090909090912E-2</v>
      </c>
      <c r="E114" s="9">
        <v>0.36363636363636365</v>
      </c>
      <c r="F114" s="29">
        <f t="shared" ref="F114:F119" si="36">$D$109</f>
        <v>11000</v>
      </c>
      <c r="G114" s="36">
        <f t="shared" ref="G114:G119" si="37">MIN(B114,F114)*$C$101*$C$104</f>
        <v>2337500</v>
      </c>
      <c r="H114" s="36">
        <f t="shared" ref="H114:H119" si="38">$C$103*MAX(0,F114-B114)</f>
        <v>0</v>
      </c>
      <c r="I114" s="36">
        <f t="shared" ref="I114:I119" si="39">G114+H114</f>
        <v>2337500</v>
      </c>
      <c r="J114" s="36">
        <f t="shared" ref="J114:J119" si="40">(F114*$C$102)</f>
        <v>1738000</v>
      </c>
      <c r="K114" s="40">
        <f t="shared" ref="K114:K119" si="41">I114-J114</f>
        <v>599500</v>
      </c>
      <c r="M114" s="97"/>
      <c r="N114" s="60"/>
      <c r="O114" s="66"/>
      <c r="P114" s="83"/>
      <c r="Q114" s="83"/>
      <c r="R114" s="83"/>
      <c r="S114" s="68"/>
      <c r="T114" s="69"/>
    </row>
    <row r="115" spans="1:20" ht="15" x14ac:dyDescent="0.25">
      <c r="A115" s="2"/>
      <c r="B115" s="39">
        <v>14000</v>
      </c>
      <c r="C115" s="15">
        <v>1</v>
      </c>
      <c r="D115" s="9">
        <v>9.0909090909090912E-2</v>
      </c>
      <c r="E115" s="9">
        <v>0.45454545454545459</v>
      </c>
      <c r="F115" s="29">
        <f t="shared" si="36"/>
        <v>11000</v>
      </c>
      <c r="G115" s="36">
        <f t="shared" si="37"/>
        <v>2337500</v>
      </c>
      <c r="H115" s="36">
        <f t="shared" si="38"/>
        <v>0</v>
      </c>
      <c r="I115" s="36">
        <f t="shared" si="39"/>
        <v>2337500</v>
      </c>
      <c r="J115" s="36">
        <f t="shared" si="40"/>
        <v>1738000</v>
      </c>
      <c r="K115" s="40">
        <f t="shared" si="41"/>
        <v>599500</v>
      </c>
      <c r="M115" s="97"/>
      <c r="N115" s="60"/>
      <c r="O115" s="66"/>
      <c r="P115" s="83"/>
      <c r="Q115" s="83"/>
      <c r="R115" s="83"/>
      <c r="S115" s="68"/>
      <c r="T115" s="69"/>
    </row>
    <row r="116" spans="1:20" ht="15" x14ac:dyDescent="0.25">
      <c r="A116" s="2"/>
      <c r="B116" s="39">
        <v>15000</v>
      </c>
      <c r="C116" s="15">
        <v>1</v>
      </c>
      <c r="D116" s="9">
        <v>9.0909090909090912E-2</v>
      </c>
      <c r="E116" s="9">
        <v>0.54545454545454553</v>
      </c>
      <c r="F116" s="29">
        <f t="shared" si="36"/>
        <v>11000</v>
      </c>
      <c r="G116" s="36">
        <f t="shared" si="37"/>
        <v>2337500</v>
      </c>
      <c r="H116" s="36">
        <f t="shared" si="38"/>
        <v>0</v>
      </c>
      <c r="I116" s="36">
        <f t="shared" si="39"/>
        <v>2337500</v>
      </c>
      <c r="J116" s="36">
        <f t="shared" si="40"/>
        <v>1738000</v>
      </c>
      <c r="K116" s="40">
        <f t="shared" si="41"/>
        <v>599500</v>
      </c>
    </row>
    <row r="117" spans="1:20" ht="15" x14ac:dyDescent="0.25">
      <c r="A117" s="2"/>
      <c r="B117" s="39">
        <v>17000</v>
      </c>
      <c r="C117" s="15">
        <v>1</v>
      </c>
      <c r="D117" s="9">
        <v>9.0909090909090912E-2</v>
      </c>
      <c r="E117" s="9">
        <v>0.63636363636363646</v>
      </c>
      <c r="F117" s="29">
        <f t="shared" si="36"/>
        <v>11000</v>
      </c>
      <c r="G117" s="36">
        <f t="shared" si="37"/>
        <v>2337500</v>
      </c>
      <c r="H117" s="36">
        <f t="shared" si="38"/>
        <v>0</v>
      </c>
      <c r="I117" s="36">
        <f t="shared" si="39"/>
        <v>2337500</v>
      </c>
      <c r="J117" s="36">
        <f t="shared" si="40"/>
        <v>1738000</v>
      </c>
      <c r="K117" s="40">
        <f t="shared" si="41"/>
        <v>599500</v>
      </c>
    </row>
    <row r="118" spans="1:20" ht="15" x14ac:dyDescent="0.25">
      <c r="A118" s="2"/>
      <c r="B118" s="39">
        <v>18000</v>
      </c>
      <c r="C118" s="15">
        <v>2</v>
      </c>
      <c r="D118" s="9">
        <v>0.18181818181818182</v>
      </c>
      <c r="E118" s="9">
        <v>0.81818181818181834</v>
      </c>
      <c r="F118" s="29">
        <f t="shared" si="36"/>
        <v>11000</v>
      </c>
      <c r="G118" s="36">
        <f t="shared" si="37"/>
        <v>2337500</v>
      </c>
      <c r="H118" s="36">
        <f t="shared" si="38"/>
        <v>0</v>
      </c>
      <c r="I118" s="36">
        <f t="shared" si="39"/>
        <v>2337500</v>
      </c>
      <c r="J118" s="36">
        <f t="shared" si="40"/>
        <v>1738000</v>
      </c>
      <c r="K118" s="40">
        <f t="shared" si="41"/>
        <v>599500</v>
      </c>
    </row>
    <row r="119" spans="1:20" ht="15" x14ac:dyDescent="0.25">
      <c r="A119" s="2"/>
      <c r="B119" s="39">
        <v>19000</v>
      </c>
      <c r="C119" s="15">
        <v>2</v>
      </c>
      <c r="D119" s="9">
        <v>0.18181818181818182</v>
      </c>
      <c r="E119" s="9">
        <v>1.0000000000000002</v>
      </c>
      <c r="F119" s="29">
        <f t="shared" si="36"/>
        <v>11000</v>
      </c>
      <c r="G119" s="36">
        <f t="shared" si="37"/>
        <v>2337500</v>
      </c>
      <c r="H119" s="36">
        <f t="shared" si="38"/>
        <v>0</v>
      </c>
      <c r="I119" s="36">
        <f t="shared" si="39"/>
        <v>2337500</v>
      </c>
      <c r="J119" s="36">
        <f t="shared" si="40"/>
        <v>1738000</v>
      </c>
      <c r="K119" s="40">
        <f t="shared" si="41"/>
        <v>599500</v>
      </c>
    </row>
    <row r="120" spans="1:20" ht="15" x14ac:dyDescent="0.25">
      <c r="A120" s="2"/>
      <c r="B120" s="39"/>
      <c r="C120" s="15"/>
      <c r="D120" s="11"/>
      <c r="E120" s="11"/>
      <c r="F120" s="12"/>
      <c r="G120" s="20"/>
      <c r="H120" s="20"/>
      <c r="I120" s="20"/>
      <c r="J120" s="20"/>
      <c r="K120" s="41">
        <f>SUMPRODUCT(D113:D119,K113:K119)</f>
        <v>516318.18181818182</v>
      </c>
      <c r="L120" s="1">
        <f>K120/H131</f>
        <v>0.49820175438596487</v>
      </c>
    </row>
    <row r="121" spans="1:20" ht="14.25" customHeight="1" x14ac:dyDescent="0.25">
      <c r="A121" s="2"/>
      <c r="B121" s="103" t="s">
        <v>29</v>
      </c>
      <c r="C121" s="104"/>
      <c r="D121" s="104"/>
      <c r="E121" s="104"/>
      <c r="F121" s="104"/>
      <c r="G121" s="104"/>
      <c r="H121" s="104"/>
      <c r="I121" s="104"/>
      <c r="J121" s="104"/>
      <c r="K121" s="105"/>
    </row>
    <row r="122" spans="1:20" ht="14.25" customHeight="1" x14ac:dyDescent="0.35">
      <c r="B122" s="38" t="s">
        <v>5</v>
      </c>
      <c r="C122" s="21" t="s">
        <v>6</v>
      </c>
      <c r="D122" s="21" t="s">
        <v>12</v>
      </c>
      <c r="E122" s="21" t="s">
        <v>13</v>
      </c>
      <c r="F122" s="21" t="s">
        <v>15</v>
      </c>
      <c r="G122" s="21" t="s">
        <v>14</v>
      </c>
      <c r="H122" s="21" t="s">
        <v>16</v>
      </c>
      <c r="I122" s="21" t="s">
        <v>32</v>
      </c>
      <c r="J122" s="21"/>
      <c r="K122" s="22" t="s">
        <v>19</v>
      </c>
    </row>
    <row r="123" spans="1:20" ht="14.25" customHeight="1" x14ac:dyDescent="0.35">
      <c r="B123" s="39">
        <v>9000</v>
      </c>
      <c r="C123" s="15">
        <v>3</v>
      </c>
      <c r="D123" s="9">
        <v>0.27272727272727271</v>
      </c>
      <c r="E123" s="9">
        <v>0.27272727272727271</v>
      </c>
      <c r="F123" s="29">
        <f>$D$109</f>
        <v>11000</v>
      </c>
      <c r="G123" s="36">
        <f>F123*$F$101</f>
        <v>1738000</v>
      </c>
      <c r="H123" s="36">
        <f>MIN(B113,F113)*$C$101*$F$104</f>
        <v>337500.00000000006</v>
      </c>
      <c r="I123" s="36">
        <f>(F123*$F$102)+$F$103</f>
        <v>1610000</v>
      </c>
      <c r="J123" s="36"/>
      <c r="K123" s="40">
        <f>G123+H123-I123</f>
        <v>465500</v>
      </c>
    </row>
    <row r="124" spans="1:20" ht="14.25" customHeight="1" x14ac:dyDescent="0.35">
      <c r="B124" s="39">
        <v>11000</v>
      </c>
      <c r="C124" s="15">
        <v>1</v>
      </c>
      <c r="D124" s="9">
        <v>9.0909090909090912E-2</v>
      </c>
      <c r="E124" s="9">
        <v>0.36363636363636365</v>
      </c>
      <c r="F124" s="29">
        <f t="shared" ref="F124:F129" si="42">$D$109</f>
        <v>11000</v>
      </c>
      <c r="G124" s="36">
        <f t="shared" ref="G124:G129" si="43">F124*$F$101</f>
        <v>1738000</v>
      </c>
      <c r="H124" s="36">
        <f t="shared" ref="H124:H129" si="44">MIN(B114,F114)*$C$101*$F$104</f>
        <v>412500.00000000006</v>
      </c>
      <c r="I124" s="36">
        <f t="shared" ref="I124:I129" si="45">(F124*$F$102)+$F$103</f>
        <v>1610000</v>
      </c>
      <c r="J124" s="36"/>
      <c r="K124" s="40">
        <f t="shared" ref="K124:K129" si="46">G124+H124-I124</f>
        <v>540500</v>
      </c>
    </row>
    <row r="125" spans="1:20" ht="14.25" customHeight="1" x14ac:dyDescent="0.35">
      <c r="B125" s="39">
        <v>14000</v>
      </c>
      <c r="C125" s="15">
        <v>1</v>
      </c>
      <c r="D125" s="9">
        <v>9.0909090909090912E-2</v>
      </c>
      <c r="E125" s="9">
        <v>0.45454545454545459</v>
      </c>
      <c r="F125" s="29">
        <f t="shared" si="42"/>
        <v>11000</v>
      </c>
      <c r="G125" s="36">
        <f t="shared" si="43"/>
        <v>1738000</v>
      </c>
      <c r="H125" s="36">
        <f t="shared" si="44"/>
        <v>412500.00000000006</v>
      </c>
      <c r="I125" s="36">
        <f t="shared" si="45"/>
        <v>1610000</v>
      </c>
      <c r="J125" s="36"/>
      <c r="K125" s="40">
        <f t="shared" si="46"/>
        <v>540500</v>
      </c>
    </row>
    <row r="126" spans="1:20" ht="14.25" customHeight="1" x14ac:dyDescent="0.35">
      <c r="B126" s="39">
        <v>15000</v>
      </c>
      <c r="C126" s="15">
        <v>1</v>
      </c>
      <c r="D126" s="9">
        <v>9.0909090909090912E-2</v>
      </c>
      <c r="E126" s="9">
        <v>0.54545454545454553</v>
      </c>
      <c r="F126" s="29">
        <f t="shared" si="42"/>
        <v>11000</v>
      </c>
      <c r="G126" s="36">
        <f t="shared" si="43"/>
        <v>1738000</v>
      </c>
      <c r="H126" s="36">
        <f t="shared" si="44"/>
        <v>412500.00000000006</v>
      </c>
      <c r="I126" s="36">
        <f t="shared" si="45"/>
        <v>1610000</v>
      </c>
      <c r="J126" s="36"/>
      <c r="K126" s="40">
        <f t="shared" si="46"/>
        <v>540500</v>
      </c>
    </row>
    <row r="127" spans="1:20" ht="14.25" customHeight="1" x14ac:dyDescent="0.35">
      <c r="B127" s="39">
        <v>17000</v>
      </c>
      <c r="C127" s="15">
        <v>1</v>
      </c>
      <c r="D127" s="9">
        <v>9.0909090909090912E-2</v>
      </c>
      <c r="E127" s="9">
        <v>0.63636363636363646</v>
      </c>
      <c r="F127" s="29">
        <f t="shared" si="42"/>
        <v>11000</v>
      </c>
      <c r="G127" s="36">
        <f t="shared" si="43"/>
        <v>1738000</v>
      </c>
      <c r="H127" s="36">
        <f t="shared" si="44"/>
        <v>412500.00000000006</v>
      </c>
      <c r="I127" s="36">
        <f t="shared" si="45"/>
        <v>1610000</v>
      </c>
      <c r="J127" s="36"/>
      <c r="K127" s="40">
        <f t="shared" si="46"/>
        <v>540500</v>
      </c>
    </row>
    <row r="128" spans="1:20" ht="14.25" customHeight="1" x14ac:dyDescent="0.35">
      <c r="B128" s="39">
        <v>18000</v>
      </c>
      <c r="C128" s="15">
        <v>2</v>
      </c>
      <c r="D128" s="9">
        <v>0.18181818181818182</v>
      </c>
      <c r="E128" s="9">
        <v>0.81818181818181834</v>
      </c>
      <c r="F128" s="29">
        <f t="shared" si="42"/>
        <v>11000</v>
      </c>
      <c r="G128" s="36">
        <f t="shared" si="43"/>
        <v>1738000</v>
      </c>
      <c r="H128" s="36">
        <f t="shared" si="44"/>
        <v>412500.00000000006</v>
      </c>
      <c r="I128" s="36">
        <f t="shared" si="45"/>
        <v>1610000</v>
      </c>
      <c r="J128" s="36"/>
      <c r="K128" s="40">
        <f t="shared" si="46"/>
        <v>540500</v>
      </c>
    </row>
    <row r="129" spans="1:12" ht="14.25" customHeight="1" x14ac:dyDescent="0.35">
      <c r="B129" s="39">
        <v>19000</v>
      </c>
      <c r="C129" s="15">
        <v>2</v>
      </c>
      <c r="D129" s="9">
        <v>0.18181818181818182</v>
      </c>
      <c r="E129" s="9">
        <v>1.0000000000000002</v>
      </c>
      <c r="F129" s="29">
        <f t="shared" si="42"/>
        <v>11000</v>
      </c>
      <c r="G129" s="36">
        <f t="shared" si="43"/>
        <v>1738000</v>
      </c>
      <c r="H129" s="36">
        <f t="shared" si="44"/>
        <v>412500.00000000006</v>
      </c>
      <c r="I129" s="36">
        <f t="shared" si="45"/>
        <v>1610000</v>
      </c>
      <c r="J129" s="36"/>
      <c r="K129" s="40">
        <f t="shared" si="46"/>
        <v>540500</v>
      </c>
    </row>
    <row r="130" spans="1:12" ht="14.25" customHeight="1" x14ac:dyDescent="0.35">
      <c r="B130" s="39"/>
      <c r="C130" s="15"/>
      <c r="D130" s="11"/>
      <c r="E130" s="11"/>
      <c r="F130" s="12"/>
      <c r="G130" s="20"/>
      <c r="H130" s="20"/>
      <c r="I130" s="20"/>
      <c r="J130" s="20"/>
      <c r="K130" s="41">
        <f>SUMPRODUCT(D123:D129,K123:K129)</f>
        <v>520045.45454545459</v>
      </c>
      <c r="L130" s="1">
        <f>K130/H131</f>
        <v>0.50179824561403508</v>
      </c>
    </row>
    <row r="131" spans="1:12" ht="14.25" customHeight="1" thickBot="1" x14ac:dyDescent="0.4">
      <c r="B131" s="47"/>
      <c r="C131" s="44"/>
      <c r="D131" s="44"/>
      <c r="E131" s="44" t="s">
        <v>20</v>
      </c>
      <c r="F131" s="44"/>
      <c r="G131" s="44"/>
      <c r="H131" s="48">
        <f>K120+K130</f>
        <v>1036363.6363636365</v>
      </c>
      <c r="I131" s="44"/>
      <c r="J131" s="44"/>
      <c r="K131" s="49"/>
    </row>
    <row r="132" spans="1:12" ht="14.25" customHeight="1" x14ac:dyDescent="0.35"/>
    <row r="134" spans="1:12" x14ac:dyDescent="0.35">
      <c r="A134" s="3" t="s">
        <v>39</v>
      </c>
      <c r="B134" s="3" t="s">
        <v>40</v>
      </c>
    </row>
  </sheetData>
  <mergeCells count="15">
    <mergeCell ref="B111:K111"/>
    <mergeCell ref="B121:K121"/>
    <mergeCell ref="B64:C64"/>
    <mergeCell ref="E64:F64"/>
    <mergeCell ref="B74:K74"/>
    <mergeCell ref="B84:K84"/>
    <mergeCell ref="B100:C100"/>
    <mergeCell ref="E100:F100"/>
    <mergeCell ref="B49:K49"/>
    <mergeCell ref="B39:K39"/>
    <mergeCell ref="A2:J2"/>
    <mergeCell ref="B7:C7"/>
    <mergeCell ref="E7:F7"/>
    <mergeCell ref="B30:C30"/>
    <mergeCell ref="E30:F30"/>
  </mergeCells>
  <conditionalFormatting sqref="P73:R8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{B39D2914-A3F6-4DC4-91AD-786909826115}</x14:id>
        </ext>
      </extLst>
    </cfRule>
  </conditionalFormatting>
  <conditionalFormatting sqref="P73:P8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{FD732506-5088-4A39-92B3-0B4BEC733A5E}</x14:id>
        </ext>
      </extLst>
    </cfRule>
  </conditionalFormatting>
  <conditionalFormatting sqref="O34:O4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{BB94E1FA-6CE9-48B6-8CC6-B23604EAB640}</x14:id>
        </ext>
      </extLst>
    </cfRule>
  </conditionalFormatting>
  <conditionalFormatting sqref="P34:P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{41F4D672-4DC0-40D7-ACE0-EF90C83A5DD0}</x14:id>
        </ext>
      </extLst>
    </cfRule>
  </conditionalFormatting>
  <conditionalFormatting sqref="P102:R1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{6C5142EE-CC50-4265-8BE9-76E883BB8D49}</x14:id>
        </ext>
      </extLst>
    </cfRule>
  </conditionalFormatting>
  <conditionalFormatting sqref="P102:P1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{00E43013-80C9-4221-AC79-849FC81E5704}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9D2914-A3F6-4DC4-91AD-7869098261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P73:R86</xm:sqref>
        </x14:conditionalFormatting>
        <x14:conditionalFormatting xmlns:xm="http://schemas.microsoft.com/office/excel/2006/main">
          <x14:cfRule type="dataBar" id="{FD732506-5088-4A39-92B3-0B4BEC733A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P73:P86</xm:sqref>
        </x14:conditionalFormatting>
        <x14:conditionalFormatting xmlns:xm="http://schemas.microsoft.com/office/excel/2006/main">
          <x14:cfRule type="dataBar" id="{BB94E1FA-6CE9-48B6-8CC6-B23604EAB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O34:O40</xm:sqref>
        </x14:conditionalFormatting>
        <x14:conditionalFormatting xmlns:xm="http://schemas.microsoft.com/office/excel/2006/main">
          <x14:cfRule type="dataBar" id="{41F4D672-4DC0-40D7-ACE0-EF90C83A5D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P34:P40</xm:sqref>
        </x14:conditionalFormatting>
        <x14:conditionalFormatting xmlns:xm="http://schemas.microsoft.com/office/excel/2006/main">
          <x14:cfRule type="dataBar" id="{6C5142EE-CC50-4265-8BE9-76E883BB8D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P102:R115</xm:sqref>
        </x14:conditionalFormatting>
        <x14:conditionalFormatting xmlns:xm="http://schemas.microsoft.com/office/excel/2006/main">
          <x14:cfRule type="dataBar" id="{00E43013-80C9-4221-AC79-849FC81E57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P102:P115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SkiRetail Data</vt:lpstr>
      <vt:lpstr>SkiRetail (2002-12)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2022-06-22T13:47:05Z</dcterms:modified>
</cp:coreProperties>
</file>